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C:\Users\bajah\Documents\R\St_Lucia_2016_Election_Results\"/>
    </mc:Choice>
  </mc:AlternateContent>
  <xr:revisionPtr revIDLastSave="0" documentId="13_ncr:1_{4BBA8E9E-D12C-4D9A-ABBD-6EA6C34C6449}" xr6:coauthVersionLast="45" xr6:coauthVersionMax="45" xr10:uidLastSave="{00000000-0000-0000-0000-000000000000}"/>
  <bookViews>
    <workbookView minimized="1" xWindow="120" yWindow="3555" windowWidth="8700" windowHeight="8220" tabRatio="737" xr2:uid="{00000000-000D-0000-FFFF-FFFF00000000}"/>
  </bookViews>
  <sheets>
    <sheet name="St. Lucia 2016 Election Results" sheetId="1" r:id="rId1"/>
    <sheet name="2016 Candidates" sheetId="2" r:id="rId2"/>
    <sheet name="A_Gros_Islet" sheetId="3" r:id="rId3"/>
    <sheet name="B_Babonneau" sheetId="4" r:id="rId4"/>
    <sheet name="C_Castries_North" sheetId="5" r:id="rId5"/>
    <sheet name="D_Castries_East" sheetId="6" r:id="rId6"/>
    <sheet name="E_Castries_Central" sheetId="7" r:id="rId7"/>
    <sheet name="F_Castries_South" sheetId="8" r:id="rId8"/>
    <sheet name="G_Anse_La_Raye_and_Canaries" sheetId="9" r:id="rId9"/>
    <sheet name="H_Soufriere" sheetId="10" r:id="rId10"/>
    <sheet name="I_Choiseul" sheetId="11" r:id="rId11"/>
    <sheet name="J_Laborie" sheetId="12" r:id="rId12"/>
    <sheet name="K_Vieux_Fort_South" sheetId="13" r:id="rId13"/>
    <sheet name="L_Vieux_Fort_North" sheetId="14" r:id="rId14"/>
    <sheet name="M_Micoud_South" sheetId="15" r:id="rId15"/>
    <sheet name="N_Micoud_North" sheetId="16" r:id="rId16"/>
    <sheet name="O_Dennery_South" sheetId="17" r:id="rId17"/>
    <sheet name="P_Dennery_North" sheetId="18" r:id="rId18"/>
    <sheet name="Q_Castries_South_East" sheetId="19" r:id="rId19"/>
    <sheet name="DV-IDENTITY-0" sheetId="20" state="hidden"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5" i="1" l="1"/>
  <c r="B23" i="1" l="1"/>
  <c r="A34" i="1"/>
  <c r="B23" i="11"/>
  <c r="I53" i="19"/>
  <c r="K53" i="19" s="1"/>
  <c r="I61" i="19"/>
  <c r="K61" i="19" s="1"/>
  <c r="L61" i="19" s="1"/>
  <c r="I60" i="19"/>
  <c r="K60" i="19"/>
  <c r="I59" i="19"/>
  <c r="K59" i="19" s="1"/>
  <c r="L59" i="19" s="1"/>
  <c r="I58" i="19"/>
  <c r="K58" i="19" s="1"/>
  <c r="I57" i="19"/>
  <c r="K57" i="19" s="1"/>
  <c r="L57" i="19" s="1"/>
  <c r="I56" i="19"/>
  <c r="K56" i="19"/>
  <c r="I49" i="19"/>
  <c r="K49" i="19" s="1"/>
  <c r="L49" i="19" s="1"/>
  <c r="I48" i="19"/>
  <c r="K48" i="19"/>
  <c r="I47" i="19"/>
  <c r="K47" i="19" s="1"/>
  <c r="L47" i="19" s="1"/>
  <c r="I43" i="19"/>
  <c r="K43" i="19" s="1"/>
  <c r="L43" i="19" s="1"/>
  <c r="I42" i="19"/>
  <c r="K42" i="19" s="1"/>
  <c r="I41" i="19"/>
  <c r="K41" i="19" s="1"/>
  <c r="L41" i="19" s="1"/>
  <c r="I40" i="19"/>
  <c r="K40" i="19" s="1"/>
  <c r="L40" i="19" s="1"/>
  <c r="I39" i="19"/>
  <c r="K39" i="19"/>
  <c r="I35" i="19"/>
  <c r="K35" i="19" s="1"/>
  <c r="I34" i="19"/>
  <c r="K34" i="19" s="1"/>
  <c r="L34" i="19" s="1"/>
  <c r="I33" i="19"/>
  <c r="K33" i="19" s="1"/>
  <c r="L33" i="19" s="1"/>
  <c r="I32" i="19"/>
  <c r="K32" i="19" s="1"/>
  <c r="L32" i="19" s="1"/>
  <c r="I28" i="19"/>
  <c r="K28" i="19" s="1"/>
  <c r="L28" i="19" s="1"/>
  <c r="I27" i="19"/>
  <c r="K27" i="19"/>
  <c r="I26" i="19"/>
  <c r="K26" i="19" s="1"/>
  <c r="L26" i="19" s="1"/>
  <c r="I25" i="19"/>
  <c r="K25" i="19" s="1"/>
  <c r="I24" i="19"/>
  <c r="K24" i="19" s="1"/>
  <c r="I23" i="19"/>
  <c r="K23" i="19"/>
  <c r="I19" i="19"/>
  <c r="K19" i="19" s="1"/>
  <c r="L19" i="19" s="1"/>
  <c r="I18" i="19"/>
  <c r="K18" i="19" s="1"/>
  <c r="I17" i="19"/>
  <c r="K17" i="19" s="1"/>
  <c r="I16" i="19"/>
  <c r="K16" i="19" s="1"/>
  <c r="L16" i="19" s="1"/>
  <c r="I15" i="19"/>
  <c r="K15" i="19" s="1"/>
  <c r="L15" i="19" s="1"/>
  <c r="I7" i="19"/>
  <c r="K7" i="19" s="1"/>
  <c r="L7" i="19" s="1"/>
  <c r="I8" i="19"/>
  <c r="K8" i="19" s="1"/>
  <c r="L8" i="19" s="1"/>
  <c r="I9" i="19"/>
  <c r="K9" i="19" s="1"/>
  <c r="I10" i="19"/>
  <c r="K10" i="19" s="1"/>
  <c r="L10" i="19" s="1"/>
  <c r="I11" i="19"/>
  <c r="K11" i="19" s="1"/>
  <c r="I6" i="19"/>
  <c r="K6" i="19" s="1"/>
  <c r="I37" i="18"/>
  <c r="K37" i="18" s="1"/>
  <c r="L37" i="18" s="1"/>
  <c r="I36" i="18"/>
  <c r="K36" i="18" s="1"/>
  <c r="I35" i="18"/>
  <c r="K35" i="18" s="1"/>
  <c r="I34" i="18"/>
  <c r="K34" i="18" s="1"/>
  <c r="I33" i="18"/>
  <c r="K33" i="18" s="1"/>
  <c r="I29" i="18"/>
  <c r="K29" i="18" s="1"/>
  <c r="I28" i="18"/>
  <c r="K28" i="18" s="1"/>
  <c r="L28" i="18" s="1"/>
  <c r="I27" i="18"/>
  <c r="K27" i="18" s="1"/>
  <c r="I23" i="18"/>
  <c r="K23" i="18" s="1"/>
  <c r="L23" i="18" s="1"/>
  <c r="I22" i="18"/>
  <c r="K22" i="18" s="1"/>
  <c r="I21" i="18"/>
  <c r="K21" i="18" s="1"/>
  <c r="I20" i="18"/>
  <c r="K20" i="18" s="1"/>
  <c r="I19" i="18"/>
  <c r="K19" i="18" s="1"/>
  <c r="I15" i="18"/>
  <c r="K15" i="18" s="1"/>
  <c r="L15" i="18" s="1"/>
  <c r="I14" i="18"/>
  <c r="K14" i="18" s="1"/>
  <c r="L14" i="18" s="1"/>
  <c r="I13" i="18"/>
  <c r="K13" i="18" s="1"/>
  <c r="L13" i="18" s="1"/>
  <c r="I9" i="18"/>
  <c r="K9" i="18" s="1"/>
  <c r="I7" i="18"/>
  <c r="K7" i="18" s="1"/>
  <c r="L7" i="18" s="1"/>
  <c r="I8" i="18"/>
  <c r="K8" i="18" s="1"/>
  <c r="I6" i="18"/>
  <c r="K6" i="18" s="1"/>
  <c r="K25" i="17"/>
  <c r="M25" i="17"/>
  <c r="K24" i="17"/>
  <c r="M24" i="17" s="1"/>
  <c r="K23" i="17"/>
  <c r="M23" i="17" s="1"/>
  <c r="K22" i="17"/>
  <c r="M22" i="17" s="1"/>
  <c r="N22" i="17" s="1"/>
  <c r="K18" i="17"/>
  <c r="M18" i="17" s="1"/>
  <c r="N18" i="17" s="1"/>
  <c r="K17" i="17"/>
  <c r="M17" i="17" s="1"/>
  <c r="K16" i="17"/>
  <c r="M16" i="17" s="1"/>
  <c r="N16" i="17" s="1"/>
  <c r="K15" i="17"/>
  <c r="M15" i="17" s="1"/>
  <c r="N15" i="17" s="1"/>
  <c r="K14" i="17"/>
  <c r="M14" i="17"/>
  <c r="K13" i="17"/>
  <c r="M13" i="17" s="1"/>
  <c r="K12" i="17"/>
  <c r="M12" i="17" s="1"/>
  <c r="K7" i="17"/>
  <c r="M7" i="17" s="1"/>
  <c r="K8" i="17"/>
  <c r="M8" i="17" s="1"/>
  <c r="K6" i="17"/>
  <c r="M6" i="17" s="1"/>
  <c r="M36" i="16"/>
  <c r="O36" i="16" s="1"/>
  <c r="M35" i="16"/>
  <c r="O35" i="16" s="1"/>
  <c r="M34" i="16"/>
  <c r="O34" i="16" s="1"/>
  <c r="M33" i="16"/>
  <c r="O33" i="16" s="1"/>
  <c r="M32" i="16"/>
  <c r="O32" i="16" s="1"/>
  <c r="P32" i="16" s="1"/>
  <c r="M28" i="16"/>
  <c r="O28" i="16" s="1"/>
  <c r="P28" i="16" s="1"/>
  <c r="M27" i="16"/>
  <c r="O27" i="16" s="1"/>
  <c r="M26" i="16"/>
  <c r="O26" i="16" s="1"/>
  <c r="M25" i="16"/>
  <c r="O25" i="16" s="1"/>
  <c r="P25" i="16" s="1"/>
  <c r="M21" i="16"/>
  <c r="O21" i="16" s="1"/>
  <c r="M20" i="16"/>
  <c r="O20" i="16" s="1"/>
  <c r="M19" i="16"/>
  <c r="O19" i="16" s="1"/>
  <c r="M18" i="16"/>
  <c r="O18" i="16" s="1"/>
  <c r="M17" i="16"/>
  <c r="O17" i="16" s="1"/>
  <c r="P17" i="16" s="1"/>
  <c r="M10" i="16"/>
  <c r="O10" i="16" s="1"/>
  <c r="M11" i="16"/>
  <c r="O11" i="16" s="1"/>
  <c r="M12" i="16"/>
  <c r="O12" i="16" s="1"/>
  <c r="P12" i="16" s="1"/>
  <c r="M13" i="16"/>
  <c r="O13" i="16" s="1"/>
  <c r="M9" i="16"/>
  <c r="O9" i="16" s="1"/>
  <c r="M6" i="16"/>
  <c r="O6" i="16" s="1"/>
  <c r="I34" i="15"/>
  <c r="K34" i="15" s="1"/>
  <c r="L34" i="15" s="1"/>
  <c r="I35" i="15"/>
  <c r="K35" i="15" s="1"/>
  <c r="L35" i="15" s="1"/>
  <c r="I36" i="15"/>
  <c r="K36" i="15" s="1"/>
  <c r="I37" i="15"/>
  <c r="K37" i="15" s="1"/>
  <c r="I18" i="15"/>
  <c r="K18" i="15" s="1"/>
  <c r="L18" i="15" s="1"/>
  <c r="I30" i="15"/>
  <c r="K30" i="15" s="1"/>
  <c r="K29" i="15"/>
  <c r="I28" i="15"/>
  <c r="K28" i="15" s="1"/>
  <c r="I27" i="15"/>
  <c r="K27" i="15"/>
  <c r="I26" i="15"/>
  <c r="K26" i="15" s="1"/>
  <c r="I22" i="15"/>
  <c r="K22" i="15" s="1"/>
  <c r="I21" i="15"/>
  <c r="K21" i="15" s="1"/>
  <c r="I14" i="15"/>
  <c r="K14" i="15" s="1"/>
  <c r="I13" i="15"/>
  <c r="K13" i="15" s="1"/>
  <c r="I12" i="15"/>
  <c r="K12" i="15" s="1"/>
  <c r="I11" i="15"/>
  <c r="K11" i="15" s="1"/>
  <c r="I7" i="15"/>
  <c r="K7" i="15" s="1"/>
  <c r="I6" i="15"/>
  <c r="K6" i="15"/>
  <c r="I27" i="14"/>
  <c r="K27" i="14" s="1"/>
  <c r="I30" i="14"/>
  <c r="K30" i="14" s="1"/>
  <c r="I29" i="14"/>
  <c r="K29" i="14" s="1"/>
  <c r="L29" i="14" s="1"/>
  <c r="I28" i="14"/>
  <c r="K28" i="14" s="1"/>
  <c r="L28" i="14" s="1"/>
  <c r="I21" i="14"/>
  <c r="K21" i="14" s="1"/>
  <c r="I22" i="14"/>
  <c r="K22" i="14" s="1"/>
  <c r="I23" i="14"/>
  <c r="K23" i="14"/>
  <c r="I20" i="14"/>
  <c r="K20" i="14" s="1"/>
  <c r="L20" i="14" s="1"/>
  <c r="I10" i="14"/>
  <c r="K10" i="14" s="1"/>
  <c r="I11" i="14"/>
  <c r="K11" i="14" s="1"/>
  <c r="I12" i="14"/>
  <c r="K12" i="14" s="1"/>
  <c r="I13" i="14"/>
  <c r="K13" i="14" s="1"/>
  <c r="I14" i="14"/>
  <c r="K14" i="14" s="1"/>
  <c r="I15" i="14"/>
  <c r="K15" i="14" s="1"/>
  <c r="I16" i="14"/>
  <c r="K16" i="14" s="1"/>
  <c r="L16" i="14" s="1"/>
  <c r="I9" i="14"/>
  <c r="K9" i="14"/>
  <c r="I6" i="14"/>
  <c r="K6" i="14" s="1"/>
  <c r="B17" i="14"/>
  <c r="B24" i="14"/>
  <c r="B31" i="14"/>
  <c r="I37" i="13"/>
  <c r="K37" i="13" s="1"/>
  <c r="I36" i="13"/>
  <c r="K36" i="13" s="1"/>
  <c r="L36" i="13" s="1"/>
  <c r="I35" i="13"/>
  <c r="K35" i="13" s="1"/>
  <c r="I34" i="13"/>
  <c r="K34" i="13" s="1"/>
  <c r="I30" i="13"/>
  <c r="K30" i="13" s="1"/>
  <c r="I29" i="13"/>
  <c r="K29" i="13" s="1"/>
  <c r="I28" i="13"/>
  <c r="K28" i="13" s="1"/>
  <c r="I27" i="13"/>
  <c r="K27" i="13"/>
  <c r="I26" i="13"/>
  <c r="K26" i="13" s="1"/>
  <c r="I25" i="13"/>
  <c r="K25" i="13" s="1"/>
  <c r="I24" i="13"/>
  <c r="K24" i="13" s="1"/>
  <c r="I23" i="13"/>
  <c r="K23" i="13"/>
  <c r="I19" i="13"/>
  <c r="K19" i="13" s="1"/>
  <c r="I18" i="13"/>
  <c r="K18" i="13" s="1"/>
  <c r="L18" i="13" s="1"/>
  <c r="I17" i="13"/>
  <c r="K17" i="13" s="1"/>
  <c r="I16" i="13"/>
  <c r="K16" i="13" s="1"/>
  <c r="L16" i="13" s="1"/>
  <c r="I15" i="13"/>
  <c r="K15" i="13" s="1"/>
  <c r="I7" i="13"/>
  <c r="K7" i="13" s="1"/>
  <c r="I8" i="13"/>
  <c r="K8" i="13" s="1"/>
  <c r="I9" i="13"/>
  <c r="K9" i="13"/>
  <c r="I10" i="13"/>
  <c r="K10" i="13" s="1"/>
  <c r="I11" i="13"/>
  <c r="K11" i="13" s="1"/>
  <c r="I6" i="13"/>
  <c r="K6" i="13" s="1"/>
  <c r="I34" i="12"/>
  <c r="K34" i="12" s="1"/>
  <c r="K36" i="12" s="1"/>
  <c r="L36" i="12" s="1"/>
  <c r="I35" i="12"/>
  <c r="K35" i="12" s="1"/>
  <c r="I30" i="12"/>
  <c r="K30" i="12"/>
  <c r="I29" i="12"/>
  <c r="K29" i="12" s="1"/>
  <c r="I25" i="12"/>
  <c r="K25" i="12" s="1"/>
  <c r="I24" i="12"/>
  <c r="K24" i="12" s="1"/>
  <c r="I23" i="12"/>
  <c r="K23" i="12" s="1"/>
  <c r="I19" i="12"/>
  <c r="K19" i="12" s="1"/>
  <c r="I18" i="12"/>
  <c r="K18" i="12" s="1"/>
  <c r="L18" i="12" s="1"/>
  <c r="I17" i="12"/>
  <c r="K17" i="12" s="1"/>
  <c r="I16" i="12"/>
  <c r="K16" i="12" s="1"/>
  <c r="L16" i="12" s="1"/>
  <c r="I15" i="12"/>
  <c r="K15" i="12" s="1"/>
  <c r="I6" i="12"/>
  <c r="K6" i="12" s="1"/>
  <c r="I7" i="12"/>
  <c r="K7" i="12" s="1"/>
  <c r="I8" i="12"/>
  <c r="K8" i="12" s="1"/>
  <c r="L8" i="12" s="1"/>
  <c r="I9" i="12"/>
  <c r="K9" i="12" s="1"/>
  <c r="I10" i="12"/>
  <c r="K10" i="12"/>
  <c r="I11" i="12"/>
  <c r="K11" i="12" s="1"/>
  <c r="I37" i="11"/>
  <c r="K37" i="11" s="1"/>
  <c r="I53" i="11"/>
  <c r="K53" i="11" s="1"/>
  <c r="I52" i="11"/>
  <c r="K52" i="11" s="1"/>
  <c r="L52" i="11" s="1"/>
  <c r="I48" i="11"/>
  <c r="K48" i="11" s="1"/>
  <c r="I47" i="11"/>
  <c r="K47" i="11" s="1"/>
  <c r="L47" i="11" s="1"/>
  <c r="I46" i="11"/>
  <c r="K46" i="11" s="1"/>
  <c r="I42" i="11"/>
  <c r="K42" i="11" s="1"/>
  <c r="L42" i="11" s="1"/>
  <c r="I41" i="11"/>
  <c r="K41" i="11" s="1"/>
  <c r="I40" i="11"/>
  <c r="K40" i="11" s="1"/>
  <c r="L40" i="11" s="1"/>
  <c r="I33" i="11"/>
  <c r="K33" i="11" s="1"/>
  <c r="I32" i="11"/>
  <c r="K32" i="11" s="1"/>
  <c r="I31" i="11"/>
  <c r="K31" i="11" s="1"/>
  <c r="I27" i="11"/>
  <c r="K27" i="11" s="1"/>
  <c r="L27" i="11" s="1"/>
  <c r="I26" i="11"/>
  <c r="K26" i="11" s="1"/>
  <c r="I19" i="11"/>
  <c r="K19" i="11"/>
  <c r="I20" i="11"/>
  <c r="K20" i="11" s="1"/>
  <c r="I21" i="11"/>
  <c r="K21" i="11" s="1"/>
  <c r="I22" i="11"/>
  <c r="K22" i="11" s="1"/>
  <c r="I13" i="11"/>
  <c r="K13" i="11" s="1"/>
  <c r="I14" i="11"/>
  <c r="K14" i="11"/>
  <c r="I15" i="11"/>
  <c r="K15" i="11" s="1"/>
  <c r="I7" i="11"/>
  <c r="K7" i="11" s="1"/>
  <c r="I8" i="11"/>
  <c r="K8" i="11" s="1"/>
  <c r="I9" i="11"/>
  <c r="K9" i="11" s="1"/>
  <c r="L9" i="11" s="1"/>
  <c r="I6" i="11"/>
  <c r="K6" i="11" s="1"/>
  <c r="K35" i="10"/>
  <c r="M35" i="10" s="1"/>
  <c r="K44" i="10"/>
  <c r="M44" i="10" s="1"/>
  <c r="K43" i="10"/>
  <c r="M43" i="10" s="1"/>
  <c r="K39" i="10"/>
  <c r="M39" i="10" s="1"/>
  <c r="K38" i="10"/>
  <c r="M38" i="10"/>
  <c r="K31" i="10"/>
  <c r="M31" i="10" s="1"/>
  <c r="K30" i="10"/>
  <c r="M30" i="10" s="1"/>
  <c r="K26" i="10"/>
  <c r="M26" i="10" s="1"/>
  <c r="K25" i="10"/>
  <c r="M25" i="10" s="1"/>
  <c r="K24" i="10"/>
  <c r="M24" i="10" s="1"/>
  <c r="K20" i="10"/>
  <c r="M20" i="10" s="1"/>
  <c r="N20" i="10" s="1"/>
  <c r="M19" i="10"/>
  <c r="K18" i="10"/>
  <c r="M18" i="10" s="1"/>
  <c r="K17" i="10"/>
  <c r="M17" i="10" s="1"/>
  <c r="N17" i="10" s="1"/>
  <c r="K16" i="10"/>
  <c r="M16" i="10" s="1"/>
  <c r="K7" i="10"/>
  <c r="M7" i="10" s="1"/>
  <c r="K8" i="10"/>
  <c r="M8" i="10" s="1"/>
  <c r="K9" i="10"/>
  <c r="M9" i="10" s="1"/>
  <c r="K10" i="10"/>
  <c r="M10" i="10" s="1"/>
  <c r="K11" i="10"/>
  <c r="M11" i="10" s="1"/>
  <c r="K12" i="10"/>
  <c r="M12" i="10" s="1"/>
  <c r="K6" i="10"/>
  <c r="M6" i="10" s="1"/>
  <c r="I40" i="9"/>
  <c r="K40" i="9" s="1"/>
  <c r="L40" i="9" s="1"/>
  <c r="K39" i="9"/>
  <c r="I38" i="9"/>
  <c r="K38" i="9" s="1"/>
  <c r="I37" i="9"/>
  <c r="K37" i="9" s="1"/>
  <c r="L37" i="9" s="1"/>
  <c r="I36" i="9"/>
  <c r="K36" i="9" s="1"/>
  <c r="I35" i="9"/>
  <c r="K35" i="9" s="1"/>
  <c r="L35" i="9" s="1"/>
  <c r="I31" i="9"/>
  <c r="K31" i="9" s="1"/>
  <c r="I30" i="9"/>
  <c r="K30" i="9" s="1"/>
  <c r="L30" i="9" s="1"/>
  <c r="I29" i="9"/>
  <c r="K29" i="9" s="1"/>
  <c r="I28" i="9"/>
  <c r="K28" i="9"/>
  <c r="I27" i="9"/>
  <c r="K27" i="9" s="1"/>
  <c r="I26" i="9"/>
  <c r="K26" i="9" s="1"/>
  <c r="L26" i="9" s="1"/>
  <c r="I22" i="9"/>
  <c r="K22" i="9" s="1"/>
  <c r="I21" i="9"/>
  <c r="K21" i="9" s="1"/>
  <c r="I17" i="9"/>
  <c r="K17" i="9" s="1"/>
  <c r="I16" i="9"/>
  <c r="K16" i="9"/>
  <c r="I15" i="9"/>
  <c r="K15" i="9" s="1"/>
  <c r="I7" i="9"/>
  <c r="K7" i="9" s="1"/>
  <c r="L7" i="9" s="1"/>
  <c r="I8" i="9"/>
  <c r="K8" i="9" s="1"/>
  <c r="I9" i="9"/>
  <c r="K9" i="9" s="1"/>
  <c r="I10" i="9"/>
  <c r="K10" i="9" s="1"/>
  <c r="I11" i="9"/>
  <c r="K11" i="9" s="1"/>
  <c r="L11" i="9" s="1"/>
  <c r="I6" i="9"/>
  <c r="K6" i="9" s="1"/>
  <c r="I32" i="8"/>
  <c r="K32" i="8" s="1"/>
  <c r="I31" i="8"/>
  <c r="K31" i="8" s="1"/>
  <c r="I30" i="8"/>
  <c r="K30" i="8" s="1"/>
  <c r="I29" i="8"/>
  <c r="K29" i="8" s="1"/>
  <c r="I28" i="8"/>
  <c r="K28" i="8" s="1"/>
  <c r="I24" i="8"/>
  <c r="K24" i="8" s="1"/>
  <c r="I23" i="8"/>
  <c r="K23" i="8"/>
  <c r="I22" i="8"/>
  <c r="K22" i="8" s="1"/>
  <c r="I21" i="8"/>
  <c r="K21" i="8" s="1"/>
  <c r="I20" i="8"/>
  <c r="K20" i="8" s="1"/>
  <c r="I19" i="8"/>
  <c r="K19" i="8" s="1"/>
  <c r="I18" i="8"/>
  <c r="K18" i="8" s="1"/>
  <c r="I17" i="8"/>
  <c r="K17" i="8" s="1"/>
  <c r="L17" i="8" s="1"/>
  <c r="I16" i="8"/>
  <c r="K16" i="8" s="1"/>
  <c r="I7" i="8"/>
  <c r="K7" i="8" s="1"/>
  <c r="L7" i="8" s="1"/>
  <c r="I8" i="8"/>
  <c r="K8" i="8" s="1"/>
  <c r="I9" i="8"/>
  <c r="K9" i="8" s="1"/>
  <c r="I10" i="8"/>
  <c r="K10" i="8" s="1"/>
  <c r="I11" i="8"/>
  <c r="K11" i="8"/>
  <c r="I12" i="8"/>
  <c r="K12" i="8" s="1"/>
  <c r="I6" i="8"/>
  <c r="K6" i="8" s="1"/>
  <c r="L6" i="8" s="1"/>
  <c r="K49" i="7"/>
  <c r="M49" i="7" s="1"/>
  <c r="K48" i="7"/>
  <c r="M48" i="7" s="1"/>
  <c r="K47" i="7"/>
  <c r="M47" i="7" s="1"/>
  <c r="K46" i="7"/>
  <c r="M46" i="7"/>
  <c r="K42" i="7"/>
  <c r="M42" i="7" s="1"/>
  <c r="K41" i="7"/>
  <c r="M41" i="7" s="1"/>
  <c r="K40" i="7"/>
  <c r="M40" i="7" s="1"/>
  <c r="K37" i="7"/>
  <c r="M37" i="7" s="1"/>
  <c r="K36" i="7"/>
  <c r="M36" i="7" s="1"/>
  <c r="K35" i="7"/>
  <c r="M35" i="7" s="1"/>
  <c r="K34" i="7"/>
  <c r="M34" i="7" s="1"/>
  <c r="K30" i="7"/>
  <c r="M30" i="7" s="1"/>
  <c r="K29" i="7"/>
  <c r="M29" i="7" s="1"/>
  <c r="K28" i="7"/>
  <c r="M28" i="7" s="1"/>
  <c r="K27" i="7"/>
  <c r="M27" i="7" s="1"/>
  <c r="K26" i="7"/>
  <c r="M26" i="7" s="1"/>
  <c r="K22" i="7"/>
  <c r="M22" i="7" s="1"/>
  <c r="K21" i="7"/>
  <c r="M21" i="7" s="1"/>
  <c r="K20" i="7"/>
  <c r="M20" i="7" s="1"/>
  <c r="K19" i="7"/>
  <c r="M19" i="7" s="1"/>
  <c r="K15" i="7"/>
  <c r="M15" i="7" s="1"/>
  <c r="K14" i="7"/>
  <c r="M14" i="7" s="1"/>
  <c r="N14" i="7" s="1"/>
  <c r="K13" i="7"/>
  <c r="M13" i="7" s="1"/>
  <c r="K12" i="7"/>
  <c r="M12" i="7" s="1"/>
  <c r="K8" i="7"/>
  <c r="M8" i="7" s="1"/>
  <c r="K7" i="7"/>
  <c r="M7" i="7" s="1"/>
  <c r="K6" i="7"/>
  <c r="M6" i="7" s="1"/>
  <c r="I53" i="6"/>
  <c r="K53" i="6" s="1"/>
  <c r="I55" i="6"/>
  <c r="K55" i="6" s="1"/>
  <c r="I54" i="6"/>
  <c r="K54" i="6"/>
  <c r="I49" i="6"/>
  <c r="K49" i="6" s="1"/>
  <c r="I48" i="6"/>
  <c r="K48" i="6" s="1"/>
  <c r="I47" i="6"/>
  <c r="K47" i="6" s="1"/>
  <c r="L47" i="6" s="1"/>
  <c r="L18" i="20" s="1"/>
  <c r="I44" i="6"/>
  <c r="K44" i="6"/>
  <c r="I43" i="6"/>
  <c r="K43" i="6" s="1"/>
  <c r="I42" i="6"/>
  <c r="K42" i="6" s="1"/>
  <c r="I38" i="6"/>
  <c r="K38" i="6" s="1"/>
  <c r="I37" i="6"/>
  <c r="K37" i="6"/>
  <c r="I36" i="6"/>
  <c r="K36" i="6" s="1"/>
  <c r="I35" i="6"/>
  <c r="K35" i="6" s="1"/>
  <c r="L35" i="6" s="1"/>
  <c r="I34" i="6"/>
  <c r="K34" i="6" s="1"/>
  <c r="I33" i="6"/>
  <c r="K33" i="6" s="1"/>
  <c r="L33" i="6" s="1"/>
  <c r="I32" i="6"/>
  <c r="K32" i="6" s="1"/>
  <c r="I31" i="6"/>
  <c r="K31" i="6" s="1"/>
  <c r="I30" i="6"/>
  <c r="K30" i="6" s="1"/>
  <c r="I29" i="6"/>
  <c r="K29" i="6" s="1"/>
  <c r="I25" i="6"/>
  <c r="K25" i="6" s="1"/>
  <c r="I24" i="6"/>
  <c r="K24" i="6"/>
  <c r="I20" i="6"/>
  <c r="K20" i="6" s="1"/>
  <c r="I19" i="6"/>
  <c r="K19" i="6" s="1"/>
  <c r="I18" i="6"/>
  <c r="K18" i="6" s="1"/>
  <c r="I17" i="6"/>
  <c r="K17" i="6"/>
  <c r="I16" i="6"/>
  <c r="K16" i="6" s="1"/>
  <c r="I15" i="6"/>
  <c r="K15" i="6" s="1"/>
  <c r="I14" i="6"/>
  <c r="K14" i="6" s="1"/>
  <c r="I13" i="6"/>
  <c r="K13" i="6" s="1"/>
  <c r="I12" i="6"/>
  <c r="K12" i="6" s="1"/>
  <c r="I8" i="6"/>
  <c r="K8" i="6" s="1"/>
  <c r="L8" i="6" s="1"/>
  <c r="I7" i="6"/>
  <c r="K7" i="6" s="1"/>
  <c r="I6" i="6"/>
  <c r="K6" i="6" s="1"/>
  <c r="I45" i="5"/>
  <c r="K45" i="5" s="1"/>
  <c r="I44" i="5"/>
  <c r="K44" i="5" s="1"/>
  <c r="I43" i="5"/>
  <c r="K43" i="5" s="1"/>
  <c r="I39" i="5"/>
  <c r="K39" i="5" s="1"/>
  <c r="I38" i="5"/>
  <c r="K38" i="5" s="1"/>
  <c r="I37" i="5"/>
  <c r="K37" i="5"/>
  <c r="I36" i="5"/>
  <c r="K36" i="5" s="1"/>
  <c r="I35" i="5"/>
  <c r="K35" i="5" s="1"/>
  <c r="I34" i="5"/>
  <c r="K34" i="5" s="1"/>
  <c r="I33" i="5"/>
  <c r="K33" i="5" s="1"/>
  <c r="I29" i="5"/>
  <c r="K29" i="5" s="1"/>
  <c r="I28" i="5"/>
  <c r="K28" i="5" s="1"/>
  <c r="I27" i="5"/>
  <c r="K27" i="5" s="1"/>
  <c r="I26" i="5"/>
  <c r="K26" i="5" s="1"/>
  <c r="I22" i="5"/>
  <c r="K22" i="5" s="1"/>
  <c r="I21" i="5"/>
  <c r="K21" i="5" s="1"/>
  <c r="I20" i="5"/>
  <c r="K20" i="5" s="1"/>
  <c r="I19" i="5"/>
  <c r="K19" i="5"/>
  <c r="I18" i="5"/>
  <c r="K18" i="5" s="1"/>
  <c r="I17" i="5"/>
  <c r="K17" i="5" s="1"/>
  <c r="I16" i="5"/>
  <c r="K16" i="5" s="1"/>
  <c r="I15" i="5"/>
  <c r="K15" i="5"/>
  <c r="I11" i="5"/>
  <c r="K11" i="5" s="1"/>
  <c r="I8" i="5"/>
  <c r="K8" i="5"/>
  <c r="I7" i="5"/>
  <c r="K7" i="5" s="1"/>
  <c r="I10" i="5"/>
  <c r="K10" i="5" s="1"/>
  <c r="I9" i="5"/>
  <c r="K9" i="5" s="1"/>
  <c r="I6" i="5"/>
  <c r="K6" i="5" s="1"/>
  <c r="K54" i="3"/>
  <c r="M54" i="3" s="1"/>
  <c r="K47" i="3"/>
  <c r="M47" i="3" s="1"/>
  <c r="B12" i="19"/>
  <c r="B20" i="19"/>
  <c r="B29" i="19"/>
  <c r="B36" i="19"/>
  <c r="B44" i="19"/>
  <c r="B50" i="19"/>
  <c r="B62" i="19"/>
  <c r="B10" i="18"/>
  <c r="B16" i="18"/>
  <c r="B24" i="18"/>
  <c r="B30" i="18"/>
  <c r="B38" i="18"/>
  <c r="B9" i="17"/>
  <c r="B19" i="17"/>
  <c r="B26" i="17"/>
  <c r="B14" i="16"/>
  <c r="B22" i="16"/>
  <c r="B29" i="16"/>
  <c r="B37" i="16"/>
  <c r="B8" i="15"/>
  <c r="B15" i="15"/>
  <c r="B23" i="15"/>
  <c r="B31" i="15"/>
  <c r="B38" i="15"/>
  <c r="I59" i="4"/>
  <c r="K59" i="4" s="1"/>
  <c r="I35" i="4"/>
  <c r="K35" i="4" s="1"/>
  <c r="I60" i="4"/>
  <c r="K60" i="4" s="1"/>
  <c r="I58" i="4"/>
  <c r="K58" i="4" s="1"/>
  <c r="I57" i="4"/>
  <c r="K57" i="4"/>
  <c r="I54" i="4"/>
  <c r="K54" i="4" s="1"/>
  <c r="I53" i="4"/>
  <c r="K53" i="4" s="1"/>
  <c r="I52" i="4"/>
  <c r="K52" i="4" s="1"/>
  <c r="I51" i="4"/>
  <c r="K51" i="4" s="1"/>
  <c r="I47" i="4"/>
  <c r="K47" i="4" s="1"/>
  <c r="I46" i="4"/>
  <c r="K46" i="4" s="1"/>
  <c r="I45" i="4"/>
  <c r="K45" i="4"/>
  <c r="I41" i="4"/>
  <c r="K41" i="4" s="1"/>
  <c r="I40" i="4"/>
  <c r="K40" i="4" s="1"/>
  <c r="I39" i="4"/>
  <c r="K39" i="4" s="1"/>
  <c r="I38" i="4"/>
  <c r="K38" i="4" s="1"/>
  <c r="I37" i="4"/>
  <c r="K37" i="4" s="1"/>
  <c r="I31" i="4"/>
  <c r="K31" i="4"/>
  <c r="I30" i="4"/>
  <c r="K30" i="4" s="1"/>
  <c r="I26" i="4"/>
  <c r="K26" i="4" s="1"/>
  <c r="I25" i="4"/>
  <c r="K25" i="4" s="1"/>
  <c r="I24" i="4"/>
  <c r="K24" i="4" s="1"/>
  <c r="L24" i="4" s="1"/>
  <c r="I21" i="4"/>
  <c r="K21" i="4" s="1"/>
  <c r="I20" i="4"/>
  <c r="K20" i="4" s="1"/>
  <c r="I19" i="4"/>
  <c r="K19" i="4" s="1"/>
  <c r="I18" i="4"/>
  <c r="K18" i="4" s="1"/>
  <c r="I14" i="4"/>
  <c r="K14" i="4" s="1"/>
  <c r="I13" i="4"/>
  <c r="K13" i="4"/>
  <c r="I7" i="4"/>
  <c r="K7" i="4"/>
  <c r="I8" i="4"/>
  <c r="K8" i="4" s="1"/>
  <c r="I9" i="4"/>
  <c r="K9" i="4" s="1"/>
  <c r="I6" i="4"/>
  <c r="K6" i="4" s="1"/>
  <c r="K34" i="3"/>
  <c r="M34" i="3" s="1"/>
  <c r="N34" i="3" s="1"/>
  <c r="K27" i="3"/>
  <c r="M27" i="3" s="1"/>
  <c r="K78" i="3"/>
  <c r="M78" i="3" s="1"/>
  <c r="K77" i="3"/>
  <c r="M77" i="3" s="1"/>
  <c r="K76" i="3"/>
  <c r="M76" i="3" s="1"/>
  <c r="K75" i="3"/>
  <c r="M75" i="3"/>
  <c r="K74" i="3"/>
  <c r="M74" i="3" s="1"/>
  <c r="K73" i="3"/>
  <c r="M73" i="3"/>
  <c r="K72" i="3"/>
  <c r="M72" i="3" s="1"/>
  <c r="K71" i="3"/>
  <c r="M71" i="3" s="1"/>
  <c r="K70" i="3"/>
  <c r="M70" i="3" s="1"/>
  <c r="K69" i="3"/>
  <c r="M69" i="3"/>
  <c r="K68" i="3"/>
  <c r="M68" i="3" s="1"/>
  <c r="K64" i="3"/>
  <c r="M64" i="3"/>
  <c r="K63" i="3"/>
  <c r="M63" i="3" s="1"/>
  <c r="K62" i="3"/>
  <c r="M62" i="3" s="1"/>
  <c r="K61" i="3"/>
  <c r="M61" i="3" s="1"/>
  <c r="K60" i="3"/>
  <c r="M60" i="3" s="1"/>
  <c r="K59" i="3"/>
  <c r="M59" i="3" s="1"/>
  <c r="K58" i="3"/>
  <c r="M58" i="3"/>
  <c r="K57" i="3"/>
  <c r="M57" i="3" s="1"/>
  <c r="K56" i="3"/>
  <c r="M56" i="3" s="1"/>
  <c r="K55" i="3"/>
  <c r="M55" i="3" s="1"/>
  <c r="K50" i="3"/>
  <c r="M50" i="3" s="1"/>
  <c r="K49" i="3"/>
  <c r="M49" i="3" s="1"/>
  <c r="N49" i="3" s="1"/>
  <c r="K48" i="3"/>
  <c r="M48" i="3"/>
  <c r="K46" i="3"/>
  <c r="M46" i="3" s="1"/>
  <c r="K42" i="3"/>
  <c r="M42" i="3" s="1"/>
  <c r="K41" i="3"/>
  <c r="M41" i="3"/>
  <c r="K40" i="3"/>
  <c r="M40" i="3" s="1"/>
  <c r="K39" i="3"/>
  <c r="M39" i="3" s="1"/>
  <c r="K38" i="3"/>
  <c r="M38" i="3" s="1"/>
  <c r="K37" i="3"/>
  <c r="M37" i="3" s="1"/>
  <c r="M8" i="20" s="1"/>
  <c r="K30" i="3"/>
  <c r="M30" i="3" s="1"/>
  <c r="K29" i="3"/>
  <c r="M29" i="3" s="1"/>
  <c r="K28" i="3"/>
  <c r="M28" i="3" s="1"/>
  <c r="K23" i="3"/>
  <c r="M23" i="3" s="1"/>
  <c r="K22" i="3"/>
  <c r="M22" i="3"/>
  <c r="K21" i="3"/>
  <c r="M21" i="3" s="1"/>
  <c r="N21" i="3" s="1"/>
  <c r="N7" i="20" s="1"/>
  <c r="K20" i="3"/>
  <c r="M20" i="3" s="1"/>
  <c r="K19" i="3"/>
  <c r="M19" i="3" s="1"/>
  <c r="K18" i="3"/>
  <c r="M18" i="3" s="1"/>
  <c r="K17" i="3"/>
  <c r="M17" i="3" s="1"/>
  <c r="K16" i="3"/>
  <c r="M16" i="3" s="1"/>
  <c r="K7" i="3"/>
  <c r="M7" i="3" s="1"/>
  <c r="K8" i="3"/>
  <c r="M8" i="3" s="1"/>
  <c r="K9" i="3"/>
  <c r="M9" i="3" s="1"/>
  <c r="K10" i="3"/>
  <c r="M10" i="3" s="1"/>
  <c r="K11" i="3"/>
  <c r="M11" i="3"/>
  <c r="K12" i="3"/>
  <c r="M12" i="3" s="1"/>
  <c r="B13" i="3"/>
  <c r="B24" i="3"/>
  <c r="B31" i="3"/>
  <c r="B43" i="3"/>
  <c r="B51" i="3"/>
  <c r="B65" i="3"/>
  <c r="B79" i="3"/>
  <c r="K6" i="3"/>
  <c r="M6" i="3" s="1"/>
  <c r="C12" i="9"/>
  <c r="E12" i="9"/>
  <c r="G12" i="9"/>
  <c r="G18" i="9"/>
  <c r="G23" i="9"/>
  <c r="G32" i="9"/>
  <c r="G41" i="9"/>
  <c r="C18" i="9"/>
  <c r="I18" i="9" s="1"/>
  <c r="E18" i="9"/>
  <c r="C23" i="9"/>
  <c r="I23" i="9" s="1"/>
  <c r="E23" i="9"/>
  <c r="C32" i="9"/>
  <c r="E32" i="9"/>
  <c r="C41" i="9"/>
  <c r="E41" i="9"/>
  <c r="J39" i="9"/>
  <c r="H39" i="9"/>
  <c r="F39" i="9"/>
  <c r="D39" i="9"/>
  <c r="B12" i="13"/>
  <c r="B20" i="13"/>
  <c r="B31" i="13"/>
  <c r="B38" i="13"/>
  <c r="B12" i="12"/>
  <c r="B20" i="12"/>
  <c r="B26" i="12"/>
  <c r="B31" i="12"/>
  <c r="B36" i="12"/>
  <c r="B10" i="11"/>
  <c r="B16" i="11"/>
  <c r="B28" i="11"/>
  <c r="B34" i="11"/>
  <c r="B43" i="11"/>
  <c r="B49" i="11"/>
  <c r="B54" i="11"/>
  <c r="B13" i="10"/>
  <c r="B21" i="10"/>
  <c r="B27" i="10"/>
  <c r="B32" i="10"/>
  <c r="B40" i="10"/>
  <c r="B45" i="10"/>
  <c r="B12" i="9"/>
  <c r="B4" i="9" s="1"/>
  <c r="B18" i="9"/>
  <c r="B23" i="9"/>
  <c r="B32" i="9"/>
  <c r="B41" i="9"/>
  <c r="B13" i="8"/>
  <c r="B4" i="8" s="1"/>
  <c r="C25" i="2" s="1"/>
  <c r="B25" i="8"/>
  <c r="B33" i="8"/>
  <c r="B9" i="7"/>
  <c r="B16" i="7"/>
  <c r="B23" i="7"/>
  <c r="B31" i="7"/>
  <c r="B38" i="7"/>
  <c r="B43" i="7"/>
  <c r="B50" i="7"/>
  <c r="B9" i="6"/>
  <c r="B21" i="6"/>
  <c r="B26" i="6"/>
  <c r="B39" i="6"/>
  <c r="B45" i="6"/>
  <c r="B50" i="6"/>
  <c r="B56" i="6"/>
  <c r="B12" i="5"/>
  <c r="B23" i="5"/>
  <c r="B30" i="5"/>
  <c r="B40" i="5"/>
  <c r="B46" i="5"/>
  <c r="B61" i="4"/>
  <c r="B10" i="4"/>
  <c r="B15" i="4"/>
  <c r="B22" i="4"/>
  <c r="B27" i="4"/>
  <c r="B32" i="4"/>
  <c r="B42" i="4"/>
  <c r="B48" i="4"/>
  <c r="B55" i="4"/>
  <c r="C22" i="4"/>
  <c r="E22" i="4"/>
  <c r="G22" i="4"/>
  <c r="C48" i="4"/>
  <c r="I13" i="3"/>
  <c r="I24" i="3"/>
  <c r="I31" i="3"/>
  <c r="I43" i="3"/>
  <c r="I51" i="3"/>
  <c r="I65" i="3"/>
  <c r="I79" i="3"/>
  <c r="C13" i="3"/>
  <c r="C24" i="3"/>
  <c r="C31" i="3"/>
  <c r="C43" i="3"/>
  <c r="C51" i="3"/>
  <c r="C65" i="3"/>
  <c r="C79" i="3"/>
  <c r="E13" i="3"/>
  <c r="E24" i="3"/>
  <c r="E31" i="3"/>
  <c r="E43" i="3"/>
  <c r="E51" i="3"/>
  <c r="E65" i="3"/>
  <c r="E79" i="3"/>
  <c r="G13" i="3"/>
  <c r="G24" i="3"/>
  <c r="G31" i="3"/>
  <c r="G43" i="3"/>
  <c r="G51" i="3"/>
  <c r="G65" i="3"/>
  <c r="G79" i="3"/>
  <c r="C10" i="18"/>
  <c r="I10" i="18" s="1"/>
  <c r="C16" i="18"/>
  <c r="I16" i="18" s="1"/>
  <c r="C24" i="18"/>
  <c r="C30" i="18"/>
  <c r="C38" i="18"/>
  <c r="E10" i="18"/>
  <c r="E16" i="18"/>
  <c r="E24" i="18"/>
  <c r="E30" i="18"/>
  <c r="I30" i="18" s="1"/>
  <c r="E38" i="18"/>
  <c r="G10" i="18"/>
  <c r="G16" i="18"/>
  <c r="G24" i="18"/>
  <c r="G30" i="18"/>
  <c r="G38" i="18"/>
  <c r="C29" i="16"/>
  <c r="E20" i="13"/>
  <c r="A1" i="20"/>
  <c r="B1" i="20"/>
  <c r="C1" i="20"/>
  <c r="D1" i="20"/>
  <c r="E1" i="20"/>
  <c r="F1" i="20"/>
  <c r="G1" i="20"/>
  <c r="H1" i="20"/>
  <c r="I1" i="20"/>
  <c r="J1" i="20"/>
  <c r="K1" i="20"/>
  <c r="L1" i="20"/>
  <c r="M1" i="20"/>
  <c r="N1" i="20"/>
  <c r="O1" i="20"/>
  <c r="P1" i="20"/>
  <c r="Q1" i="20"/>
  <c r="R1" i="20"/>
  <c r="S1" i="20"/>
  <c r="T1" i="20"/>
  <c r="U1" i="20"/>
  <c r="V1" i="20"/>
  <c r="W1" i="20"/>
  <c r="X1" i="20"/>
  <c r="Y1" i="20"/>
  <c r="Z1" i="20"/>
  <c r="AA1" i="20"/>
  <c r="AB1" i="20"/>
  <c r="AC1" i="20"/>
  <c r="AD1" i="20"/>
  <c r="AE1" i="20"/>
  <c r="AF1" i="20"/>
  <c r="AG1" i="20"/>
  <c r="AH1" i="20"/>
  <c r="AI1" i="20"/>
  <c r="AJ1" i="20"/>
  <c r="AK1" i="20"/>
  <c r="AL1" i="20"/>
  <c r="AM1" i="20"/>
  <c r="AN1" i="20"/>
  <c r="AO1" i="20"/>
  <c r="AP1" i="20"/>
  <c r="AQ1" i="20"/>
  <c r="AR1" i="20"/>
  <c r="AS1" i="20"/>
  <c r="AT1" i="20"/>
  <c r="AU1" i="20"/>
  <c r="AV1" i="20"/>
  <c r="AW1" i="20"/>
  <c r="AX1" i="20"/>
  <c r="AY1" i="20"/>
  <c r="AZ1" i="20"/>
  <c r="BA1" i="20"/>
  <c r="BB1" i="20"/>
  <c r="BC1" i="20"/>
  <c r="BD1" i="20"/>
  <c r="BE1" i="20"/>
  <c r="BF1" i="20"/>
  <c r="BG1" i="20"/>
  <c r="BH1" i="20"/>
  <c r="BI1" i="20"/>
  <c r="BJ1" i="20"/>
  <c r="CC1" i="20"/>
  <c r="CD1" i="20"/>
  <c r="CW1" i="20"/>
  <c r="CX1" i="20"/>
  <c r="DQ1" i="20"/>
  <c r="DR1" i="20"/>
  <c r="EK1" i="20"/>
  <c r="EL1" i="20"/>
  <c r="FE1" i="20"/>
  <c r="FF1" i="20"/>
  <c r="FH1" i="20"/>
  <c r="FI1" i="20"/>
  <c r="FJ1" i="20"/>
  <c r="FK1" i="20"/>
  <c r="FL1" i="20"/>
  <c r="FM1" i="20"/>
  <c r="FN1" i="20"/>
  <c r="FP1" i="20"/>
  <c r="FQ1" i="20"/>
  <c r="FR1" i="20"/>
  <c r="FS1" i="20"/>
  <c r="FT1" i="20"/>
  <c r="FU1" i="20"/>
  <c r="FV1" i="20"/>
  <c r="FW1" i="20"/>
  <c r="FX1" i="20"/>
  <c r="FY1" i="20"/>
  <c r="FZ1" i="20"/>
  <c r="GB1" i="20"/>
  <c r="GC1" i="20"/>
  <c r="GD1" i="20"/>
  <c r="GE1" i="20"/>
  <c r="GF1" i="20"/>
  <c r="GG1" i="20"/>
  <c r="GH1" i="20"/>
  <c r="GJ1" i="20"/>
  <c r="GK1" i="20"/>
  <c r="GL1" i="20"/>
  <c r="GM1" i="20"/>
  <c r="GN1" i="20"/>
  <c r="GO1" i="20"/>
  <c r="GP1" i="20"/>
  <c r="GQ1" i="20"/>
  <c r="GR1" i="20"/>
  <c r="GS1" i="20"/>
  <c r="GT1" i="20"/>
  <c r="GU1" i="20"/>
  <c r="GV1" i="20"/>
  <c r="GW1" i="20"/>
  <c r="GX1" i="20"/>
  <c r="GY1" i="20"/>
  <c r="GZ1" i="20"/>
  <c r="HA1" i="20"/>
  <c r="HB1" i="20"/>
  <c r="HC1" i="20"/>
  <c r="HD1" i="20"/>
  <c r="HE1" i="20"/>
  <c r="HF1" i="20"/>
  <c r="HG1" i="20"/>
  <c r="HH1" i="20"/>
  <c r="HI1" i="20"/>
  <c r="HJ1" i="20"/>
  <c r="HK1" i="20"/>
  <c r="HL1" i="20"/>
  <c r="HM1" i="20"/>
  <c r="HN1" i="20"/>
  <c r="HO1" i="20"/>
  <c r="HP1" i="20"/>
  <c r="HQ1" i="20"/>
  <c r="HR1" i="20"/>
  <c r="HS1" i="20"/>
  <c r="HT1" i="20"/>
  <c r="HU1" i="20"/>
  <c r="HV1" i="20"/>
  <c r="HW1" i="20"/>
  <c r="HX1" i="20"/>
  <c r="HY1" i="20"/>
  <c r="HZ1" i="20"/>
  <c r="IA1" i="20"/>
  <c r="IB1" i="20"/>
  <c r="IC1" i="20"/>
  <c r="ID1" i="20"/>
  <c r="IE1" i="20"/>
  <c r="IF1" i="20"/>
  <c r="IG1" i="20"/>
  <c r="IH1" i="20"/>
  <c r="II1" i="20"/>
  <c r="IJ1" i="20"/>
  <c r="IK1" i="20"/>
  <c r="IL1" i="20"/>
  <c r="IM1" i="20"/>
  <c r="IN1" i="20"/>
  <c r="IO1" i="20"/>
  <c r="IP1" i="20"/>
  <c r="IQ1" i="20"/>
  <c r="IR1" i="20"/>
  <c r="IS1" i="20"/>
  <c r="IT1" i="20"/>
  <c r="IU1" i="20"/>
  <c r="IV1" i="20"/>
  <c r="A2" i="20"/>
  <c r="B2" i="20"/>
  <c r="C2" i="20"/>
  <c r="D2" i="20"/>
  <c r="E2" i="20"/>
  <c r="F2" i="20"/>
  <c r="G2" i="20"/>
  <c r="H2" i="20"/>
  <c r="I2" i="20"/>
  <c r="J2" i="20"/>
  <c r="K2" i="20"/>
  <c r="L2" i="20"/>
  <c r="M2" i="20"/>
  <c r="N2" i="20"/>
  <c r="O2" i="20"/>
  <c r="P2" i="20"/>
  <c r="Q2" i="20"/>
  <c r="R2" i="20"/>
  <c r="S2" i="20"/>
  <c r="T2" i="20"/>
  <c r="U2" i="20"/>
  <c r="V2" i="20"/>
  <c r="W2" i="20"/>
  <c r="X2" i="20"/>
  <c r="Y2" i="20"/>
  <c r="Z2" i="20"/>
  <c r="AA2" i="20"/>
  <c r="AB2" i="20"/>
  <c r="AC2" i="20"/>
  <c r="AD2" i="20"/>
  <c r="AE2" i="20"/>
  <c r="AF2" i="20"/>
  <c r="AG2" i="20"/>
  <c r="AH2" i="20"/>
  <c r="AI2" i="20"/>
  <c r="AJ2" i="20"/>
  <c r="AK2" i="20"/>
  <c r="AL2" i="20"/>
  <c r="AM2" i="20"/>
  <c r="AN2" i="20"/>
  <c r="AO2" i="20"/>
  <c r="AP2" i="20"/>
  <c r="AQ2" i="20"/>
  <c r="AR2" i="20"/>
  <c r="AS2" i="20"/>
  <c r="AT2" i="20"/>
  <c r="AV2" i="20"/>
  <c r="AW2" i="20"/>
  <c r="AX2" i="20"/>
  <c r="AY2" i="20"/>
  <c r="BA2" i="20"/>
  <c r="BB2" i="20"/>
  <c r="BC2" i="20"/>
  <c r="BD2" i="20"/>
  <c r="BE2" i="20"/>
  <c r="BF2" i="20"/>
  <c r="BG2" i="20"/>
  <c r="BH2" i="20"/>
  <c r="BK2" i="20"/>
  <c r="BL2" i="20"/>
  <c r="BM2" i="20"/>
  <c r="BN2" i="20"/>
  <c r="BO2" i="20"/>
  <c r="BP2" i="20"/>
  <c r="BQ2" i="20"/>
  <c r="BR2" i="20"/>
  <c r="BS2" i="20"/>
  <c r="BT2" i="20"/>
  <c r="BU2" i="20"/>
  <c r="BV2" i="20"/>
  <c r="BW2" i="20"/>
  <c r="BX2" i="20"/>
  <c r="BY2" i="20"/>
  <c r="BZ2" i="20"/>
  <c r="CA2" i="20"/>
  <c r="CB2" i="20"/>
  <c r="CC2" i="20"/>
  <c r="CD2" i="20"/>
  <c r="CE2" i="20"/>
  <c r="CF2" i="20"/>
  <c r="CG2" i="20"/>
  <c r="CH2" i="20"/>
  <c r="CI2" i="20"/>
  <c r="CJ2" i="20"/>
  <c r="CK2" i="20"/>
  <c r="CL2" i="20"/>
  <c r="CM2" i="20"/>
  <c r="CN2" i="20"/>
  <c r="CO2" i="20"/>
  <c r="CP2" i="20"/>
  <c r="CQ2" i="20"/>
  <c r="CR2" i="20"/>
  <c r="CS2" i="20"/>
  <c r="CT2" i="20"/>
  <c r="CU2" i="20"/>
  <c r="CV2" i="20"/>
  <c r="CW2" i="20"/>
  <c r="CX2" i="20"/>
  <c r="CY2" i="20"/>
  <c r="CZ2" i="20"/>
  <c r="DA2" i="20"/>
  <c r="DB2" i="20"/>
  <c r="DC2" i="20"/>
  <c r="DD2" i="20"/>
  <c r="DE2" i="20"/>
  <c r="DF2" i="20"/>
  <c r="DG2" i="20"/>
  <c r="DH2" i="20"/>
  <c r="DI2" i="20"/>
  <c r="DJ2" i="20"/>
  <c r="DK2" i="20"/>
  <c r="DL2" i="20"/>
  <c r="DM2" i="20"/>
  <c r="DN2" i="20"/>
  <c r="DO2" i="20"/>
  <c r="DP2" i="20"/>
  <c r="DQ2" i="20"/>
  <c r="DR2" i="20"/>
  <c r="DS2" i="20"/>
  <c r="DT2" i="20"/>
  <c r="DU2" i="20"/>
  <c r="DV2" i="20"/>
  <c r="DW2" i="20"/>
  <c r="DX2" i="20"/>
  <c r="DY2" i="20"/>
  <c r="DZ2" i="20"/>
  <c r="EA2" i="20"/>
  <c r="EB2" i="20"/>
  <c r="EC2" i="20"/>
  <c r="ED2" i="20"/>
  <c r="EE2" i="20"/>
  <c r="EF2" i="20"/>
  <c r="EG2" i="20"/>
  <c r="EH2" i="20"/>
  <c r="EI2" i="20"/>
  <c r="EJ2" i="20"/>
  <c r="EK2" i="20"/>
  <c r="EL2" i="20"/>
  <c r="EM2" i="20"/>
  <c r="EN2" i="20"/>
  <c r="EO2" i="20"/>
  <c r="EP2" i="20"/>
  <c r="EQ2" i="20"/>
  <c r="ER2" i="20"/>
  <c r="ES2" i="20"/>
  <c r="ET2" i="20"/>
  <c r="EU2" i="20"/>
  <c r="EV2" i="20"/>
  <c r="EW2" i="20"/>
  <c r="EX2" i="20"/>
  <c r="EY2" i="20"/>
  <c r="EZ2" i="20"/>
  <c r="FA2" i="20"/>
  <c r="FB2" i="20"/>
  <c r="FC2" i="20"/>
  <c r="FD2" i="20"/>
  <c r="FE2" i="20"/>
  <c r="FF2" i="20"/>
  <c r="FG2" i="20"/>
  <c r="FH2" i="20"/>
  <c r="FI2" i="20"/>
  <c r="FJ2" i="20"/>
  <c r="FK2" i="20"/>
  <c r="FL2" i="20"/>
  <c r="FM2" i="20"/>
  <c r="FN2" i="20"/>
  <c r="FO2" i="20"/>
  <c r="FP2" i="20"/>
  <c r="FQ2" i="20"/>
  <c r="FR2" i="20"/>
  <c r="FS2" i="20"/>
  <c r="FT2" i="20"/>
  <c r="FU2" i="20"/>
  <c r="FV2" i="20"/>
  <c r="FW2" i="20"/>
  <c r="FX2" i="20"/>
  <c r="FY2" i="20"/>
  <c r="FZ2" i="20"/>
  <c r="GA2" i="20"/>
  <c r="GB2" i="20"/>
  <c r="GC2" i="20"/>
  <c r="GD2" i="20"/>
  <c r="GF2" i="20"/>
  <c r="GG2" i="20"/>
  <c r="GH2" i="20"/>
  <c r="GI2" i="20"/>
  <c r="GJ2" i="20"/>
  <c r="GK2" i="20"/>
  <c r="GL2" i="20"/>
  <c r="GM2" i="20"/>
  <c r="GN2" i="20"/>
  <c r="GO2" i="20"/>
  <c r="GP2" i="20"/>
  <c r="GQ2" i="20"/>
  <c r="GR2" i="20"/>
  <c r="GT2" i="20"/>
  <c r="GU2" i="20"/>
  <c r="GV2" i="20"/>
  <c r="GW2" i="20"/>
  <c r="GX2" i="20"/>
  <c r="GZ2" i="20"/>
  <c r="HA2" i="20"/>
  <c r="HB2" i="20"/>
  <c r="HC2" i="20"/>
  <c r="HD2" i="20"/>
  <c r="HE2" i="20"/>
  <c r="HF2" i="20"/>
  <c r="HG2" i="20"/>
  <c r="HH2" i="20"/>
  <c r="HI2" i="20"/>
  <c r="HJ2" i="20"/>
  <c r="HK2" i="20"/>
  <c r="HL2" i="20"/>
  <c r="HN2" i="20"/>
  <c r="HO2" i="20"/>
  <c r="HP2" i="20"/>
  <c r="HQ2" i="20"/>
  <c r="HR2" i="20"/>
  <c r="IK2" i="20"/>
  <c r="IL2" i="20"/>
  <c r="J3" i="20"/>
  <c r="AC3" i="20"/>
  <c r="AD3" i="20"/>
  <c r="AW3" i="20"/>
  <c r="AX3" i="20"/>
  <c r="BQ3" i="20"/>
  <c r="BR3" i="20"/>
  <c r="CK3" i="20"/>
  <c r="CL3" i="20"/>
  <c r="CM3" i="20"/>
  <c r="CN3" i="20"/>
  <c r="CO3" i="20"/>
  <c r="CP3" i="20"/>
  <c r="CQ3" i="20"/>
  <c r="CR3" i="20"/>
  <c r="CS3" i="20"/>
  <c r="CT3" i="20"/>
  <c r="CU3" i="20"/>
  <c r="CV3" i="20"/>
  <c r="CW3" i="20"/>
  <c r="CX3" i="20"/>
  <c r="CY3" i="20"/>
  <c r="CZ3" i="20"/>
  <c r="DA3" i="20"/>
  <c r="DB3" i="20"/>
  <c r="DC3" i="20"/>
  <c r="DD3" i="20"/>
  <c r="DE3" i="20"/>
  <c r="DF3" i="20"/>
  <c r="DG3" i="20"/>
  <c r="DH3" i="20"/>
  <c r="DI3" i="20"/>
  <c r="DJ3" i="20"/>
  <c r="DK3" i="20"/>
  <c r="DL3" i="20"/>
  <c r="DM3" i="20"/>
  <c r="DN3" i="20"/>
  <c r="DO3" i="20"/>
  <c r="DP3" i="20"/>
  <c r="DQ3" i="20"/>
  <c r="DR3" i="20"/>
  <c r="DT3" i="20"/>
  <c r="DV3" i="20"/>
  <c r="DW3" i="20"/>
  <c r="DX3" i="20"/>
  <c r="DY3" i="20"/>
  <c r="EB3" i="20"/>
  <c r="EC3" i="20"/>
  <c r="ED3" i="20"/>
  <c r="EE3" i="20"/>
  <c r="EH3" i="20"/>
  <c r="EI3" i="20"/>
  <c r="EJ3" i="20"/>
  <c r="EK3" i="20"/>
  <c r="EL3" i="20"/>
  <c r="EM3" i="20"/>
  <c r="EN3" i="20"/>
  <c r="EO3" i="20"/>
  <c r="EP3" i="20"/>
  <c r="EQ3" i="20"/>
  <c r="ET3" i="20"/>
  <c r="EU3" i="20"/>
  <c r="EV3" i="20"/>
  <c r="EW3" i="20"/>
  <c r="EZ3" i="20"/>
  <c r="FA3" i="20"/>
  <c r="FB3" i="20"/>
  <c r="FD3" i="20"/>
  <c r="FF3" i="20"/>
  <c r="FG3" i="20"/>
  <c r="FH3" i="20"/>
  <c r="FI3" i="20"/>
  <c r="FL3" i="20"/>
  <c r="FM3" i="20"/>
  <c r="FN3" i="20"/>
  <c r="FO3" i="20"/>
  <c r="FR3" i="20"/>
  <c r="FS3" i="20"/>
  <c r="FT3" i="20"/>
  <c r="FU3" i="20"/>
  <c r="FX3" i="20"/>
  <c r="FY3" i="20"/>
  <c r="FZ3" i="20"/>
  <c r="GD3" i="20"/>
  <c r="GE3" i="20"/>
  <c r="GF3" i="20"/>
  <c r="GG3" i="20"/>
  <c r="GH3" i="20"/>
  <c r="GI3" i="20"/>
  <c r="GJ3" i="20"/>
  <c r="GK3" i="20"/>
  <c r="GL3" i="20"/>
  <c r="GM3" i="20"/>
  <c r="GP3" i="20"/>
  <c r="GQ3" i="20"/>
  <c r="GR3" i="20"/>
  <c r="GS3" i="20"/>
  <c r="GV3" i="20"/>
  <c r="GW3" i="20"/>
  <c r="GX3" i="20"/>
  <c r="GY3" i="20"/>
  <c r="HB3" i="20"/>
  <c r="HC3" i="20"/>
  <c r="HD3" i="20"/>
  <c r="HH3" i="20"/>
  <c r="HI3" i="20"/>
  <c r="HJ3" i="20"/>
  <c r="HK3" i="20"/>
  <c r="HN3" i="20"/>
  <c r="HO3" i="20"/>
  <c r="HP3" i="20"/>
  <c r="HQ3" i="20"/>
  <c r="HT3" i="20"/>
  <c r="HU3" i="20"/>
  <c r="HV3" i="20"/>
  <c r="HW3" i="20"/>
  <c r="HZ3" i="20"/>
  <c r="IA3" i="20"/>
  <c r="IB3" i="20"/>
  <c r="IF3" i="20"/>
  <c r="IG3" i="20"/>
  <c r="IH3" i="20"/>
  <c r="II3" i="20"/>
  <c r="IJ3" i="20"/>
  <c r="IK3" i="20"/>
  <c r="IL3" i="20"/>
  <c r="IM3" i="20"/>
  <c r="IN3" i="20"/>
  <c r="IO3" i="20"/>
  <c r="IR3" i="20"/>
  <c r="IS3" i="20"/>
  <c r="IT3" i="20"/>
  <c r="IU3" i="20"/>
  <c r="IV3" i="20"/>
  <c r="A4" i="20"/>
  <c r="B4" i="20"/>
  <c r="C4" i="20"/>
  <c r="D4" i="20"/>
  <c r="E4" i="20"/>
  <c r="H4" i="20"/>
  <c r="I4" i="20"/>
  <c r="J4" i="20"/>
  <c r="K4" i="20"/>
  <c r="N4" i="20"/>
  <c r="O4" i="20"/>
  <c r="P4" i="20"/>
  <c r="Q4" i="20"/>
  <c r="T4" i="20"/>
  <c r="U4" i="20"/>
  <c r="V4" i="20"/>
  <c r="W4" i="20"/>
  <c r="Z4" i="20"/>
  <c r="AA4" i="20"/>
  <c r="AB4" i="20"/>
  <c r="AC4" i="20"/>
  <c r="AF4" i="20"/>
  <c r="AG4" i="20"/>
  <c r="AH4" i="20"/>
  <c r="AI4" i="20"/>
  <c r="AL4" i="20"/>
  <c r="AM4" i="20"/>
  <c r="AN4" i="20"/>
  <c r="AR4" i="20"/>
  <c r="AS4" i="20"/>
  <c r="AT4" i="20"/>
  <c r="AU4" i="20"/>
  <c r="AV4" i="20"/>
  <c r="AW4" i="20"/>
  <c r="AX4" i="20"/>
  <c r="AY4" i="20"/>
  <c r="AZ4" i="20"/>
  <c r="BA4" i="20"/>
  <c r="BB4" i="20"/>
  <c r="BC4" i="20"/>
  <c r="BD4" i="20"/>
  <c r="BE4" i="20"/>
  <c r="BF4" i="20"/>
  <c r="BG4" i="20"/>
  <c r="BJ4" i="20"/>
  <c r="BK4" i="20"/>
  <c r="BL4" i="20"/>
  <c r="BM4" i="20"/>
  <c r="BP4" i="20"/>
  <c r="BQ4" i="20"/>
  <c r="BR4" i="20"/>
  <c r="BS4" i="20"/>
  <c r="BT4" i="20"/>
  <c r="BU4" i="20"/>
  <c r="BV4" i="20"/>
  <c r="BW4" i="20"/>
  <c r="BX4" i="20"/>
  <c r="BY4" i="20"/>
  <c r="CB4" i="20"/>
  <c r="CC4" i="20"/>
  <c r="CD4" i="20"/>
  <c r="CH4" i="20"/>
  <c r="CI4" i="20"/>
  <c r="CJ4" i="20"/>
  <c r="CK4" i="20"/>
  <c r="CN4" i="20"/>
  <c r="CO4" i="20"/>
  <c r="CP4" i="20"/>
  <c r="CQ4" i="20"/>
  <c r="CR4" i="20"/>
  <c r="CS4" i="20"/>
  <c r="CT4" i="20"/>
  <c r="CU4" i="20"/>
  <c r="CV4" i="20"/>
  <c r="CW4" i="20"/>
  <c r="CZ4" i="20"/>
  <c r="DA4" i="20"/>
  <c r="DB4" i="20"/>
  <c r="DC4" i="20"/>
  <c r="DF4" i="20"/>
  <c r="DG4" i="20"/>
  <c r="DH4" i="20"/>
  <c r="DI4" i="20"/>
  <c r="DL4" i="20"/>
  <c r="DM4" i="20"/>
  <c r="DN4" i="20"/>
  <c r="DR4" i="20"/>
  <c r="DS4" i="20"/>
  <c r="DT4" i="20"/>
  <c r="DU4" i="20"/>
  <c r="DX4" i="20"/>
  <c r="DY4" i="20"/>
  <c r="DZ4" i="20"/>
  <c r="EA4" i="20"/>
  <c r="ED4" i="20"/>
  <c r="EE4" i="20"/>
  <c r="EF4" i="20"/>
  <c r="EG4" i="20"/>
  <c r="EJ4" i="20"/>
  <c r="EK4" i="20"/>
  <c r="EL4" i="20"/>
  <c r="EP4" i="20"/>
  <c r="EQ4" i="20"/>
  <c r="ER4" i="20"/>
  <c r="ES4" i="20"/>
  <c r="EV4" i="20"/>
  <c r="EW4" i="20"/>
  <c r="EX4" i="20"/>
  <c r="EY4" i="20"/>
  <c r="FB4" i="20"/>
  <c r="FC4" i="20"/>
  <c r="FD4" i="20"/>
  <c r="FE4" i="20"/>
  <c r="FH4" i="20"/>
  <c r="FI4" i="20"/>
  <c r="FJ4" i="20"/>
  <c r="FN4" i="20"/>
  <c r="FO4" i="20"/>
  <c r="FP4" i="20"/>
  <c r="FQ4" i="20"/>
  <c r="FT4" i="20"/>
  <c r="FU4" i="20"/>
  <c r="FV4" i="20"/>
  <c r="FW4" i="20"/>
  <c r="FZ4" i="20"/>
  <c r="GA4" i="20"/>
  <c r="GB4" i="20"/>
  <c r="GC4" i="20"/>
  <c r="GD4" i="20"/>
  <c r="GE4" i="20"/>
  <c r="GF4" i="20"/>
  <c r="GG4" i="20"/>
  <c r="GH4" i="20"/>
  <c r="GI4" i="20"/>
  <c r="GL4" i="20"/>
  <c r="GM4" i="20"/>
  <c r="GN4" i="20"/>
  <c r="GR4" i="20"/>
  <c r="GS4" i="20"/>
  <c r="GT4" i="20"/>
  <c r="GU4" i="20"/>
  <c r="GX4" i="20"/>
  <c r="GY4" i="20"/>
  <c r="GZ4" i="20"/>
  <c r="HA4" i="20"/>
  <c r="HD4" i="20"/>
  <c r="HE4" i="20"/>
  <c r="HF4" i="20"/>
  <c r="HG4" i="20"/>
  <c r="HJ4" i="20"/>
  <c r="HK4" i="20"/>
  <c r="HL4" i="20"/>
  <c r="HP4" i="20"/>
  <c r="HQ4" i="20"/>
  <c r="HR4" i="20"/>
  <c r="HS4" i="20"/>
  <c r="HV4" i="20"/>
  <c r="HW4" i="20"/>
  <c r="HX4" i="20"/>
  <c r="HY4" i="20"/>
  <c r="IB4" i="20"/>
  <c r="IC4" i="20"/>
  <c r="ID4" i="20"/>
  <c r="IE4" i="20"/>
  <c r="IF4" i="20"/>
  <c r="IG4" i="20"/>
  <c r="IH4" i="20"/>
  <c r="II4" i="20"/>
  <c r="IJ4" i="20"/>
  <c r="IK4" i="20"/>
  <c r="IN4" i="20"/>
  <c r="IO4" i="20"/>
  <c r="IP4" i="20"/>
  <c r="IT4" i="20"/>
  <c r="IU4" i="20"/>
  <c r="IV4" i="20"/>
  <c r="A5" i="20"/>
  <c r="I14" i="16"/>
  <c r="I22" i="16"/>
  <c r="I29" i="16"/>
  <c r="I37" i="16"/>
  <c r="E5" i="20"/>
  <c r="F5" i="20"/>
  <c r="G5" i="20"/>
  <c r="J5" i="20"/>
  <c r="K5" i="20"/>
  <c r="L5" i="20"/>
  <c r="M5" i="20"/>
  <c r="P5" i="20"/>
  <c r="Q5" i="20"/>
  <c r="R5" i="20"/>
  <c r="S5" i="20"/>
  <c r="V5" i="20"/>
  <c r="W5" i="20"/>
  <c r="X5" i="20"/>
  <c r="Y5" i="20"/>
  <c r="AB5" i="20"/>
  <c r="AC5" i="20"/>
  <c r="AD5" i="20"/>
  <c r="AH5" i="20"/>
  <c r="AI5" i="20"/>
  <c r="AJ5" i="20"/>
  <c r="AK5" i="20"/>
  <c r="AN5" i="20"/>
  <c r="AO5" i="20"/>
  <c r="AP5" i="20"/>
  <c r="AQ5" i="20"/>
  <c r="AT5" i="20"/>
  <c r="AU5" i="20"/>
  <c r="AV5" i="20"/>
  <c r="AW5" i="20"/>
  <c r="AZ5" i="20"/>
  <c r="BA5" i="20"/>
  <c r="BB5" i="20"/>
  <c r="BC5" i="20"/>
  <c r="BF5" i="20"/>
  <c r="BG5" i="20"/>
  <c r="BH5" i="20"/>
  <c r="BL5" i="20"/>
  <c r="BM5" i="20"/>
  <c r="BN5" i="20"/>
  <c r="BO5" i="20"/>
  <c r="BP5" i="20"/>
  <c r="BQ5" i="20"/>
  <c r="BR5" i="20"/>
  <c r="BS5" i="20"/>
  <c r="BT5" i="20"/>
  <c r="BU5" i="20"/>
  <c r="BX5" i="20"/>
  <c r="BY5" i="20"/>
  <c r="BZ5" i="20"/>
  <c r="CA5" i="20"/>
  <c r="CB5" i="20"/>
  <c r="CC5" i="20"/>
  <c r="CD5" i="20"/>
  <c r="CE5" i="20"/>
  <c r="CF5" i="20"/>
  <c r="CG5" i="20"/>
  <c r="CH5" i="20"/>
  <c r="CI5" i="20"/>
  <c r="CJ5" i="20"/>
  <c r="CK5" i="20"/>
  <c r="CL5" i="20"/>
  <c r="CM5" i="20"/>
  <c r="CP5" i="20"/>
  <c r="CQ5" i="20"/>
  <c r="CR5" i="20"/>
  <c r="CS5" i="20"/>
  <c r="CV5" i="20"/>
  <c r="CW5" i="20"/>
  <c r="CX5" i="20"/>
  <c r="DB5" i="20"/>
  <c r="DC5" i="20"/>
  <c r="DD5" i="20"/>
  <c r="DE5" i="20"/>
  <c r="DH5" i="20"/>
  <c r="DI5" i="20"/>
  <c r="DJ5" i="20"/>
  <c r="DK5" i="20"/>
  <c r="DN5" i="20"/>
  <c r="DO5" i="20"/>
  <c r="DP5" i="20"/>
  <c r="DQ5" i="20"/>
  <c r="DT5" i="20"/>
  <c r="DU5" i="20"/>
  <c r="DV5" i="20"/>
  <c r="DZ5" i="20"/>
  <c r="EA5" i="20"/>
  <c r="EB5" i="20"/>
  <c r="EE5" i="20"/>
  <c r="EF5" i="20"/>
  <c r="EG5" i="20"/>
  <c r="EH5" i="20"/>
  <c r="EI5" i="20"/>
  <c r="EJ5" i="20"/>
  <c r="EK5" i="20"/>
  <c r="EL5" i="20"/>
  <c r="EM5" i="20"/>
  <c r="EN5" i="20"/>
  <c r="EO5" i="20"/>
  <c r="EP5" i="20"/>
  <c r="EQ5" i="20"/>
  <c r="ER5" i="20"/>
  <c r="ES5" i="20"/>
  <c r="ET5" i="20"/>
  <c r="EU5" i="20"/>
  <c r="EV5" i="20"/>
  <c r="EW5" i="20"/>
  <c r="EX5" i="20"/>
  <c r="EY5" i="20"/>
  <c r="EZ5" i="20"/>
  <c r="FA5" i="20"/>
  <c r="FB5" i="20"/>
  <c r="FC5" i="20"/>
  <c r="FD5" i="20"/>
  <c r="FE5" i="20"/>
  <c r="FF5" i="20"/>
  <c r="FG5" i="20"/>
  <c r="FH5" i="20"/>
  <c r="FI5" i="20"/>
  <c r="FJ5" i="20"/>
  <c r="FK5" i="20"/>
  <c r="FL5" i="20"/>
  <c r="FM5" i="20"/>
  <c r="FN5" i="20"/>
  <c r="FO5" i="20"/>
  <c r="FP5" i="20"/>
  <c r="FQ5" i="20"/>
  <c r="FR5" i="20"/>
  <c r="FS5" i="20"/>
  <c r="FT5" i="20"/>
  <c r="FU5" i="20"/>
  <c r="FV5" i="20"/>
  <c r="FW5" i="20"/>
  <c r="FX5" i="20"/>
  <c r="FY5" i="20"/>
  <c r="FZ5" i="20"/>
  <c r="GA5" i="20"/>
  <c r="GB5" i="20"/>
  <c r="GC5" i="20"/>
  <c r="GD5" i="20"/>
  <c r="GE5" i="20"/>
  <c r="GM5" i="20"/>
  <c r="GN5" i="20"/>
  <c r="GO5" i="20"/>
  <c r="GP5" i="20"/>
  <c r="GU5" i="20"/>
  <c r="GV5" i="20"/>
  <c r="GW5" i="20"/>
  <c r="GX5" i="20"/>
  <c r="GY5" i="20"/>
  <c r="GZ5" i="20"/>
  <c r="HA5" i="20"/>
  <c r="HB5" i="20"/>
  <c r="HC5" i="20"/>
  <c r="HD5" i="20"/>
  <c r="HE5" i="20"/>
  <c r="HF5" i="20"/>
  <c r="HG5" i="20"/>
  <c r="HH5" i="20"/>
  <c r="HI5" i="20"/>
  <c r="HJ5" i="20"/>
  <c r="HK5" i="20"/>
  <c r="HL5" i="20"/>
  <c r="HM5" i="20"/>
  <c r="HN5" i="20"/>
  <c r="HO5" i="20"/>
  <c r="HQ5" i="20"/>
  <c r="HS5" i="20"/>
  <c r="HU5" i="20"/>
  <c r="HV5" i="20"/>
  <c r="HW5" i="20"/>
  <c r="HX5" i="20"/>
  <c r="HY5" i="20"/>
  <c r="IA5" i="20"/>
  <c r="IC5" i="20"/>
  <c r="ID5" i="20"/>
  <c r="IE5" i="20"/>
  <c r="IF5" i="20"/>
  <c r="IH5" i="20"/>
  <c r="IJ5" i="20"/>
  <c r="IL5" i="20"/>
  <c r="IM5" i="20"/>
  <c r="IN5" i="20"/>
  <c r="IO5" i="20"/>
  <c r="IP5" i="20"/>
  <c r="IR5" i="20"/>
  <c r="IT5" i="20"/>
  <c r="IU5" i="20"/>
  <c r="IV5" i="20"/>
  <c r="A6" i="20"/>
  <c r="C6" i="20"/>
  <c r="E6" i="20"/>
  <c r="G6" i="20"/>
  <c r="H6" i="20"/>
  <c r="I6" i="20"/>
  <c r="J6" i="20"/>
  <c r="K6" i="20"/>
  <c r="M6" i="20"/>
  <c r="O6" i="20"/>
  <c r="P6" i="20"/>
  <c r="Q6" i="20"/>
  <c r="R6" i="20"/>
  <c r="T6" i="20"/>
  <c r="V6" i="20"/>
  <c r="X6" i="20"/>
  <c r="Y6" i="20"/>
  <c r="Z6" i="20"/>
  <c r="AA6" i="20"/>
  <c r="AB6" i="20"/>
  <c r="AD6" i="20"/>
  <c r="AF6" i="20"/>
  <c r="AG6" i="20"/>
  <c r="AH6" i="20"/>
  <c r="AI6" i="20"/>
  <c r="AK6" i="20"/>
  <c r="AM6" i="20"/>
  <c r="AO6" i="20"/>
  <c r="AP6" i="20"/>
  <c r="AQ6" i="20"/>
  <c r="AR6" i="20"/>
  <c r="AS6" i="20"/>
  <c r="AU6" i="20"/>
  <c r="AW6" i="20"/>
  <c r="AX6" i="20"/>
  <c r="AY6" i="20"/>
  <c r="AZ6" i="20"/>
  <c r="BB6" i="20"/>
  <c r="BD6" i="20"/>
  <c r="BF6" i="20"/>
  <c r="BG6" i="20"/>
  <c r="BH6" i="20"/>
  <c r="BI6" i="20"/>
  <c r="BJ6" i="20"/>
  <c r="BL6" i="20"/>
  <c r="BN6" i="20"/>
  <c r="BO6" i="20"/>
  <c r="BP6" i="20"/>
  <c r="BQ6" i="20"/>
  <c r="BR6" i="20"/>
  <c r="BS6" i="20"/>
  <c r="BT6" i="20"/>
  <c r="BU6" i="20"/>
  <c r="BV6" i="20"/>
  <c r="BW6" i="20"/>
  <c r="BX6" i="20"/>
  <c r="BY6" i="20"/>
  <c r="BZ6" i="20"/>
  <c r="CA6" i="20"/>
  <c r="CB6" i="20"/>
  <c r="CC6" i="20"/>
  <c r="CD6" i="20"/>
  <c r="CE6" i="20"/>
  <c r="CF6" i="20"/>
  <c r="CG6" i="20"/>
  <c r="CH6" i="20"/>
  <c r="CI6" i="20"/>
  <c r="CJ6" i="20"/>
  <c r="CK6" i="20"/>
  <c r="CL6" i="20"/>
  <c r="CM6" i="20"/>
  <c r="CN6" i="20"/>
  <c r="CO6" i="20"/>
  <c r="CP6" i="20"/>
  <c r="CQ6" i="20"/>
  <c r="CR6" i="20"/>
  <c r="CS6" i="20"/>
  <c r="CT6" i="20"/>
  <c r="CU6" i="20"/>
  <c r="CV6" i="20"/>
  <c r="CW6" i="20"/>
  <c r="CX6" i="20"/>
  <c r="CY6" i="20"/>
  <c r="CZ6" i="20"/>
  <c r="DA6" i="20"/>
  <c r="DB6" i="20"/>
  <c r="DC6" i="20"/>
  <c r="DD6" i="20"/>
  <c r="DE6" i="20"/>
  <c r="DF6" i="20"/>
  <c r="DG6" i="20"/>
  <c r="DH6" i="20"/>
  <c r="DI6" i="20"/>
  <c r="DJ6" i="20"/>
  <c r="DK6" i="20"/>
  <c r="DL6" i="20"/>
  <c r="DM6" i="20"/>
  <c r="DN6" i="20"/>
  <c r="DO6" i="20"/>
  <c r="DP6" i="20"/>
  <c r="DQ6" i="20"/>
  <c r="DR6" i="20"/>
  <c r="DS6" i="20"/>
  <c r="DT6" i="20"/>
  <c r="DU6" i="20"/>
  <c r="DV6" i="20"/>
  <c r="DW6" i="20"/>
  <c r="DX6" i="20"/>
  <c r="DY6" i="20"/>
  <c r="DZ6" i="20"/>
  <c r="EA6" i="20"/>
  <c r="EB6" i="20"/>
  <c r="EC6" i="20"/>
  <c r="ED6" i="20"/>
  <c r="EE6" i="20"/>
  <c r="EF6" i="20"/>
  <c r="EG6" i="20"/>
  <c r="EI6" i="20"/>
  <c r="EK6" i="20"/>
  <c r="EM6" i="20"/>
  <c r="EN6" i="20"/>
  <c r="EO6" i="20"/>
  <c r="EP6" i="20"/>
  <c r="EQ6" i="20"/>
  <c r="ES6" i="20"/>
  <c r="EU6" i="20"/>
  <c r="EV6" i="20"/>
  <c r="EW6" i="20"/>
  <c r="EX6" i="20"/>
  <c r="EZ6" i="20"/>
  <c r="FB6" i="20"/>
  <c r="FD6" i="20"/>
  <c r="FE6" i="20"/>
  <c r="FF6" i="20"/>
  <c r="FG6" i="20"/>
  <c r="FH6" i="20"/>
  <c r="FL6" i="20"/>
  <c r="FM6" i="20"/>
  <c r="FN6" i="20"/>
  <c r="FO6" i="20"/>
  <c r="FP6" i="20"/>
  <c r="FQ6" i="20"/>
  <c r="FR6" i="20"/>
  <c r="FS6" i="20"/>
  <c r="FT6" i="20"/>
  <c r="FU6" i="20"/>
  <c r="FV6" i="20"/>
  <c r="FW6" i="20"/>
  <c r="FX6" i="20"/>
  <c r="FY6" i="20"/>
  <c r="FZ6" i="20"/>
  <c r="GA6" i="20"/>
  <c r="GB6" i="20"/>
  <c r="GC6" i="20"/>
  <c r="GD6" i="20"/>
  <c r="GE6" i="20"/>
  <c r="GF6" i="20"/>
  <c r="GH6" i="20"/>
  <c r="GJ6" i="20"/>
  <c r="GL6" i="20"/>
  <c r="GM6" i="20"/>
  <c r="GN6" i="20"/>
  <c r="GO6" i="20"/>
  <c r="GP6" i="20"/>
  <c r="GR6" i="20"/>
  <c r="GT6" i="20"/>
  <c r="GU6" i="20"/>
  <c r="GV6" i="20"/>
  <c r="GW6" i="20"/>
  <c r="GY6" i="20"/>
  <c r="HA6" i="20"/>
  <c r="HC6" i="20"/>
  <c r="HD6" i="20"/>
  <c r="HE6" i="20"/>
  <c r="HF6" i="20"/>
  <c r="HG6" i="20"/>
  <c r="HI6" i="20"/>
  <c r="HK6" i="20"/>
  <c r="HL6" i="20"/>
  <c r="HM6" i="20"/>
  <c r="HN6" i="20"/>
  <c r="HP6" i="20"/>
  <c r="HR6" i="20"/>
  <c r="HT6" i="20"/>
  <c r="HU6" i="20"/>
  <c r="HV6" i="20"/>
  <c r="HW6" i="20"/>
  <c r="HX6" i="20"/>
  <c r="HZ6" i="20"/>
  <c r="IB6" i="20"/>
  <c r="IC6" i="20"/>
  <c r="ID6" i="20"/>
  <c r="IE6" i="20"/>
  <c r="IG6" i="20"/>
  <c r="II6" i="20"/>
  <c r="IK6" i="20"/>
  <c r="IL6" i="20"/>
  <c r="IM6" i="20"/>
  <c r="IN6" i="20"/>
  <c r="IO6" i="20"/>
  <c r="IQ6" i="20"/>
  <c r="IS6" i="20"/>
  <c r="IT6" i="20"/>
  <c r="IU6" i="20"/>
  <c r="IV6" i="20"/>
  <c r="B7" i="20"/>
  <c r="D7" i="20"/>
  <c r="F7" i="20"/>
  <c r="G7" i="20"/>
  <c r="H7" i="20"/>
  <c r="I7" i="20"/>
  <c r="J7" i="20"/>
  <c r="L7" i="20"/>
  <c r="O7" i="20"/>
  <c r="P7" i="20"/>
  <c r="Q7" i="20"/>
  <c r="S7" i="20"/>
  <c r="U7" i="20"/>
  <c r="W7" i="20"/>
  <c r="X7" i="20"/>
  <c r="Y7" i="20"/>
  <c r="Z7" i="20"/>
  <c r="AA7" i="20"/>
  <c r="AC7" i="20"/>
  <c r="AE7" i="20"/>
  <c r="AF7" i="20"/>
  <c r="AG7" i="20"/>
  <c r="AH7" i="20"/>
  <c r="AJ7" i="20"/>
  <c r="AL7" i="20"/>
  <c r="AN7" i="20"/>
  <c r="AO7" i="20"/>
  <c r="AP7" i="20"/>
  <c r="AQ7" i="20"/>
  <c r="AR7" i="20"/>
  <c r="AT7" i="20"/>
  <c r="AV7" i="20"/>
  <c r="AW7" i="20"/>
  <c r="AX7" i="20"/>
  <c r="AY7" i="20"/>
  <c r="BA7" i="20"/>
  <c r="BC7" i="20"/>
  <c r="BE7" i="20"/>
  <c r="BF7" i="20"/>
  <c r="BG7" i="20"/>
  <c r="BH7" i="20"/>
  <c r="BI7" i="20"/>
  <c r="BK7" i="20"/>
  <c r="BM7" i="20"/>
  <c r="BN7" i="20"/>
  <c r="BO7" i="20"/>
  <c r="BP7" i="20"/>
  <c r="BR7" i="20"/>
  <c r="BT7" i="20"/>
  <c r="BV7" i="20"/>
  <c r="BW7" i="20"/>
  <c r="BX7" i="20"/>
  <c r="BY7" i="20"/>
  <c r="BZ7" i="20"/>
  <c r="CD7" i="20"/>
  <c r="CE7" i="20"/>
  <c r="CF7" i="20"/>
  <c r="CG7" i="20"/>
  <c r="CH7" i="20"/>
  <c r="CI7" i="20"/>
  <c r="CJ7" i="20"/>
  <c r="CK7" i="20"/>
  <c r="CL7" i="20"/>
  <c r="CM7" i="20"/>
  <c r="CN7" i="20"/>
  <c r="CO7" i="20"/>
  <c r="CP7" i="20"/>
  <c r="CQ7" i="20"/>
  <c r="CR7" i="20"/>
  <c r="CS7" i="20"/>
  <c r="CT7" i="20"/>
  <c r="CU7" i="20"/>
  <c r="CV7" i="20"/>
  <c r="CW7" i="20"/>
  <c r="CX7" i="20"/>
  <c r="CZ7" i="20"/>
  <c r="DB7" i="20"/>
  <c r="DD7" i="20"/>
  <c r="DE7" i="20"/>
  <c r="DF7" i="20"/>
  <c r="DG7" i="20"/>
  <c r="DH7" i="20"/>
  <c r="DJ7" i="20"/>
  <c r="DL7" i="20"/>
  <c r="DM7" i="20"/>
  <c r="DN7" i="20"/>
  <c r="DO7" i="20"/>
  <c r="DQ7" i="20"/>
  <c r="DS7" i="20"/>
  <c r="DU7" i="20"/>
  <c r="DV7" i="20"/>
  <c r="DW7" i="20"/>
  <c r="DX7" i="20"/>
  <c r="DY7" i="20"/>
  <c r="EA7" i="20"/>
  <c r="EC7" i="20"/>
  <c r="ED7" i="20"/>
  <c r="EE7" i="20"/>
  <c r="EF7" i="20"/>
  <c r="EG7" i="20"/>
  <c r="EH7" i="20"/>
  <c r="EI7" i="20"/>
  <c r="EJ7" i="20"/>
  <c r="EK7" i="20"/>
  <c r="EL7" i="20"/>
  <c r="EM7" i="20"/>
  <c r="EN7" i="20"/>
  <c r="EO7" i="20"/>
  <c r="EP7" i="20"/>
  <c r="EQ7" i="20"/>
  <c r="ER7" i="20"/>
  <c r="ES7" i="20"/>
  <c r="ET7" i="20"/>
  <c r="EU7" i="20"/>
  <c r="EV7" i="20"/>
  <c r="EW7" i="20"/>
  <c r="EY7" i="20"/>
  <c r="FA7" i="20"/>
  <c r="FC7" i="20"/>
  <c r="FD7" i="20"/>
  <c r="FE7" i="20"/>
  <c r="FF7" i="20"/>
  <c r="FG7" i="20"/>
  <c r="FI7" i="20"/>
  <c r="FK7" i="20"/>
  <c r="FL7" i="20"/>
  <c r="FM7" i="20"/>
  <c r="FN7" i="20"/>
  <c r="FP7" i="20"/>
  <c r="FR7" i="20"/>
  <c r="FT7" i="20"/>
  <c r="FU7" i="20"/>
  <c r="FV7" i="20"/>
  <c r="FW7" i="20"/>
  <c r="FX7" i="20"/>
  <c r="FZ7" i="20"/>
  <c r="GB7" i="20"/>
  <c r="GC7" i="20"/>
  <c r="GD7" i="20"/>
  <c r="GE7" i="20"/>
  <c r="GF7" i="20"/>
  <c r="GG7" i="20"/>
  <c r="GH7" i="20"/>
  <c r="GI7" i="20"/>
  <c r="GJ7" i="20"/>
  <c r="GK7" i="20"/>
  <c r="GL7" i="20"/>
  <c r="GM7" i="20"/>
  <c r="GN7" i="20"/>
  <c r="GO7" i="20"/>
  <c r="GP7" i="20"/>
  <c r="GQ7" i="20"/>
  <c r="GR7" i="20"/>
  <c r="GS7" i="20"/>
  <c r="GT7" i="20"/>
  <c r="GU7" i="20"/>
  <c r="GV7" i="20"/>
  <c r="GX7" i="20"/>
  <c r="GZ7" i="20"/>
  <c r="HB7" i="20"/>
  <c r="HC7" i="20"/>
  <c r="HD7" i="20"/>
  <c r="HE7" i="20"/>
  <c r="HF7" i="20"/>
  <c r="HJ7" i="20"/>
  <c r="HK7" i="20"/>
  <c r="HL7" i="20"/>
  <c r="HM7" i="20"/>
  <c r="HN7" i="20"/>
  <c r="HO7" i="20"/>
  <c r="HP7" i="20"/>
  <c r="HQ7" i="20"/>
  <c r="HR7" i="20"/>
  <c r="HS7" i="20"/>
  <c r="HT7" i="20"/>
  <c r="HU7" i="20"/>
  <c r="HV7" i="20"/>
  <c r="HW7" i="20"/>
  <c r="HX7" i="20"/>
  <c r="HY7" i="20"/>
  <c r="HZ7" i="20"/>
  <c r="IA7" i="20"/>
  <c r="IB7" i="20"/>
  <c r="IC7" i="20"/>
  <c r="ID7" i="20"/>
  <c r="IF7" i="20"/>
  <c r="IH7" i="20"/>
  <c r="IJ7" i="20"/>
  <c r="IK7" i="20"/>
  <c r="IL7" i="20"/>
  <c r="IM7" i="20"/>
  <c r="IN7" i="20"/>
  <c r="IP7" i="20"/>
  <c r="IR7" i="20"/>
  <c r="IS7" i="20"/>
  <c r="IT7" i="20"/>
  <c r="IU7" i="20"/>
  <c r="IV7" i="20"/>
  <c r="A8" i="20"/>
  <c r="B8" i="20"/>
  <c r="C8" i="20"/>
  <c r="D8" i="20"/>
  <c r="E8" i="20"/>
  <c r="F8" i="20"/>
  <c r="G8" i="20"/>
  <c r="H8" i="20"/>
  <c r="I8" i="20"/>
  <c r="J8" i="20"/>
  <c r="K8" i="20"/>
  <c r="L8" i="20"/>
  <c r="N8" i="20"/>
  <c r="O8" i="20"/>
  <c r="P8" i="20"/>
  <c r="R8" i="20"/>
  <c r="T8" i="20"/>
  <c r="V8" i="20"/>
  <c r="W8" i="20"/>
  <c r="X8" i="20"/>
  <c r="Y8" i="20"/>
  <c r="Z8" i="20"/>
  <c r="AB8" i="20"/>
  <c r="AD8" i="20"/>
  <c r="AE8" i="20"/>
  <c r="AF8" i="20"/>
  <c r="AG8" i="20"/>
  <c r="AI8" i="20"/>
  <c r="AK8" i="20"/>
  <c r="AM8" i="20"/>
  <c r="AN8" i="20"/>
  <c r="AO8" i="20"/>
  <c r="AP8" i="20"/>
  <c r="AQ8" i="20"/>
  <c r="AS8" i="20"/>
  <c r="AU8" i="20"/>
  <c r="AV8" i="20"/>
  <c r="AW8" i="20"/>
  <c r="AX8" i="20"/>
  <c r="AZ8" i="20"/>
  <c r="BB8" i="20"/>
  <c r="BD8" i="20"/>
  <c r="BE8" i="20"/>
  <c r="BF8" i="20"/>
  <c r="BG8" i="20"/>
  <c r="BH8" i="20"/>
  <c r="BJ8" i="20"/>
  <c r="BL8" i="20"/>
  <c r="BM8" i="20"/>
  <c r="BN8" i="20"/>
  <c r="BO8" i="20"/>
  <c r="BQ8" i="20"/>
  <c r="BS8" i="20"/>
  <c r="BU8" i="20"/>
  <c r="BV8" i="20"/>
  <c r="BW8" i="20"/>
  <c r="BX8" i="20"/>
  <c r="BY8" i="20"/>
  <c r="CA8" i="20"/>
  <c r="CC8" i="20"/>
  <c r="CD8" i="20"/>
  <c r="CE8" i="20"/>
  <c r="CF8" i="20"/>
  <c r="CH8" i="20"/>
  <c r="CJ8" i="20"/>
  <c r="CL8" i="20"/>
  <c r="CM8" i="20"/>
  <c r="CN8" i="20"/>
  <c r="CO8" i="20"/>
  <c r="CP8" i="20"/>
  <c r="CT8" i="20"/>
  <c r="CU8" i="20"/>
  <c r="CV8" i="20"/>
  <c r="CW8" i="20"/>
  <c r="CX8" i="20"/>
  <c r="CY8" i="20"/>
  <c r="CZ8" i="20"/>
  <c r="DA8" i="20"/>
  <c r="DB8" i="20"/>
  <c r="DC8" i="20"/>
  <c r="DD8" i="20"/>
  <c r="DE8" i="20"/>
  <c r="DF8" i="20"/>
  <c r="DG8" i="20"/>
  <c r="DH8" i="20"/>
  <c r="DI8" i="20"/>
  <c r="DJ8" i="20"/>
  <c r="DK8" i="20"/>
  <c r="DL8" i="20"/>
  <c r="DM8" i="20"/>
  <c r="DN8" i="20"/>
  <c r="DP8" i="20"/>
  <c r="DR8" i="20"/>
  <c r="DT8" i="20"/>
  <c r="DU8" i="20"/>
  <c r="DV8" i="20"/>
  <c r="DW8" i="20"/>
  <c r="DX8" i="20"/>
  <c r="DZ8" i="20"/>
  <c r="EB8" i="20"/>
  <c r="EC8" i="20"/>
  <c r="ED8" i="20"/>
  <c r="EE8" i="20"/>
  <c r="EG8" i="20"/>
  <c r="EI8" i="20"/>
  <c r="EK8" i="20"/>
  <c r="EL8" i="20"/>
  <c r="EM8" i="20"/>
  <c r="EN8" i="20"/>
  <c r="EO8" i="20"/>
  <c r="EQ8" i="20"/>
  <c r="ES8" i="20"/>
  <c r="ET8" i="20"/>
  <c r="EU8" i="20"/>
  <c r="EV8" i="20"/>
  <c r="EX8" i="20"/>
  <c r="EZ8" i="20"/>
  <c r="FB8" i="20"/>
  <c r="FC8" i="20"/>
  <c r="FD8" i="20"/>
  <c r="FE8" i="20"/>
  <c r="FF8" i="20"/>
  <c r="FH8" i="20"/>
  <c r="FJ8" i="20"/>
  <c r="FK8" i="20"/>
  <c r="FL8" i="20"/>
  <c r="FM8" i="20"/>
  <c r="FO8" i="20"/>
  <c r="FQ8" i="20"/>
  <c r="FS8" i="20"/>
  <c r="FT8" i="20"/>
  <c r="FU8" i="20"/>
  <c r="FV8" i="20"/>
  <c r="FW8" i="20"/>
  <c r="FY8" i="20"/>
  <c r="GA8" i="20"/>
  <c r="GB8" i="20"/>
  <c r="GC8" i="20"/>
  <c r="GD8" i="20"/>
  <c r="GF8" i="20"/>
  <c r="GH8" i="20"/>
  <c r="GJ8" i="20"/>
  <c r="GK8" i="20"/>
  <c r="GL8" i="20"/>
  <c r="GM8" i="20"/>
  <c r="GN8" i="20"/>
  <c r="GP8" i="20"/>
  <c r="GR8" i="20"/>
  <c r="GS8" i="20"/>
  <c r="GT8" i="20"/>
  <c r="GU8" i="20"/>
  <c r="GW8" i="20"/>
  <c r="GY8" i="20"/>
  <c r="HA8" i="20"/>
  <c r="HB8" i="20"/>
  <c r="HC8" i="20"/>
  <c r="HD8" i="20"/>
  <c r="HE8" i="20"/>
  <c r="HI8" i="20"/>
  <c r="HJ8" i="20"/>
  <c r="HK8" i="20"/>
  <c r="HL8" i="20"/>
  <c r="HM8" i="20"/>
  <c r="HN8" i="20"/>
  <c r="HO8" i="20"/>
  <c r="HP8" i="20"/>
  <c r="HQ8" i="20"/>
  <c r="HR8" i="20"/>
  <c r="HS8" i="20"/>
  <c r="HT8" i="20"/>
  <c r="HU8" i="20"/>
  <c r="HV8" i="20"/>
  <c r="HW8" i="20"/>
  <c r="HX8" i="20"/>
  <c r="HY8" i="20"/>
  <c r="HZ8" i="20"/>
  <c r="IA8" i="20"/>
  <c r="IB8" i="20"/>
  <c r="IC8" i="20"/>
  <c r="IE8" i="20"/>
  <c r="IG8" i="20"/>
  <c r="II8" i="20"/>
  <c r="IJ8" i="20"/>
  <c r="IK8" i="20"/>
  <c r="IL8" i="20"/>
  <c r="IM8" i="20"/>
  <c r="IO8" i="20"/>
  <c r="IQ8" i="20"/>
  <c r="IR8" i="20"/>
  <c r="IS8" i="20"/>
  <c r="IT8" i="20"/>
  <c r="IV8" i="20"/>
  <c r="B9" i="20"/>
  <c r="D9" i="20"/>
  <c r="E9" i="20"/>
  <c r="F9" i="20"/>
  <c r="G9" i="20"/>
  <c r="H9" i="20"/>
  <c r="J9" i="20"/>
  <c r="L56" i="3"/>
  <c r="L9" i="20" s="1"/>
  <c r="M9" i="20"/>
  <c r="N9" i="20"/>
  <c r="O9" i="20"/>
  <c r="P9" i="20"/>
  <c r="Q9" i="20"/>
  <c r="S9" i="20"/>
  <c r="U9" i="20"/>
  <c r="V9" i="20"/>
  <c r="W9" i="20"/>
  <c r="X9" i="20"/>
  <c r="Y9" i="20"/>
  <c r="AA9" i="20"/>
  <c r="AB9" i="20"/>
  <c r="AC9" i="20"/>
  <c r="AD9" i="20"/>
  <c r="AE9" i="20"/>
  <c r="AF9" i="20"/>
  <c r="AH9" i="20"/>
  <c r="AJ9" i="20"/>
  <c r="AL9" i="20"/>
  <c r="AM9" i="20"/>
  <c r="AN9" i="20"/>
  <c r="AO9" i="20"/>
  <c r="AP9" i="20"/>
  <c r="AR9" i="20"/>
  <c r="AT9" i="20"/>
  <c r="AU9" i="20"/>
  <c r="AV9" i="20"/>
  <c r="AW9" i="20"/>
  <c r="AY9" i="20"/>
  <c r="BA9" i="20"/>
  <c r="BC9" i="20"/>
  <c r="BD9" i="20"/>
  <c r="BE9" i="20"/>
  <c r="BF9" i="20"/>
  <c r="BG9" i="20"/>
  <c r="BI9" i="20"/>
  <c r="BK9" i="20"/>
  <c r="BL9" i="20"/>
  <c r="BM9" i="20"/>
  <c r="BN9" i="20"/>
  <c r="BP9" i="20"/>
  <c r="BR9" i="20"/>
  <c r="BT9" i="20"/>
  <c r="BU9" i="20"/>
  <c r="BV9" i="20"/>
  <c r="BW9" i="20"/>
  <c r="BX9" i="20"/>
  <c r="BZ9" i="20"/>
  <c r="CB9" i="20"/>
  <c r="CC9" i="20"/>
  <c r="CD9" i="20"/>
  <c r="CE9" i="20"/>
  <c r="CG9" i="20"/>
  <c r="CI9" i="20"/>
  <c r="CK9" i="20"/>
  <c r="CL9" i="20"/>
  <c r="CM9" i="20"/>
  <c r="CN9" i="20"/>
  <c r="CO9" i="20"/>
  <c r="CQ9" i="20"/>
  <c r="CS9" i="20"/>
  <c r="CT9" i="20"/>
  <c r="CU9" i="20"/>
  <c r="CV9" i="20"/>
  <c r="CX9" i="20"/>
  <c r="CZ9" i="20"/>
  <c r="DB9" i="20"/>
  <c r="DC9" i="20"/>
  <c r="DD9" i="20"/>
  <c r="DE9" i="20"/>
  <c r="DF9" i="20"/>
  <c r="DJ9" i="20"/>
  <c r="DK9" i="20"/>
  <c r="DL9" i="20"/>
  <c r="DM9" i="20"/>
  <c r="DN9" i="20"/>
  <c r="DO9" i="20"/>
  <c r="DP9" i="20"/>
  <c r="DQ9" i="20"/>
  <c r="DR9" i="20"/>
  <c r="DS9" i="20"/>
  <c r="DT9" i="20"/>
  <c r="DU9" i="20"/>
  <c r="DV9" i="20"/>
  <c r="DW9" i="20"/>
  <c r="DX9" i="20"/>
  <c r="DY9" i="20"/>
  <c r="DZ9" i="20"/>
  <c r="EA9" i="20"/>
  <c r="EB9" i="20"/>
  <c r="EC9" i="20"/>
  <c r="ED9" i="20"/>
  <c r="EF9" i="20"/>
  <c r="EH9" i="20"/>
  <c r="EJ9" i="20"/>
  <c r="EK9" i="20"/>
  <c r="EL9" i="20"/>
  <c r="EM9" i="20"/>
  <c r="EN9" i="20"/>
  <c r="EP9" i="20"/>
  <c r="ER9" i="20"/>
  <c r="ES9" i="20"/>
  <c r="ET9" i="20"/>
  <c r="EU9" i="20"/>
  <c r="EW9" i="20"/>
  <c r="EY9" i="20"/>
  <c r="FA9" i="20"/>
  <c r="FB9" i="20"/>
  <c r="FC9" i="20"/>
  <c r="FD9" i="20"/>
  <c r="FE9" i="20"/>
  <c r="FG9" i="20"/>
  <c r="FI9" i="20"/>
  <c r="FJ9" i="20"/>
  <c r="FK9" i="20"/>
  <c r="FL9" i="20"/>
  <c r="FN9" i="20"/>
  <c r="FP9" i="20"/>
  <c r="FR9" i="20"/>
  <c r="FS9" i="20"/>
  <c r="FT9" i="20"/>
  <c r="FU9" i="20"/>
  <c r="FV9" i="20"/>
  <c r="FX9" i="20"/>
  <c r="FZ9" i="20"/>
  <c r="GA9" i="20"/>
  <c r="GB9" i="20"/>
  <c r="GC9" i="20"/>
  <c r="GE9" i="20"/>
  <c r="GG9" i="20"/>
  <c r="GI9" i="20"/>
  <c r="GJ9" i="20"/>
  <c r="GK9" i="20"/>
  <c r="GL9" i="20"/>
  <c r="GM9" i="20"/>
  <c r="GO9" i="20"/>
  <c r="GQ9" i="20"/>
  <c r="GR9" i="20"/>
  <c r="GS9" i="20"/>
  <c r="GT9" i="20"/>
  <c r="GV9" i="20"/>
  <c r="GX9" i="20"/>
  <c r="GZ9" i="20"/>
  <c r="HA9" i="20"/>
  <c r="HB9" i="20"/>
  <c r="HC9" i="20"/>
  <c r="HD9" i="20"/>
  <c r="HF9" i="20"/>
  <c r="HH9" i="20"/>
  <c r="HI9" i="20"/>
  <c r="HJ9" i="20"/>
  <c r="HK9" i="20"/>
  <c r="HM9" i="20"/>
  <c r="HO9" i="20"/>
  <c r="HQ9" i="20"/>
  <c r="HR9" i="20"/>
  <c r="HS9" i="20"/>
  <c r="HT9" i="20"/>
  <c r="HU9" i="20"/>
  <c r="HW9" i="20"/>
  <c r="HY9" i="20"/>
  <c r="HZ9" i="20"/>
  <c r="IA9" i="20"/>
  <c r="IB9" i="20"/>
  <c r="ID9" i="20"/>
  <c r="IF9" i="20"/>
  <c r="IH9" i="20"/>
  <c r="II9" i="20"/>
  <c r="IJ9" i="20"/>
  <c r="IK9" i="20"/>
  <c r="IL9" i="20"/>
  <c r="IN9" i="20"/>
  <c r="IP9" i="20"/>
  <c r="IQ9" i="20"/>
  <c r="IR9" i="20"/>
  <c r="IS9" i="20"/>
  <c r="IU9" i="20"/>
  <c r="A10" i="20"/>
  <c r="C10" i="20"/>
  <c r="D10" i="20"/>
  <c r="E10" i="20"/>
  <c r="F10" i="20"/>
  <c r="G10" i="20"/>
  <c r="I10" i="20"/>
  <c r="K10" i="20"/>
  <c r="L10" i="20"/>
  <c r="M10" i="20"/>
  <c r="N10" i="20"/>
  <c r="P10" i="20"/>
  <c r="R10" i="20"/>
  <c r="T10" i="20"/>
  <c r="U10" i="20"/>
  <c r="V10" i="20"/>
  <c r="W10" i="20"/>
  <c r="X10" i="20"/>
  <c r="Z10" i="20"/>
  <c r="AB10" i="20"/>
  <c r="AC10" i="20"/>
  <c r="AD10" i="20"/>
  <c r="AE10" i="20"/>
  <c r="AG10" i="20"/>
  <c r="AI10" i="20"/>
  <c r="AK10" i="20"/>
  <c r="AL10" i="20"/>
  <c r="AM10" i="20"/>
  <c r="AN10" i="20"/>
  <c r="AO10" i="20"/>
  <c r="AQ10" i="20"/>
  <c r="AS10" i="20"/>
  <c r="AT10" i="20"/>
  <c r="AU10" i="20"/>
  <c r="AV10" i="20"/>
  <c r="AX10" i="20"/>
  <c r="AZ10" i="20"/>
  <c r="BB10" i="20"/>
  <c r="BC10" i="20"/>
  <c r="BD10" i="20"/>
  <c r="BE10" i="20"/>
  <c r="BF10" i="20"/>
  <c r="BH10" i="20"/>
  <c r="BJ10" i="20"/>
  <c r="BK10" i="20"/>
  <c r="BL10" i="20"/>
  <c r="BM10" i="20"/>
  <c r="BN10" i="20"/>
  <c r="BO10" i="20"/>
  <c r="BP10" i="20"/>
  <c r="BQ10" i="20"/>
  <c r="BR10" i="20"/>
  <c r="BS10" i="20"/>
  <c r="BT10" i="20"/>
  <c r="BU10" i="20"/>
  <c r="BV10" i="20"/>
  <c r="BW10" i="20"/>
  <c r="BX10" i="20"/>
  <c r="BY10" i="20"/>
  <c r="BZ10" i="20"/>
  <c r="CA10" i="20"/>
  <c r="CB10" i="20"/>
  <c r="CC10" i="20"/>
  <c r="CD10" i="20"/>
  <c r="CE10" i="20"/>
  <c r="CF10" i="20"/>
  <c r="CG10" i="20"/>
  <c r="CH10" i="20"/>
  <c r="CI10" i="20"/>
  <c r="CJ10" i="20"/>
  <c r="CK10" i="20"/>
  <c r="CL10" i="20"/>
  <c r="CM10" i="20"/>
  <c r="CN10" i="20"/>
  <c r="CO10" i="20"/>
  <c r="CP10" i="20"/>
  <c r="CQ10" i="20"/>
  <c r="CR10" i="20"/>
  <c r="CS10" i="20"/>
  <c r="CT10" i="20"/>
  <c r="D10" i="3"/>
  <c r="CU10" i="20" s="1"/>
  <c r="CV10" i="20"/>
  <c r="F10" i="3"/>
  <c r="CX10" i="20"/>
  <c r="H10" i="3"/>
  <c r="CZ10" i="20"/>
  <c r="DA10" i="20"/>
  <c r="DB10" i="20"/>
  <c r="DC10" i="20"/>
  <c r="DD10" i="20"/>
  <c r="J10" i="3"/>
  <c r="DF10" i="20"/>
  <c r="L10" i="3"/>
  <c r="AV6" i="20" s="1"/>
  <c r="DG10" i="20"/>
  <c r="DH10" i="20"/>
  <c r="DI10" i="20"/>
  <c r="DJ10" i="20"/>
  <c r="DK10" i="20"/>
  <c r="DL10" i="20"/>
  <c r="DM10" i="20"/>
  <c r="DN10" i="20"/>
  <c r="DO10" i="20"/>
  <c r="DP10" i="20"/>
  <c r="DQ10" i="20"/>
  <c r="DR10" i="20"/>
  <c r="DS10" i="20"/>
  <c r="DT10" i="20"/>
  <c r="DU10" i="20"/>
  <c r="DV10" i="20"/>
  <c r="DW10" i="20"/>
  <c r="DX10" i="20"/>
  <c r="DY10" i="20"/>
  <c r="DZ10" i="20"/>
  <c r="EA10" i="20"/>
  <c r="EB10" i="20"/>
  <c r="EC10" i="20"/>
  <c r="ED10" i="20"/>
  <c r="EE10" i="20"/>
  <c r="EF10" i="20"/>
  <c r="EG10" i="20"/>
  <c r="EH10" i="20"/>
  <c r="EI10" i="20"/>
  <c r="EJ10" i="20"/>
  <c r="EV10" i="20"/>
  <c r="EW10" i="20"/>
  <c r="EX10" i="20"/>
  <c r="EY10" i="20"/>
  <c r="EZ10" i="20"/>
  <c r="FA10" i="20"/>
  <c r="FB10" i="20"/>
  <c r="FC10" i="20"/>
  <c r="FD10" i="20"/>
  <c r="FE10" i="20"/>
  <c r="FF10" i="20"/>
  <c r="FG10" i="20"/>
  <c r="FH10" i="20"/>
  <c r="FI10" i="20"/>
  <c r="FJ10" i="20"/>
  <c r="FK10" i="20"/>
  <c r="FL10" i="20"/>
  <c r="FN10" i="20"/>
  <c r="FP10" i="20"/>
  <c r="FR10" i="20"/>
  <c r="FT10" i="20"/>
  <c r="FV10" i="20"/>
  <c r="FW10" i="20"/>
  <c r="FX10" i="20"/>
  <c r="FY10" i="20"/>
  <c r="GA10" i="20"/>
  <c r="GC10" i="20"/>
  <c r="GE10" i="20"/>
  <c r="GG10" i="20"/>
  <c r="GI10" i="20"/>
  <c r="GJ10" i="20"/>
  <c r="GK10" i="20"/>
  <c r="GL10" i="20"/>
  <c r="GN10" i="20"/>
  <c r="GP10" i="20"/>
  <c r="GR10" i="20"/>
  <c r="GT10" i="20"/>
  <c r="GV10" i="20"/>
  <c r="GW10" i="20"/>
  <c r="GX10" i="20"/>
  <c r="GY10" i="20"/>
  <c r="HA10" i="20"/>
  <c r="HC10" i="20"/>
  <c r="HE10" i="20"/>
  <c r="HG10" i="20"/>
  <c r="HI10" i="20"/>
  <c r="HJ10" i="20"/>
  <c r="HK10" i="20"/>
  <c r="HL10" i="20"/>
  <c r="HM10" i="20"/>
  <c r="HN10" i="20"/>
  <c r="HO10" i="20"/>
  <c r="HP10" i="20"/>
  <c r="HQ10" i="20"/>
  <c r="HR10" i="20"/>
  <c r="HS10" i="20"/>
  <c r="HT10" i="20"/>
  <c r="HU10" i="20"/>
  <c r="HV10" i="20"/>
  <c r="HW10" i="20"/>
  <c r="HX10" i="20"/>
  <c r="II10" i="20"/>
  <c r="IJ10" i="20"/>
  <c r="IK10" i="20"/>
  <c r="IL10" i="20"/>
  <c r="IM10" i="20"/>
  <c r="IN10" i="20"/>
  <c r="IO10" i="20"/>
  <c r="IP10" i="20"/>
  <c r="IQ10" i="20"/>
  <c r="IR10" i="20"/>
  <c r="IS10" i="20"/>
  <c r="IT10" i="20"/>
  <c r="IU10" i="20"/>
  <c r="IV10" i="20"/>
  <c r="A11" i="20"/>
  <c r="B11" i="20"/>
  <c r="C11" i="20"/>
  <c r="E11" i="20"/>
  <c r="G11" i="20"/>
  <c r="H11" i="20"/>
  <c r="I11" i="20"/>
  <c r="K11" i="20"/>
  <c r="M11" i="20"/>
  <c r="N11" i="20"/>
  <c r="O11" i="20"/>
  <c r="P11" i="20"/>
  <c r="R11" i="20"/>
  <c r="T11" i="20"/>
  <c r="V11" i="20"/>
  <c r="X11" i="20"/>
  <c r="Z11" i="20"/>
  <c r="AA11" i="20"/>
  <c r="AB11" i="20"/>
  <c r="AM11" i="20"/>
  <c r="AN11" i="20"/>
  <c r="AO11" i="20"/>
  <c r="AP11" i="20"/>
  <c r="AQ11" i="20"/>
  <c r="AR11" i="20"/>
  <c r="AS11" i="20"/>
  <c r="AT11" i="20"/>
  <c r="AU11" i="20"/>
  <c r="AV11" i="20"/>
  <c r="AW11" i="20"/>
  <c r="AX11" i="20"/>
  <c r="AY11" i="20"/>
  <c r="AZ11" i="20"/>
  <c r="BA11" i="20"/>
  <c r="BB11" i="20"/>
  <c r="BC11" i="20"/>
  <c r="BD11" i="20"/>
  <c r="BE11" i="20"/>
  <c r="BF11" i="20"/>
  <c r="BG11" i="20"/>
  <c r="BH11" i="20"/>
  <c r="BI11" i="20"/>
  <c r="BJ11" i="20"/>
  <c r="BK11" i="20"/>
  <c r="BL11" i="20"/>
  <c r="BM11" i="20"/>
  <c r="BN11" i="20"/>
  <c r="BO11" i="20"/>
  <c r="BP11" i="20"/>
  <c r="BR11" i="20"/>
  <c r="BT11" i="20"/>
  <c r="BV11" i="20"/>
  <c r="BX11" i="20"/>
  <c r="BZ11" i="20"/>
  <c r="CA11" i="20"/>
  <c r="CB11" i="20"/>
  <c r="CC11" i="20"/>
  <c r="CE11" i="20"/>
  <c r="CG11" i="20"/>
  <c r="CI11" i="20"/>
  <c r="CK11" i="20"/>
  <c r="CM11" i="20"/>
  <c r="CN11" i="20"/>
  <c r="CO11" i="20"/>
  <c r="CP11" i="20"/>
  <c r="CR11" i="20"/>
  <c r="CT11" i="20"/>
  <c r="CV11" i="20"/>
  <c r="CX11" i="20"/>
  <c r="CZ11" i="20"/>
  <c r="DA11" i="20"/>
  <c r="DB11" i="20"/>
  <c r="DC11" i="20"/>
  <c r="DE11" i="20"/>
  <c r="DG11" i="20"/>
  <c r="DI11" i="20"/>
  <c r="DK11" i="20"/>
  <c r="DM11" i="20"/>
  <c r="DN11" i="20"/>
  <c r="DO11" i="20"/>
  <c r="DP11" i="20"/>
  <c r="DQ11" i="20"/>
  <c r="DR11" i="20"/>
  <c r="DS11" i="20"/>
  <c r="DT11" i="20"/>
  <c r="DU11" i="20"/>
  <c r="DV11" i="20"/>
  <c r="DW11" i="20"/>
  <c r="DX11" i="20"/>
  <c r="DY11" i="20"/>
  <c r="DZ11" i="20"/>
  <c r="EA11" i="20"/>
  <c r="EB11" i="20"/>
  <c r="EC11" i="20"/>
  <c r="ED11" i="20"/>
  <c r="EE11" i="20"/>
  <c r="EF11" i="20"/>
  <c r="EG11" i="20"/>
  <c r="EH11" i="20"/>
  <c r="EI11" i="20"/>
  <c r="EJ11" i="20"/>
  <c r="EK11" i="20"/>
  <c r="EL11" i="20"/>
  <c r="EM11" i="20"/>
  <c r="EN11" i="20"/>
  <c r="EO11" i="20"/>
  <c r="EP11" i="20"/>
  <c r="ER11" i="20"/>
  <c r="ET11" i="20"/>
  <c r="EZ11" i="20"/>
  <c r="FA11" i="20"/>
  <c r="FB11" i="20"/>
  <c r="FC11" i="20"/>
  <c r="FD11" i="20"/>
  <c r="FE11" i="20"/>
  <c r="FF11" i="20"/>
  <c r="FG11" i="20"/>
  <c r="FH11" i="20"/>
  <c r="FI11" i="20"/>
  <c r="FJ11" i="20"/>
  <c r="FK11" i="20"/>
  <c r="FL11" i="20"/>
  <c r="FM11" i="20"/>
  <c r="FN11" i="20"/>
  <c r="FO11" i="20"/>
  <c r="FP11" i="20"/>
  <c r="FR11" i="20"/>
  <c r="FT11" i="20"/>
  <c r="FV11" i="20"/>
  <c r="FX11" i="20"/>
  <c r="FY11" i="20"/>
  <c r="FZ11" i="20"/>
  <c r="GA11" i="20"/>
  <c r="GB11" i="20"/>
  <c r="GC11" i="20"/>
  <c r="GE11" i="20"/>
  <c r="GG11" i="20"/>
  <c r="GI11" i="20"/>
  <c r="GK11" i="20"/>
  <c r="GM11" i="20"/>
  <c r="GN11" i="20"/>
  <c r="GO11" i="20"/>
  <c r="GP11" i="20"/>
  <c r="GR11" i="20"/>
  <c r="GT11" i="20"/>
  <c r="GV11" i="20"/>
  <c r="GX11" i="20"/>
  <c r="GZ11" i="20"/>
  <c r="HA11" i="20"/>
  <c r="HB11" i="20"/>
  <c r="HM11" i="20"/>
  <c r="HN11" i="20"/>
  <c r="HO11" i="20"/>
  <c r="HP11" i="20"/>
  <c r="HQ11" i="20"/>
  <c r="HR11" i="20"/>
  <c r="HS11" i="20"/>
  <c r="HT11" i="20"/>
  <c r="HU11" i="20"/>
  <c r="HV11" i="20"/>
  <c r="HW11" i="20"/>
  <c r="HX11" i="20"/>
  <c r="HY11" i="20"/>
  <c r="HZ11" i="20"/>
  <c r="IA11" i="20"/>
  <c r="IB11" i="20"/>
  <c r="IC11" i="20"/>
  <c r="IE11" i="20"/>
  <c r="IG11" i="20"/>
  <c r="II11" i="20"/>
  <c r="IK11" i="20"/>
  <c r="IM11" i="20"/>
  <c r="IN11" i="20"/>
  <c r="IO11" i="20"/>
  <c r="IP11" i="20"/>
  <c r="IR11" i="20"/>
  <c r="IT11" i="20"/>
  <c r="IV11" i="20"/>
  <c r="B12" i="20"/>
  <c r="C32" i="4"/>
  <c r="G12" i="20" s="1"/>
  <c r="E32" i="4"/>
  <c r="I12" i="20" s="1"/>
  <c r="G32" i="4"/>
  <c r="E12" i="20"/>
  <c r="F12" i="20"/>
  <c r="K12" i="20"/>
  <c r="Q12" i="20"/>
  <c r="R12" i="20"/>
  <c r="S12" i="20"/>
  <c r="T12" i="20"/>
  <c r="U12" i="20"/>
  <c r="V12" i="20"/>
  <c r="W12" i="20"/>
  <c r="X12" i="20"/>
  <c r="Y12" i="20"/>
  <c r="Z12" i="20"/>
  <c r="AA12" i="20"/>
  <c r="AB12" i="20"/>
  <c r="AC12" i="20"/>
  <c r="AD12" i="20"/>
  <c r="AE12" i="20"/>
  <c r="AF12" i="20"/>
  <c r="AG12" i="20"/>
  <c r="AI12" i="20"/>
  <c r="AK12" i="20"/>
  <c r="AM12" i="20"/>
  <c r="AO12" i="20"/>
  <c r="AQ12" i="20"/>
  <c r="AR12" i="20"/>
  <c r="AS12" i="20"/>
  <c r="AT12" i="20"/>
  <c r="AU12" i="20"/>
  <c r="AV12" i="20"/>
  <c r="AW12" i="20"/>
  <c r="AX12" i="20"/>
  <c r="AY12" i="20"/>
  <c r="AZ12" i="20"/>
  <c r="BA12" i="20"/>
  <c r="BB12" i="20"/>
  <c r="BC12" i="20"/>
  <c r="BD12" i="20"/>
  <c r="BE12" i="20"/>
  <c r="BF12" i="20"/>
  <c r="BG12" i="20"/>
  <c r="BI12" i="20"/>
  <c r="BK12" i="20"/>
  <c r="BM12" i="20"/>
  <c r="BO12" i="20"/>
  <c r="BQ12" i="20"/>
  <c r="BR12" i="20"/>
  <c r="BS12" i="20"/>
  <c r="BT12" i="20"/>
  <c r="BV12" i="20"/>
  <c r="BX12" i="20"/>
  <c r="BZ12" i="20"/>
  <c r="CB12" i="20"/>
  <c r="CD12" i="20"/>
  <c r="CE12" i="20"/>
  <c r="CF12" i="20"/>
  <c r="CG12" i="20"/>
  <c r="CI12" i="20"/>
  <c r="CK12" i="20"/>
  <c r="CM12" i="20"/>
  <c r="CO12" i="20"/>
  <c r="CQ12" i="20"/>
  <c r="CR12" i="20"/>
  <c r="CS12" i="20"/>
  <c r="CT12" i="20"/>
  <c r="CV12" i="20"/>
  <c r="CX12" i="20"/>
  <c r="CZ12" i="20"/>
  <c r="DB12" i="20"/>
  <c r="DD12" i="20"/>
  <c r="DE12" i="20"/>
  <c r="DF12" i="20"/>
  <c r="DG12" i="20"/>
  <c r="DI12" i="20"/>
  <c r="DK12" i="20"/>
  <c r="DM12" i="20"/>
  <c r="DO12" i="20"/>
  <c r="DQ12" i="20"/>
  <c r="DR12" i="20"/>
  <c r="DS12" i="20"/>
  <c r="ED12" i="20"/>
  <c r="EE12" i="20"/>
  <c r="EF12" i="20"/>
  <c r="EG12" i="20"/>
  <c r="EH12" i="20"/>
  <c r="EI12" i="20"/>
  <c r="EJ12" i="20"/>
  <c r="EK12" i="20"/>
  <c r="EL12" i="20"/>
  <c r="EM12" i="20"/>
  <c r="EN12" i="20"/>
  <c r="EO12" i="20"/>
  <c r="EP12" i="20"/>
  <c r="EQ12" i="20"/>
  <c r="ER12" i="20"/>
  <c r="ES12" i="20"/>
  <c r="ET12" i="20"/>
  <c r="EV12" i="20"/>
  <c r="EX12" i="20"/>
  <c r="EZ12" i="20"/>
  <c r="FB12" i="20"/>
  <c r="FD12" i="20"/>
  <c r="FE12" i="20"/>
  <c r="FF12" i="20"/>
  <c r="FG12" i="20"/>
  <c r="FI12" i="20"/>
  <c r="FK12" i="20"/>
  <c r="FM12" i="20"/>
  <c r="FO12" i="20"/>
  <c r="FQ12" i="20"/>
  <c r="FR12" i="20"/>
  <c r="FS12" i="20"/>
  <c r="FT12" i="20"/>
  <c r="GD12" i="20"/>
  <c r="GE12" i="20"/>
  <c r="GF12" i="20"/>
  <c r="GG12" i="20"/>
  <c r="GH12" i="20"/>
  <c r="GI12" i="20"/>
  <c r="GJ12" i="20"/>
  <c r="GK12" i="20"/>
  <c r="GL12" i="20"/>
  <c r="GM12" i="20"/>
  <c r="GN12" i="20"/>
  <c r="GO12" i="20"/>
  <c r="GP12" i="20"/>
  <c r="GQ12" i="20"/>
  <c r="GR12" i="20"/>
  <c r="GS12" i="20"/>
  <c r="GT12" i="20"/>
  <c r="GV12" i="20"/>
  <c r="GX12" i="20"/>
  <c r="GZ12" i="20"/>
  <c r="HB12" i="20"/>
  <c r="HD12" i="20"/>
  <c r="HE12" i="20"/>
  <c r="HF12" i="20"/>
  <c r="HG12" i="20"/>
  <c r="HI12" i="20"/>
  <c r="HK12" i="20"/>
  <c r="HM12" i="20"/>
  <c r="HO12" i="20"/>
  <c r="HQ12" i="20"/>
  <c r="HR12" i="20"/>
  <c r="HS12" i="20"/>
  <c r="HT12" i="20"/>
  <c r="HU12" i="20"/>
  <c r="HV12" i="20"/>
  <c r="HW12" i="20"/>
  <c r="HX12" i="20"/>
  <c r="HY12" i="20"/>
  <c r="HZ12" i="20"/>
  <c r="IA12" i="20"/>
  <c r="IB12" i="20"/>
  <c r="IC12" i="20"/>
  <c r="ID12" i="20"/>
  <c r="IE12" i="20"/>
  <c r="IF12" i="20"/>
  <c r="IG12" i="20"/>
  <c r="IH12" i="20"/>
  <c r="II12" i="20"/>
  <c r="IJ12" i="20"/>
  <c r="IK12" i="20"/>
  <c r="IL12" i="20"/>
  <c r="IM12" i="20"/>
  <c r="IN12" i="20"/>
  <c r="IO12" i="20"/>
  <c r="IP12" i="20"/>
  <c r="IQ12" i="20"/>
  <c r="IR12" i="20"/>
  <c r="IS12" i="20"/>
  <c r="IT12" i="20"/>
  <c r="IU12" i="20"/>
  <c r="IV12" i="20"/>
  <c r="A13" i="20"/>
  <c r="B13" i="20"/>
  <c r="C13" i="20"/>
  <c r="D13" i="20"/>
  <c r="E13" i="20"/>
  <c r="F13" i="20"/>
  <c r="G13" i="20"/>
  <c r="H13" i="20"/>
  <c r="I13" i="20"/>
  <c r="J13" i="20"/>
  <c r="K13" i="20"/>
  <c r="L13" i="20"/>
  <c r="M13" i="20"/>
  <c r="N13" i="20"/>
  <c r="O13" i="20"/>
  <c r="P13" i="20"/>
  <c r="Q13" i="20"/>
  <c r="R13" i="20"/>
  <c r="S13" i="20"/>
  <c r="T13" i="20"/>
  <c r="U13" i="20"/>
  <c r="V13" i="20"/>
  <c r="W13" i="20"/>
  <c r="X13" i="20"/>
  <c r="Z13" i="20"/>
  <c r="AB13" i="20"/>
  <c r="AD13" i="20"/>
  <c r="AF13" i="20"/>
  <c r="AH13" i="20"/>
  <c r="AI13" i="20"/>
  <c r="AJ13" i="20"/>
  <c r="AK13" i="20"/>
  <c r="AM13" i="20"/>
  <c r="AO13" i="20"/>
  <c r="AQ13" i="20"/>
  <c r="AS13" i="20"/>
  <c r="AU13" i="20"/>
  <c r="AV13" i="20"/>
  <c r="AW13" i="20"/>
  <c r="BH13" i="20"/>
  <c r="BI13" i="20"/>
  <c r="BJ13" i="20"/>
  <c r="D13" i="4"/>
  <c r="BK13" i="20" s="1"/>
  <c r="BL13" i="20"/>
  <c r="F13" i="4"/>
  <c r="F11" i="20" s="1"/>
  <c r="BM13" i="20"/>
  <c r="BN13" i="20"/>
  <c r="H13" i="4"/>
  <c r="BO13" i="20"/>
  <c r="BP13" i="20"/>
  <c r="J13" i="4"/>
  <c r="BQ13" i="20" s="1"/>
  <c r="BR13" i="20"/>
  <c r="L13" i="4"/>
  <c r="BS13" i="20" s="1"/>
  <c r="BT13" i="20"/>
  <c r="BU13" i="20"/>
  <c r="BV13" i="20"/>
  <c r="BW13" i="20"/>
  <c r="BX13" i="20"/>
  <c r="BY13" i="20"/>
  <c r="BZ13" i="20"/>
  <c r="CA13" i="20"/>
  <c r="CB13" i="20"/>
  <c r="CC13" i="20"/>
  <c r="CD13" i="20"/>
  <c r="CE13" i="20"/>
  <c r="CF13" i="20"/>
  <c r="CG13" i="20"/>
  <c r="CH13" i="20"/>
  <c r="CI13" i="20"/>
  <c r="CJ13" i="20"/>
  <c r="CK13" i="20"/>
  <c r="CL13" i="20"/>
  <c r="CM13" i="20"/>
  <c r="CN13" i="20"/>
  <c r="CO13" i="20"/>
  <c r="CP13" i="20"/>
  <c r="CQ13" i="20"/>
  <c r="CR13" i="20"/>
  <c r="CS13" i="20"/>
  <c r="CT13" i="20"/>
  <c r="CU13" i="20"/>
  <c r="CV13" i="20"/>
  <c r="CW13" i="20"/>
  <c r="CX13" i="20"/>
  <c r="CY13" i="20"/>
  <c r="DE13" i="20"/>
  <c r="DF13" i="20"/>
  <c r="DM13" i="20"/>
  <c r="DN13" i="20"/>
  <c r="DO13" i="20"/>
  <c r="DP13" i="20"/>
  <c r="DQ13" i="20"/>
  <c r="DR13" i="20"/>
  <c r="DS13" i="20"/>
  <c r="DT13" i="20"/>
  <c r="DU13" i="20"/>
  <c r="DV13" i="20"/>
  <c r="DW13" i="20"/>
  <c r="DX13" i="20"/>
  <c r="DY13" i="20"/>
  <c r="DZ13" i="20"/>
  <c r="EA13" i="20"/>
  <c r="EB13" i="20"/>
  <c r="EC13" i="20"/>
  <c r="ED13" i="20"/>
  <c r="EE13" i="20"/>
  <c r="EG13" i="20"/>
  <c r="EI13" i="20"/>
  <c r="EJ13" i="20"/>
  <c r="EK13" i="20"/>
  <c r="EM13" i="20"/>
  <c r="EO13" i="20"/>
  <c r="EQ13" i="20"/>
  <c r="ER13" i="20"/>
  <c r="ES13" i="20"/>
  <c r="ET13" i="20"/>
  <c r="EV13" i="20"/>
  <c r="EX13" i="20"/>
  <c r="EY13" i="20"/>
  <c r="EZ13" i="20"/>
  <c r="FB13" i="20"/>
  <c r="FD13" i="20"/>
  <c r="FF13" i="20"/>
  <c r="FG13" i="20"/>
  <c r="FH13" i="20"/>
  <c r="FI13" i="20"/>
  <c r="FK13" i="20"/>
  <c r="FM13" i="20"/>
  <c r="FN13" i="20"/>
  <c r="FO13" i="20"/>
  <c r="FQ13" i="20"/>
  <c r="FS13" i="20"/>
  <c r="FU13" i="20"/>
  <c r="FV13" i="20"/>
  <c r="FW13" i="20"/>
  <c r="FX13" i="20"/>
  <c r="FZ13" i="20"/>
  <c r="GB13" i="20"/>
  <c r="GC13" i="20"/>
  <c r="GD13" i="20"/>
  <c r="GF13" i="20"/>
  <c r="GH13" i="20"/>
  <c r="GJ13" i="20"/>
  <c r="GK13" i="20"/>
  <c r="GL13" i="20"/>
  <c r="GM13" i="20"/>
  <c r="GO13" i="20"/>
  <c r="GQ13" i="20"/>
  <c r="GR13" i="20"/>
  <c r="GS13" i="20"/>
  <c r="GU13" i="20"/>
  <c r="GW13" i="20"/>
  <c r="GY13" i="20"/>
  <c r="GZ13" i="20"/>
  <c r="HA13" i="20"/>
  <c r="HB13" i="20"/>
  <c r="HD13" i="20"/>
  <c r="HF13" i="20"/>
  <c r="HG13" i="20"/>
  <c r="HH13" i="20"/>
  <c r="HJ13" i="20"/>
  <c r="HL13" i="20"/>
  <c r="HN13" i="20"/>
  <c r="HO13" i="20"/>
  <c r="HP13" i="20"/>
  <c r="HQ13" i="20"/>
  <c r="HR13" i="20"/>
  <c r="HS13" i="20"/>
  <c r="HT13" i="20"/>
  <c r="HU13" i="20"/>
  <c r="HV13" i="20"/>
  <c r="HW13" i="20"/>
  <c r="HX13" i="20"/>
  <c r="HY13" i="20"/>
  <c r="HZ13" i="20"/>
  <c r="IA13" i="20"/>
  <c r="IB13" i="20"/>
  <c r="IC13" i="20"/>
  <c r="ID13" i="20"/>
  <c r="IE13" i="20"/>
  <c r="IJ13" i="20"/>
  <c r="IK13" i="20"/>
  <c r="IR13" i="20"/>
  <c r="IS13" i="20"/>
  <c r="IT13" i="20"/>
  <c r="IU13" i="20"/>
  <c r="IV13" i="20"/>
  <c r="A14" i="20"/>
  <c r="B14" i="20"/>
  <c r="C14" i="20"/>
  <c r="D14" i="20"/>
  <c r="E14" i="20"/>
  <c r="F14" i="20"/>
  <c r="G14" i="20"/>
  <c r="H14" i="20"/>
  <c r="I14" i="20"/>
  <c r="J14" i="20"/>
  <c r="K14" i="20"/>
  <c r="L14" i="20"/>
  <c r="M14" i="20"/>
  <c r="N14" i="20"/>
  <c r="P14" i="20"/>
  <c r="R14" i="20"/>
  <c r="S14" i="20"/>
  <c r="T14" i="20"/>
  <c r="V14" i="20"/>
  <c r="X14" i="20"/>
  <c r="Z14" i="20"/>
  <c r="AA14" i="20"/>
  <c r="AB14" i="20"/>
  <c r="AC14" i="20"/>
  <c r="AE14" i="20"/>
  <c r="AG14" i="20"/>
  <c r="AH14" i="20"/>
  <c r="AI14" i="20"/>
  <c r="AK14" i="20"/>
  <c r="AM14" i="20"/>
  <c r="AO14" i="20"/>
  <c r="AP14" i="20"/>
  <c r="AQ14" i="20"/>
  <c r="AR14" i="20"/>
  <c r="AT14" i="20"/>
  <c r="AV14" i="20"/>
  <c r="AW14" i="20"/>
  <c r="AX14" i="20"/>
  <c r="AZ14" i="20"/>
  <c r="BB14" i="20"/>
  <c r="BD14" i="20"/>
  <c r="BE14" i="20"/>
  <c r="BF14" i="20"/>
  <c r="BG14" i="20"/>
  <c r="BI14" i="20"/>
  <c r="BK14" i="20"/>
  <c r="BL14" i="20"/>
  <c r="BM14" i="20"/>
  <c r="BO14" i="20"/>
  <c r="BQ14" i="20"/>
  <c r="BS14" i="20"/>
  <c r="BT14" i="20"/>
  <c r="BU14" i="20"/>
  <c r="BV14" i="20"/>
  <c r="BX14" i="20"/>
  <c r="BZ14" i="20"/>
  <c r="CA14" i="20"/>
  <c r="CB14" i="20"/>
  <c r="CD14" i="20"/>
  <c r="CF14" i="20"/>
  <c r="CH14" i="20"/>
  <c r="CI14" i="20"/>
  <c r="CJ14" i="20"/>
  <c r="CK14" i="20"/>
  <c r="CM14" i="20"/>
  <c r="CO14" i="20"/>
  <c r="CP14" i="20"/>
  <c r="CQ14" i="20"/>
  <c r="CS14" i="20"/>
  <c r="CU14" i="20"/>
  <c r="CW14" i="20"/>
  <c r="CX14" i="20"/>
  <c r="CY14" i="20"/>
  <c r="CZ14" i="20"/>
  <c r="DB14" i="20"/>
  <c r="DD14" i="20"/>
  <c r="DE14" i="20"/>
  <c r="DF14" i="20"/>
  <c r="DH14" i="20"/>
  <c r="DJ14" i="20"/>
  <c r="DL14" i="20"/>
  <c r="DM14" i="20"/>
  <c r="DN14" i="20"/>
  <c r="DO14" i="20"/>
  <c r="DQ14" i="20"/>
  <c r="DS14" i="20"/>
  <c r="DT14" i="20"/>
  <c r="DU14" i="20"/>
  <c r="DW14" i="20"/>
  <c r="DY14" i="20"/>
  <c r="EA14" i="20"/>
  <c r="EB14" i="20"/>
  <c r="EC14" i="20"/>
  <c r="ED14" i="20"/>
  <c r="EE14" i="20"/>
  <c r="EF14" i="20"/>
  <c r="EG14" i="20"/>
  <c r="EH14" i="20"/>
  <c r="EI14" i="20"/>
  <c r="EJ14" i="20"/>
  <c r="EK14" i="20"/>
  <c r="EL14" i="20"/>
  <c r="EM14" i="20"/>
  <c r="EN14" i="20"/>
  <c r="EO14" i="20"/>
  <c r="EP14" i="20"/>
  <c r="EQ14" i="20"/>
  <c r="ER14" i="20"/>
  <c r="EW14" i="20"/>
  <c r="EX14" i="20"/>
  <c r="FE14" i="20"/>
  <c r="FF14" i="20"/>
  <c r="FG14" i="20"/>
  <c r="FH14" i="20"/>
  <c r="FI14" i="20"/>
  <c r="FJ14" i="20"/>
  <c r="FK14" i="20"/>
  <c r="FL14" i="20"/>
  <c r="FM14" i="20"/>
  <c r="FN14" i="20"/>
  <c r="FO14" i="20"/>
  <c r="FP14" i="20"/>
  <c r="FQ14" i="20"/>
  <c r="FR14" i="20"/>
  <c r="FS14" i="20"/>
  <c r="FT14" i="20"/>
  <c r="FU14" i="20"/>
  <c r="FV14" i="20"/>
  <c r="FW14" i="20"/>
  <c r="FY14" i="20"/>
  <c r="GA14" i="20"/>
  <c r="GB14" i="20"/>
  <c r="GC14" i="20"/>
  <c r="GE14" i="20"/>
  <c r="GG14" i="20"/>
  <c r="GI14" i="20"/>
  <c r="GJ14" i="20"/>
  <c r="GK14" i="20"/>
  <c r="GL14" i="20"/>
  <c r="GN14" i="20"/>
  <c r="GP14" i="20"/>
  <c r="GQ14" i="20"/>
  <c r="GR14" i="20"/>
  <c r="GT14" i="20"/>
  <c r="GV14" i="20"/>
  <c r="GX14" i="20"/>
  <c r="GY14" i="20"/>
  <c r="GZ14" i="20"/>
  <c r="HA14" i="20"/>
  <c r="HC14" i="20"/>
  <c r="HE14" i="20"/>
  <c r="HF14" i="20"/>
  <c r="HG14" i="20"/>
  <c r="HI14" i="20"/>
  <c r="HK14" i="20"/>
  <c r="HM14" i="20"/>
  <c r="HN14" i="20"/>
  <c r="HO14" i="20"/>
  <c r="HP14" i="20"/>
  <c r="HR14" i="20"/>
  <c r="HT14" i="20"/>
  <c r="HU14" i="20"/>
  <c r="HV14" i="20"/>
  <c r="HX14" i="20"/>
  <c r="HZ14" i="20"/>
  <c r="IB14" i="20"/>
  <c r="IC14" i="20"/>
  <c r="ID14" i="20"/>
  <c r="II14" i="20"/>
  <c r="IJ14" i="20"/>
  <c r="IQ14" i="20"/>
  <c r="IR14" i="20"/>
  <c r="IS14" i="20"/>
  <c r="IT14" i="20"/>
  <c r="IU14" i="20"/>
  <c r="IV14" i="20"/>
  <c r="A15" i="20"/>
  <c r="B15" i="20"/>
  <c r="C15" i="20"/>
  <c r="D15" i="20"/>
  <c r="E15" i="20"/>
  <c r="F15" i="20"/>
  <c r="G15" i="20"/>
  <c r="H15" i="20"/>
  <c r="I15" i="20"/>
  <c r="J33" i="5"/>
  <c r="K15" i="20"/>
  <c r="L15" i="20"/>
  <c r="M15" i="20"/>
  <c r="O15" i="20"/>
  <c r="Q15" i="20"/>
  <c r="R15" i="20"/>
  <c r="S15" i="20"/>
  <c r="U15" i="20"/>
  <c r="W15" i="20"/>
  <c r="Y15" i="20"/>
  <c r="Z15" i="20"/>
  <c r="AA15" i="20"/>
  <c r="AB15" i="20"/>
  <c r="AD15" i="20"/>
  <c r="AF15" i="20"/>
  <c r="AG15" i="20"/>
  <c r="AH15" i="20"/>
  <c r="AJ15" i="20"/>
  <c r="AL15" i="20"/>
  <c r="AN15" i="20"/>
  <c r="AO15" i="20"/>
  <c r="AP15" i="20"/>
  <c r="AQ15" i="20"/>
  <c r="AS15" i="20"/>
  <c r="AU15" i="20"/>
  <c r="AV15" i="20"/>
  <c r="AW15" i="20"/>
  <c r="AY15" i="20"/>
  <c r="BA15" i="20"/>
  <c r="BC15" i="20"/>
  <c r="BD15" i="20"/>
  <c r="BE15" i="20"/>
  <c r="BF15" i="20"/>
  <c r="BH15" i="20"/>
  <c r="BJ15" i="20"/>
  <c r="BK15" i="20"/>
  <c r="BL15" i="20"/>
  <c r="BN15" i="20"/>
  <c r="BP15" i="20"/>
  <c r="BR15" i="20"/>
  <c r="BS15" i="20"/>
  <c r="BT15" i="20"/>
  <c r="BU15" i="20"/>
  <c r="BW15" i="20"/>
  <c r="BY15" i="20"/>
  <c r="BZ15" i="20"/>
  <c r="CA15" i="20"/>
  <c r="CC15" i="20"/>
  <c r="CE15" i="20"/>
  <c r="CG15" i="20"/>
  <c r="CH15" i="20"/>
  <c r="CI15" i="20"/>
  <c r="CJ15" i="20"/>
  <c r="CL15" i="20"/>
  <c r="CN15" i="20"/>
  <c r="CO15" i="20"/>
  <c r="CP15" i="20"/>
  <c r="CR15" i="20"/>
  <c r="CT15" i="20"/>
  <c r="CV15" i="20"/>
  <c r="CW15" i="20"/>
  <c r="CX15" i="20"/>
  <c r="CY15" i="20"/>
  <c r="DA15" i="20"/>
  <c r="DC15" i="20"/>
  <c r="DD15" i="20"/>
  <c r="DE15" i="20"/>
  <c r="DG15" i="20"/>
  <c r="DI15" i="20"/>
  <c r="DK15" i="20"/>
  <c r="DL15" i="20"/>
  <c r="DM15" i="20"/>
  <c r="DN15" i="20"/>
  <c r="DO15" i="20"/>
  <c r="DP15" i="20"/>
  <c r="DQ15" i="20"/>
  <c r="DR15" i="20"/>
  <c r="DS15" i="20"/>
  <c r="DT15" i="20"/>
  <c r="DU15" i="20"/>
  <c r="DV15" i="20"/>
  <c r="DW15" i="20"/>
  <c r="DX15" i="20"/>
  <c r="DY15" i="20"/>
  <c r="DZ15" i="20"/>
  <c r="EA15" i="20"/>
  <c r="EB15" i="20"/>
  <c r="EG15" i="20"/>
  <c r="EH15" i="20"/>
  <c r="EO15" i="20"/>
  <c r="EP15" i="20"/>
  <c r="EQ15" i="20"/>
  <c r="ER15" i="20"/>
  <c r="ES15" i="20"/>
  <c r="ET15" i="20"/>
  <c r="EU15" i="20"/>
  <c r="EV15" i="20"/>
  <c r="EW15" i="20"/>
  <c r="EX15" i="20"/>
  <c r="EY15" i="20"/>
  <c r="EZ15" i="20"/>
  <c r="FA15" i="20"/>
  <c r="FB15" i="20"/>
  <c r="FC15" i="20"/>
  <c r="FD15" i="20"/>
  <c r="FE15" i="20"/>
  <c r="FF15" i="20"/>
  <c r="FG15" i="20"/>
  <c r="FI15" i="20"/>
  <c r="FK15" i="20"/>
  <c r="FL15" i="20"/>
  <c r="FM15" i="20"/>
  <c r="FO15" i="20"/>
  <c r="FQ15" i="20"/>
  <c r="FS15" i="20"/>
  <c r="FT15" i="20"/>
  <c r="FU15" i="20"/>
  <c r="FV15" i="20"/>
  <c r="FX15" i="20"/>
  <c r="FZ15" i="20"/>
  <c r="GA15" i="20"/>
  <c r="GB15" i="20"/>
  <c r="GD15" i="20"/>
  <c r="GF15" i="20"/>
  <c r="GH15" i="20"/>
  <c r="GI15" i="20"/>
  <c r="GJ15" i="20"/>
  <c r="GK15" i="20"/>
  <c r="GM15" i="20"/>
  <c r="GO15" i="20"/>
  <c r="GP15" i="20"/>
  <c r="GQ15" i="20"/>
  <c r="GS15" i="20"/>
  <c r="GU15" i="20"/>
  <c r="GW15" i="20"/>
  <c r="GX15" i="20"/>
  <c r="GY15" i="20"/>
  <c r="HD15" i="20"/>
  <c r="HE15" i="20"/>
  <c r="HL15" i="20"/>
  <c r="HM15" i="20"/>
  <c r="HN15" i="20"/>
  <c r="D15" i="5"/>
  <c r="O14" i="20" s="1"/>
  <c r="HO15" i="20"/>
  <c r="HP15" i="20"/>
  <c r="F15" i="5"/>
  <c r="HR15" i="20"/>
  <c r="HS15" i="20"/>
  <c r="HT15" i="20"/>
  <c r="H15" i="5"/>
  <c r="U14" i="20" s="1"/>
  <c r="HU15" i="20"/>
  <c r="HV15" i="20"/>
  <c r="J15" i="5"/>
  <c r="HX15" i="20"/>
  <c r="L15" i="5"/>
  <c r="HZ15" i="20"/>
  <c r="IA15" i="20"/>
  <c r="IB15" i="20"/>
  <c r="IC15" i="20"/>
  <c r="ID15" i="20"/>
  <c r="IE15" i="20"/>
  <c r="IF15" i="20"/>
  <c r="IG15" i="20"/>
  <c r="IH15" i="20"/>
  <c r="II15" i="20"/>
  <c r="IJ15" i="20"/>
  <c r="IK15" i="20"/>
  <c r="IL15" i="20"/>
  <c r="IM15" i="20"/>
  <c r="IN15" i="20"/>
  <c r="IO15" i="20"/>
  <c r="IP15" i="20"/>
  <c r="IQ15" i="20"/>
  <c r="IR15" i="20"/>
  <c r="IS15" i="20"/>
  <c r="IT15" i="20"/>
  <c r="IU15" i="20"/>
  <c r="IV15" i="20"/>
  <c r="A16" i="20"/>
  <c r="B16" i="20"/>
  <c r="C16" i="20"/>
  <c r="I56" i="6"/>
  <c r="I9" i="6"/>
  <c r="I21" i="6"/>
  <c r="IM16" i="20" s="1"/>
  <c r="I26" i="6"/>
  <c r="H26" i="6" s="1"/>
  <c r="I39" i="6"/>
  <c r="I45" i="6"/>
  <c r="J45" i="6" s="1"/>
  <c r="I50" i="6"/>
  <c r="C9" i="6"/>
  <c r="C21" i="6"/>
  <c r="C26" i="6"/>
  <c r="C39" i="6"/>
  <c r="C45" i="6"/>
  <c r="C50" i="6"/>
  <c r="C56" i="6"/>
  <c r="E16" i="20"/>
  <c r="Q16" i="20"/>
  <c r="R16" i="20"/>
  <c r="S16" i="20"/>
  <c r="T16" i="20"/>
  <c r="U16" i="20"/>
  <c r="V16" i="20"/>
  <c r="W16" i="20"/>
  <c r="X16" i="20"/>
  <c r="Y16" i="20"/>
  <c r="Z16" i="20"/>
  <c r="AA16" i="20"/>
  <c r="AB16" i="20"/>
  <c r="AC16" i="20"/>
  <c r="AD16" i="20"/>
  <c r="AE16" i="20"/>
  <c r="AF16" i="20"/>
  <c r="AG16" i="20"/>
  <c r="AI16" i="20"/>
  <c r="AK16" i="20"/>
  <c r="AM16" i="20"/>
  <c r="AO16" i="20"/>
  <c r="AQ16" i="20"/>
  <c r="AR16" i="20"/>
  <c r="AS16" i="20"/>
  <c r="AT16" i="20"/>
  <c r="AV16" i="20"/>
  <c r="AX16" i="20"/>
  <c r="AZ16" i="20"/>
  <c r="BB16" i="20"/>
  <c r="BD16" i="20"/>
  <c r="BE16" i="20"/>
  <c r="BF16" i="20"/>
  <c r="BG16" i="20"/>
  <c r="BI16" i="20"/>
  <c r="BK16" i="20"/>
  <c r="BM16" i="20"/>
  <c r="BO16" i="20"/>
  <c r="BP16" i="20"/>
  <c r="BQ16" i="20"/>
  <c r="BR16" i="20"/>
  <c r="BS16" i="20"/>
  <c r="BT16" i="20"/>
  <c r="BZ16" i="20"/>
  <c r="CD16" i="20"/>
  <c r="CE16" i="20"/>
  <c r="CF16" i="20"/>
  <c r="CG16" i="20"/>
  <c r="CH16" i="20"/>
  <c r="CI16" i="20"/>
  <c r="CJ16" i="20"/>
  <c r="CK16" i="20"/>
  <c r="CL16" i="20"/>
  <c r="CM16" i="20"/>
  <c r="CN16" i="20"/>
  <c r="CO16" i="20"/>
  <c r="CP16" i="20"/>
  <c r="CQ16" i="20"/>
  <c r="CR16" i="20"/>
  <c r="CS16" i="20"/>
  <c r="CT16" i="20"/>
  <c r="CV16" i="20"/>
  <c r="CX16" i="20"/>
  <c r="CZ16" i="20"/>
  <c r="DB16" i="20"/>
  <c r="DD16" i="20"/>
  <c r="DE16" i="20"/>
  <c r="DF16" i="20"/>
  <c r="DG16" i="20"/>
  <c r="DI16" i="20"/>
  <c r="DK16" i="20"/>
  <c r="DM16" i="20"/>
  <c r="DO16" i="20"/>
  <c r="DQ16" i="20"/>
  <c r="DR16" i="20"/>
  <c r="DS16" i="20"/>
  <c r="DT16" i="20"/>
  <c r="DV16" i="20"/>
  <c r="DX16" i="20"/>
  <c r="DZ16" i="20"/>
  <c r="EB16" i="20"/>
  <c r="ED16" i="20"/>
  <c r="EE16" i="20"/>
  <c r="EF16" i="20"/>
  <c r="EG16" i="20"/>
  <c r="EI16" i="20"/>
  <c r="EK16" i="20"/>
  <c r="EM16" i="20"/>
  <c r="EO16" i="20"/>
  <c r="EQ16" i="20"/>
  <c r="ER16" i="20"/>
  <c r="ES16" i="20"/>
  <c r="ET16" i="20"/>
  <c r="EV16" i="20"/>
  <c r="EX16" i="20"/>
  <c r="EZ16" i="20"/>
  <c r="FB16" i="20"/>
  <c r="FD16" i="20"/>
  <c r="FE16" i="20"/>
  <c r="FF16" i="20"/>
  <c r="FG16" i="20"/>
  <c r="FI16" i="20"/>
  <c r="FK16" i="20"/>
  <c r="FM16" i="20"/>
  <c r="FO16" i="20"/>
  <c r="FQ16" i="20"/>
  <c r="FR16" i="20"/>
  <c r="FS16" i="20"/>
  <c r="FT16" i="20"/>
  <c r="FV16" i="20"/>
  <c r="FX16" i="20"/>
  <c r="FY16" i="20"/>
  <c r="FZ16" i="20"/>
  <c r="GB16" i="20"/>
  <c r="GD16" i="20"/>
  <c r="GE16" i="20"/>
  <c r="GF16" i="20"/>
  <c r="GG16" i="20"/>
  <c r="GI16" i="20"/>
  <c r="GK16" i="20"/>
  <c r="GM16" i="20"/>
  <c r="GO16" i="20"/>
  <c r="GQ16" i="20"/>
  <c r="GR16" i="20"/>
  <c r="GS16" i="20"/>
  <c r="GT16" i="20"/>
  <c r="GV16" i="20"/>
  <c r="GX16" i="20"/>
  <c r="GZ16" i="20"/>
  <c r="HB16" i="20"/>
  <c r="HD16" i="20"/>
  <c r="HE16" i="20"/>
  <c r="HF16" i="20"/>
  <c r="HG16" i="20"/>
  <c r="HH16" i="20"/>
  <c r="HI16" i="20"/>
  <c r="HJ16" i="20"/>
  <c r="HK16" i="20"/>
  <c r="HL16" i="20"/>
  <c r="HM16" i="20"/>
  <c r="HN16" i="20"/>
  <c r="HO16" i="20"/>
  <c r="HP16" i="20"/>
  <c r="HQ16" i="20"/>
  <c r="HR16" i="20"/>
  <c r="HS16" i="20"/>
  <c r="HT16" i="20"/>
  <c r="HU16" i="20"/>
  <c r="HV16" i="20"/>
  <c r="HW16" i="20"/>
  <c r="HX16" i="20"/>
  <c r="HY16" i="20"/>
  <c r="HZ16" i="20"/>
  <c r="IA16" i="20"/>
  <c r="IB16" i="20"/>
  <c r="IC16" i="20"/>
  <c r="ID16" i="20"/>
  <c r="IE16" i="20"/>
  <c r="IF16" i="20"/>
  <c r="IG16" i="20"/>
  <c r="IQ16" i="20"/>
  <c r="IR16" i="20"/>
  <c r="IS16" i="20"/>
  <c r="IT16" i="20"/>
  <c r="IU16" i="20"/>
  <c r="IV16" i="20"/>
  <c r="A17" i="20"/>
  <c r="B17" i="20"/>
  <c r="C17" i="20"/>
  <c r="D17" i="20"/>
  <c r="E17" i="20"/>
  <c r="F17" i="20"/>
  <c r="G17" i="20"/>
  <c r="H24" i="6"/>
  <c r="H17" i="20" s="1"/>
  <c r="I17" i="20"/>
  <c r="J17" i="20"/>
  <c r="K17" i="20"/>
  <c r="M17" i="20"/>
  <c r="O17" i="20"/>
  <c r="P17" i="20"/>
  <c r="Q17" i="20"/>
  <c r="S17" i="20"/>
  <c r="U17" i="20"/>
  <c r="V17" i="20"/>
  <c r="W17" i="20"/>
  <c r="X17" i="20"/>
  <c r="Z17" i="20"/>
  <c r="AB17" i="20"/>
  <c r="AD17" i="20"/>
  <c r="AF17" i="20"/>
  <c r="AH17" i="20"/>
  <c r="AI17" i="20"/>
  <c r="AJ17" i="20"/>
  <c r="AK17" i="20"/>
  <c r="AO17" i="20"/>
  <c r="AP17" i="20"/>
  <c r="AQ17" i="20"/>
  <c r="AU17" i="20"/>
  <c r="AV17" i="20"/>
  <c r="AW17" i="20"/>
  <c r="AX17" i="20"/>
  <c r="AY17" i="20"/>
  <c r="AZ17" i="20"/>
  <c r="BA17" i="20"/>
  <c r="BB17" i="20"/>
  <c r="BC17" i="20"/>
  <c r="BD17" i="20"/>
  <c r="BE17" i="20"/>
  <c r="BF17" i="20"/>
  <c r="BG17" i="20"/>
  <c r="BH17" i="20"/>
  <c r="BI17" i="20"/>
  <c r="BJ17" i="20"/>
  <c r="BK17" i="20"/>
  <c r="BL17" i="20"/>
  <c r="BM17" i="20"/>
  <c r="BN17" i="20"/>
  <c r="BO17" i="20"/>
  <c r="BP17" i="20"/>
  <c r="BQ17" i="20"/>
  <c r="BR17" i="20"/>
  <c r="BS17" i="20"/>
  <c r="BT17" i="20"/>
  <c r="BU17" i="20"/>
  <c r="BV17" i="20"/>
  <c r="BW17" i="20"/>
  <c r="BX17" i="20"/>
  <c r="BZ17" i="20"/>
  <c r="CB17" i="20"/>
  <c r="CD17" i="20"/>
  <c r="CF17" i="20"/>
  <c r="CH17" i="20"/>
  <c r="CI17" i="20"/>
  <c r="CJ17" i="20"/>
  <c r="CK17" i="20"/>
  <c r="CM17" i="20"/>
  <c r="CO17" i="20"/>
  <c r="CQ17" i="20"/>
  <c r="CS17" i="20"/>
  <c r="CU17" i="20"/>
  <c r="CV17" i="20"/>
  <c r="CW17" i="20"/>
  <c r="CX17" i="20"/>
  <c r="CZ17" i="20"/>
  <c r="DB17" i="20"/>
  <c r="DD17" i="20"/>
  <c r="DF17" i="20"/>
  <c r="DH17" i="20"/>
  <c r="DI17" i="20"/>
  <c r="DJ17" i="20"/>
  <c r="DK17" i="20"/>
  <c r="DM17" i="20"/>
  <c r="DO17" i="20"/>
  <c r="DQ17" i="20"/>
  <c r="DS17" i="20"/>
  <c r="DU17" i="20"/>
  <c r="DV17" i="20"/>
  <c r="DW17" i="20"/>
  <c r="DX17" i="20"/>
  <c r="DZ17" i="20"/>
  <c r="EB17" i="20"/>
  <c r="ED17" i="20"/>
  <c r="EF17" i="20"/>
  <c r="EG17" i="20"/>
  <c r="EH17" i="20"/>
  <c r="EI17" i="20"/>
  <c r="EJ17" i="20"/>
  <c r="EK17" i="20"/>
  <c r="EM17" i="20"/>
  <c r="EO17" i="20"/>
  <c r="EQ17" i="20"/>
  <c r="ES17" i="20"/>
  <c r="EU17" i="20"/>
  <c r="EV17" i="20"/>
  <c r="EW17" i="20"/>
  <c r="EX17" i="20"/>
  <c r="EZ17" i="20"/>
  <c r="FB17" i="20"/>
  <c r="FD17" i="20"/>
  <c r="FF17" i="20"/>
  <c r="FG17" i="20"/>
  <c r="FH17" i="20"/>
  <c r="FI17" i="20"/>
  <c r="FJ17" i="20"/>
  <c r="FK17" i="20"/>
  <c r="FQ17" i="20"/>
  <c r="FU17" i="20"/>
  <c r="FV17" i="20"/>
  <c r="FW17" i="20"/>
  <c r="FX17" i="20"/>
  <c r="FY17" i="20"/>
  <c r="FZ17" i="20"/>
  <c r="GA17" i="20"/>
  <c r="GB17" i="20"/>
  <c r="GC17" i="20"/>
  <c r="GD17" i="20"/>
  <c r="GE17" i="20"/>
  <c r="GF17" i="20"/>
  <c r="GG17" i="20"/>
  <c r="GH17" i="20"/>
  <c r="GI17" i="20"/>
  <c r="GJ17" i="20"/>
  <c r="GK17" i="20"/>
  <c r="GM17" i="20"/>
  <c r="GO17" i="20"/>
  <c r="GQ17" i="20"/>
  <c r="GS17" i="20"/>
  <c r="GU17" i="20"/>
  <c r="GV17" i="20"/>
  <c r="GW17" i="20"/>
  <c r="GX17" i="20"/>
  <c r="GZ17" i="20"/>
  <c r="HB17" i="20"/>
  <c r="HD17" i="20"/>
  <c r="HF17" i="20"/>
  <c r="HH17" i="20"/>
  <c r="HI17" i="20"/>
  <c r="HJ17" i="20"/>
  <c r="HK17" i="20"/>
  <c r="HM17" i="20"/>
  <c r="HO17" i="20"/>
  <c r="HQ17" i="20"/>
  <c r="HS17" i="20"/>
  <c r="HU17" i="20"/>
  <c r="HV17" i="20"/>
  <c r="HW17" i="20"/>
  <c r="HX17" i="20"/>
  <c r="ID17" i="20"/>
  <c r="IE17" i="20"/>
  <c r="IH17" i="20"/>
  <c r="II17" i="20"/>
  <c r="IJ17" i="20"/>
  <c r="IK17" i="20"/>
  <c r="IL17" i="20"/>
  <c r="IM17" i="20"/>
  <c r="IN17" i="20"/>
  <c r="IO17" i="20"/>
  <c r="IP17" i="20"/>
  <c r="IQ17" i="20"/>
  <c r="IR17" i="20"/>
  <c r="IS17" i="20"/>
  <c r="IT17" i="20"/>
  <c r="IU17" i="20"/>
  <c r="IV17" i="20"/>
  <c r="A18" i="20"/>
  <c r="B18" i="20"/>
  <c r="C18" i="20"/>
  <c r="D18" i="20"/>
  <c r="E18" i="20"/>
  <c r="F18" i="20"/>
  <c r="G18" i="20"/>
  <c r="H18" i="20"/>
  <c r="I18" i="20"/>
  <c r="J18" i="20"/>
  <c r="K18" i="20"/>
  <c r="M18" i="20"/>
  <c r="N18" i="20"/>
  <c r="O18" i="20"/>
  <c r="Q18" i="20"/>
  <c r="S18" i="20"/>
  <c r="U18" i="20"/>
  <c r="W18" i="20"/>
  <c r="X18" i="20"/>
  <c r="Y18" i="20"/>
  <c r="Z18" i="20"/>
  <c r="AA18" i="20"/>
  <c r="AB18" i="20"/>
  <c r="AD18" i="20"/>
  <c r="AF18" i="20"/>
  <c r="AH18" i="20"/>
  <c r="AJ18" i="20"/>
  <c r="AL18" i="20"/>
  <c r="AM18" i="20"/>
  <c r="AN18" i="20"/>
  <c r="AO18" i="20"/>
  <c r="AQ18" i="20"/>
  <c r="AS18" i="20"/>
  <c r="AU18" i="20"/>
  <c r="AW18" i="20"/>
  <c r="AY18" i="20"/>
  <c r="AZ18" i="20"/>
  <c r="BA18" i="20"/>
  <c r="BB18" i="20"/>
  <c r="BC18" i="20"/>
  <c r="BD18" i="20"/>
  <c r="BE18" i="20"/>
  <c r="BF18" i="20"/>
  <c r="BG18" i="20"/>
  <c r="BH18" i="20"/>
  <c r="BI18" i="20"/>
  <c r="BJ18" i="20"/>
  <c r="BK18" i="20"/>
  <c r="BL18" i="20"/>
  <c r="BM18" i="20"/>
  <c r="BN18" i="20"/>
  <c r="BO18" i="20"/>
  <c r="BP18" i="20"/>
  <c r="BQ18" i="20"/>
  <c r="BR18" i="20"/>
  <c r="BS18" i="20"/>
  <c r="BT18" i="20"/>
  <c r="BU18" i="20"/>
  <c r="BV18" i="20"/>
  <c r="BW18" i="20"/>
  <c r="BX18" i="20"/>
  <c r="BY18" i="20"/>
  <c r="BZ18" i="20"/>
  <c r="CA18" i="20"/>
  <c r="CB18" i="20"/>
  <c r="CH18" i="20"/>
  <c r="CL18" i="20"/>
  <c r="CM18" i="20"/>
  <c r="CN18" i="20"/>
  <c r="CO18" i="20"/>
  <c r="CP18" i="20"/>
  <c r="CQ18" i="20"/>
  <c r="CR18" i="20"/>
  <c r="CS18" i="20"/>
  <c r="CT18" i="20"/>
  <c r="CU18" i="20"/>
  <c r="CV18" i="20"/>
  <c r="CW18" i="20"/>
  <c r="CX18" i="20"/>
  <c r="CY18" i="20"/>
  <c r="CZ18" i="20"/>
  <c r="DA18" i="20"/>
  <c r="DB18" i="20"/>
  <c r="DC18" i="20"/>
  <c r="DD18" i="20"/>
  <c r="DE18" i="20"/>
  <c r="DF18" i="20"/>
  <c r="DG18" i="20"/>
  <c r="DH18" i="20"/>
  <c r="DI18" i="20"/>
  <c r="DJ18" i="20"/>
  <c r="DK18" i="20"/>
  <c r="DL18" i="20"/>
  <c r="DM18" i="20"/>
  <c r="DN18" i="20"/>
  <c r="DO18" i="20"/>
  <c r="DP18" i="20"/>
  <c r="DQ18" i="20"/>
  <c r="DR18" i="20"/>
  <c r="DS18" i="20"/>
  <c r="DT18" i="20"/>
  <c r="DU18" i="20"/>
  <c r="DV18" i="20"/>
  <c r="DW18" i="20"/>
  <c r="DX18" i="20"/>
  <c r="DY18" i="20"/>
  <c r="DZ18" i="20"/>
  <c r="EA18" i="20"/>
  <c r="EB18" i="20"/>
  <c r="EC18" i="20"/>
  <c r="ED18" i="20"/>
  <c r="EE18" i="20"/>
  <c r="EF18" i="20"/>
  <c r="EG18" i="20"/>
  <c r="EH18" i="20"/>
  <c r="EI18" i="20"/>
  <c r="EJ18" i="20"/>
  <c r="EK18" i="20"/>
  <c r="EL18" i="20"/>
  <c r="EM18" i="20"/>
  <c r="EN18" i="20"/>
  <c r="EO18" i="20"/>
  <c r="EP18" i="20"/>
  <c r="EQ18" i="20"/>
  <c r="ER18" i="20"/>
  <c r="ES18" i="20"/>
  <c r="ET18" i="20"/>
  <c r="EU18" i="20"/>
  <c r="EV18" i="20"/>
  <c r="EW18" i="20"/>
  <c r="EX18" i="20"/>
  <c r="EY18" i="20"/>
  <c r="EZ18" i="20"/>
  <c r="FA18" i="20"/>
  <c r="FB18" i="20"/>
  <c r="FC18" i="20"/>
  <c r="FD18" i="20"/>
  <c r="FE18" i="20"/>
  <c r="FF18" i="20"/>
  <c r="FG18" i="20"/>
  <c r="FH18" i="20"/>
  <c r="FI18" i="20"/>
  <c r="FJ18" i="20"/>
  <c r="FK18" i="20"/>
  <c r="FL18" i="20"/>
  <c r="FM18" i="20"/>
  <c r="FN18" i="20"/>
  <c r="FO18" i="20"/>
  <c r="FQ18" i="20"/>
  <c r="FS18" i="20"/>
  <c r="FU18" i="20"/>
  <c r="FW18" i="20"/>
  <c r="FY18" i="20"/>
  <c r="FZ18" i="20"/>
  <c r="GA18" i="20"/>
  <c r="GB18" i="20"/>
  <c r="GD18" i="20"/>
  <c r="GF18" i="20"/>
  <c r="GH18" i="20"/>
  <c r="GJ18" i="20"/>
  <c r="GL18" i="20"/>
  <c r="GM18" i="20"/>
  <c r="GN18" i="20"/>
  <c r="GO18" i="20"/>
  <c r="GQ18" i="20"/>
  <c r="GS18" i="20"/>
  <c r="GU18" i="20"/>
  <c r="GW18" i="20"/>
  <c r="GY18" i="20"/>
  <c r="GZ18" i="20"/>
  <c r="HA18" i="20"/>
  <c r="HB18" i="20"/>
  <c r="HH18" i="20"/>
  <c r="HL18" i="20"/>
  <c r="HM18" i="20"/>
  <c r="HN18" i="20"/>
  <c r="D18" i="6"/>
  <c r="HO18" i="20" s="1"/>
  <c r="HP18" i="20"/>
  <c r="F18" i="6"/>
  <c r="HQ18" i="20" s="1"/>
  <c r="HR18" i="20"/>
  <c r="H18" i="6"/>
  <c r="HS18" i="20" s="1"/>
  <c r="HT18" i="20"/>
  <c r="J18" i="6"/>
  <c r="HU18" i="20" s="1"/>
  <c r="HX18" i="20"/>
  <c r="HY18" i="20"/>
  <c r="HZ18" i="20"/>
  <c r="IA18" i="20"/>
  <c r="IB18" i="20"/>
  <c r="IC18" i="20"/>
  <c r="ID18" i="20"/>
  <c r="IE18" i="20"/>
  <c r="IF18" i="20"/>
  <c r="IG18" i="20"/>
  <c r="IH18" i="20"/>
  <c r="II18" i="20"/>
  <c r="IJ18" i="20"/>
  <c r="IK18" i="20"/>
  <c r="IL18" i="20"/>
  <c r="IM18" i="20"/>
  <c r="IN18" i="20"/>
  <c r="IO18" i="20"/>
  <c r="IP18" i="20"/>
  <c r="IQ18" i="20"/>
  <c r="IR18" i="20"/>
  <c r="IS18" i="20"/>
  <c r="IT18" i="20"/>
  <c r="IU18" i="20"/>
  <c r="IV18" i="20"/>
  <c r="A19" i="20"/>
  <c r="B19" i="20"/>
  <c r="C19" i="20"/>
  <c r="D19" i="20"/>
  <c r="E19" i="20"/>
  <c r="F19" i="20"/>
  <c r="G19" i="20"/>
  <c r="H19" i="20"/>
  <c r="I19" i="20"/>
  <c r="C9" i="7"/>
  <c r="C16" i="7"/>
  <c r="C23" i="7"/>
  <c r="C31" i="7"/>
  <c r="C38" i="7"/>
  <c r="C43" i="7"/>
  <c r="C50" i="7"/>
  <c r="BZ22" i="20" s="1"/>
  <c r="E9" i="7"/>
  <c r="E16" i="7"/>
  <c r="E23" i="7"/>
  <c r="E31" i="7"/>
  <c r="K31" i="7" s="1"/>
  <c r="J31" i="7" s="1"/>
  <c r="E38" i="7"/>
  <c r="E43" i="7"/>
  <c r="E50" i="7"/>
  <c r="G9" i="7"/>
  <c r="DO19" i="20" s="1"/>
  <c r="G16" i="7"/>
  <c r="G23" i="7"/>
  <c r="G31" i="7"/>
  <c r="G38" i="7"/>
  <c r="G43" i="7"/>
  <c r="G50" i="7"/>
  <c r="I9" i="7"/>
  <c r="DS19" i="20" s="1"/>
  <c r="I16" i="7"/>
  <c r="I23" i="7"/>
  <c r="I31" i="7"/>
  <c r="I38" i="7"/>
  <c r="I43" i="7"/>
  <c r="I50" i="7"/>
  <c r="K19" i="20"/>
  <c r="S19" i="20"/>
  <c r="T19" i="20"/>
  <c r="AA19" i="20"/>
  <c r="AB19" i="20"/>
  <c r="AC19" i="20"/>
  <c r="AD19" i="20"/>
  <c r="AE19" i="20"/>
  <c r="AF19" i="20"/>
  <c r="AG19" i="20"/>
  <c r="AH19" i="20"/>
  <c r="AI19" i="20"/>
  <c r="AJ19" i="20"/>
  <c r="AK19" i="20"/>
  <c r="AL19" i="20"/>
  <c r="AM19" i="20"/>
  <c r="AN19" i="20"/>
  <c r="AO19" i="20"/>
  <c r="AP19" i="20"/>
  <c r="AQ19" i="20"/>
  <c r="AR19" i="20"/>
  <c r="AS19" i="20"/>
  <c r="AT19" i="20"/>
  <c r="AU19" i="20"/>
  <c r="AW19" i="20"/>
  <c r="AY19" i="20"/>
  <c r="BA19" i="20"/>
  <c r="BB19" i="20"/>
  <c r="BC19" i="20"/>
  <c r="BE19" i="20"/>
  <c r="BG19" i="20"/>
  <c r="BI19" i="20"/>
  <c r="BJ19" i="20"/>
  <c r="BK19" i="20"/>
  <c r="BL19" i="20"/>
  <c r="BN19" i="20"/>
  <c r="BP19" i="20"/>
  <c r="BR19" i="20"/>
  <c r="BS19" i="20"/>
  <c r="BT19" i="20"/>
  <c r="BV19" i="20"/>
  <c r="BX19" i="20"/>
  <c r="BZ19" i="20"/>
  <c r="CA19" i="20"/>
  <c r="CB19" i="20"/>
  <c r="CC19" i="20"/>
  <c r="CE19" i="20"/>
  <c r="CG19" i="20"/>
  <c r="CI19" i="20"/>
  <c r="CJ19" i="20"/>
  <c r="CK19" i="20"/>
  <c r="CM19" i="20"/>
  <c r="CO19" i="20"/>
  <c r="CQ19" i="20"/>
  <c r="CR19" i="20"/>
  <c r="CS19" i="20"/>
  <c r="CT19" i="20"/>
  <c r="CU19" i="20"/>
  <c r="CV19" i="20"/>
  <c r="CW19" i="20"/>
  <c r="CX19" i="20"/>
  <c r="CY19" i="20"/>
  <c r="CZ19" i="20"/>
  <c r="DA19" i="20"/>
  <c r="DB19" i="20"/>
  <c r="DC19" i="20"/>
  <c r="DD19" i="20"/>
  <c r="DE19" i="20"/>
  <c r="DF19" i="20"/>
  <c r="DG19" i="20"/>
  <c r="DH19" i="20"/>
  <c r="DI19" i="20"/>
  <c r="DJ19" i="20"/>
  <c r="DK19" i="20"/>
  <c r="DM19" i="20"/>
  <c r="DQ19" i="20"/>
  <c r="DR19" i="20"/>
  <c r="DY19" i="20"/>
  <c r="DZ19" i="20"/>
  <c r="EA19" i="20"/>
  <c r="EB19" i="20"/>
  <c r="EC19" i="20"/>
  <c r="ED19" i="20"/>
  <c r="EE19" i="20"/>
  <c r="EF19" i="20"/>
  <c r="EG19" i="20"/>
  <c r="EH19" i="20"/>
  <c r="EI19" i="20"/>
  <c r="EJ19" i="20"/>
  <c r="EK19" i="20"/>
  <c r="EL19" i="20"/>
  <c r="EM19" i="20"/>
  <c r="EN19" i="20"/>
  <c r="EO19" i="20"/>
  <c r="EP19" i="20"/>
  <c r="EQ19" i="20"/>
  <c r="ER19" i="20"/>
  <c r="ES19" i="20"/>
  <c r="ET19" i="20"/>
  <c r="EU19" i="20"/>
  <c r="EV19" i="20"/>
  <c r="EW19" i="20"/>
  <c r="EX19" i="20"/>
  <c r="EY19" i="20"/>
  <c r="EZ19" i="20"/>
  <c r="FA19" i="20"/>
  <c r="FB19" i="20"/>
  <c r="FC19" i="20"/>
  <c r="FD19" i="20"/>
  <c r="FE19" i="20"/>
  <c r="FF19" i="20"/>
  <c r="FG19" i="20"/>
  <c r="FH19" i="20"/>
  <c r="FI19" i="20"/>
  <c r="FJ19" i="20"/>
  <c r="FK19" i="20"/>
  <c r="FL19" i="20"/>
  <c r="FM19" i="20"/>
  <c r="FN19" i="20"/>
  <c r="FO19" i="20"/>
  <c r="FP19" i="20"/>
  <c r="FQ19" i="20"/>
  <c r="FR19" i="20"/>
  <c r="FS19" i="20"/>
  <c r="FT19" i="20"/>
  <c r="FU19" i="20"/>
  <c r="FV19" i="20"/>
  <c r="FW19" i="20"/>
  <c r="FX19" i="20"/>
  <c r="FY19" i="20"/>
  <c r="FZ19" i="20"/>
  <c r="GA19" i="20"/>
  <c r="GC19" i="20"/>
  <c r="GE19" i="20"/>
  <c r="GG19" i="20"/>
  <c r="GH19" i="20"/>
  <c r="GI19" i="20"/>
  <c r="GK19" i="20"/>
  <c r="GM19" i="20"/>
  <c r="GO19" i="20"/>
  <c r="GP19" i="20"/>
  <c r="GQ19" i="20"/>
  <c r="GR19" i="20"/>
  <c r="GT19" i="20"/>
  <c r="GV19" i="20"/>
  <c r="GX19" i="20"/>
  <c r="GY19" i="20"/>
  <c r="GZ19" i="20"/>
  <c r="HB19" i="20"/>
  <c r="HD19" i="20"/>
  <c r="HF19" i="20"/>
  <c r="HG19" i="20"/>
  <c r="HH19" i="20"/>
  <c r="HI19" i="20"/>
  <c r="HK19" i="20"/>
  <c r="HM19" i="20"/>
  <c r="HO19" i="20"/>
  <c r="HP19" i="20"/>
  <c r="HQ19" i="20"/>
  <c r="HS19" i="20"/>
  <c r="HU19" i="20"/>
  <c r="HV19" i="20"/>
  <c r="HW19" i="20"/>
  <c r="HX19" i="20"/>
  <c r="HY19" i="20"/>
  <c r="HZ19" i="20"/>
  <c r="IB19" i="20"/>
  <c r="ID19" i="20"/>
  <c r="IF19" i="20"/>
  <c r="IG19" i="20"/>
  <c r="IH19" i="20"/>
  <c r="IJ19" i="20"/>
  <c r="IL19" i="20"/>
  <c r="IN19" i="20"/>
  <c r="IO19" i="20"/>
  <c r="IP19" i="20"/>
  <c r="IQ19" i="20"/>
  <c r="IR19" i="20"/>
  <c r="IS19" i="20"/>
  <c r="IT19" i="20"/>
  <c r="IU19" i="20"/>
  <c r="IV19" i="20"/>
  <c r="A20" i="20"/>
  <c r="B20" i="20"/>
  <c r="C20" i="20"/>
  <c r="D20" i="20"/>
  <c r="E20" i="20"/>
  <c r="F20" i="20"/>
  <c r="G20" i="20"/>
  <c r="H20" i="20"/>
  <c r="J20" i="20"/>
  <c r="K20" i="20"/>
  <c r="L20" i="20"/>
  <c r="N20" i="20"/>
  <c r="P20" i="20"/>
  <c r="R20" i="20"/>
  <c r="S20" i="20"/>
  <c r="Z20" i="20"/>
  <c r="AA20" i="20"/>
  <c r="AB20" i="20"/>
  <c r="AC20" i="20"/>
  <c r="AD20" i="20"/>
  <c r="AE20" i="20"/>
  <c r="AF20" i="20"/>
  <c r="AG20" i="20"/>
  <c r="AH20" i="20"/>
  <c r="AI20" i="20"/>
  <c r="AJ20" i="20"/>
  <c r="AK20" i="20"/>
  <c r="AL20" i="20"/>
  <c r="AM20" i="20"/>
  <c r="AN20" i="20"/>
  <c r="AO20" i="20"/>
  <c r="AP20" i="20"/>
  <c r="AQ20" i="20"/>
  <c r="AR20" i="20"/>
  <c r="AS20" i="20"/>
  <c r="AT20" i="20"/>
  <c r="AU20" i="20"/>
  <c r="AV20" i="20"/>
  <c r="AW20" i="20"/>
  <c r="AX20" i="20"/>
  <c r="AY20" i="20"/>
  <c r="AZ20" i="20"/>
  <c r="BA20" i="20"/>
  <c r="BB20" i="20"/>
  <c r="BC20" i="20"/>
  <c r="BD20" i="20"/>
  <c r="BE20" i="20"/>
  <c r="BF20" i="20"/>
  <c r="BG20" i="20"/>
  <c r="BH20" i="20"/>
  <c r="BI20" i="20"/>
  <c r="BJ20" i="20"/>
  <c r="BK20" i="20"/>
  <c r="BL20" i="20"/>
  <c r="BM20" i="20"/>
  <c r="BN20" i="20"/>
  <c r="BO20" i="20"/>
  <c r="BP20" i="20"/>
  <c r="BQ20" i="20"/>
  <c r="BR20" i="20"/>
  <c r="BS20" i="20"/>
  <c r="BT20" i="20"/>
  <c r="BU20" i="20"/>
  <c r="BV20" i="20"/>
  <c r="BW20" i="20"/>
  <c r="BX20" i="20"/>
  <c r="BY20" i="20"/>
  <c r="BZ20" i="20"/>
  <c r="CA20" i="20"/>
  <c r="CB20" i="20"/>
  <c r="CC20" i="20"/>
  <c r="CD20" i="20"/>
  <c r="CE20" i="20"/>
  <c r="CF20" i="20"/>
  <c r="CG20" i="20"/>
  <c r="CH20" i="20"/>
  <c r="CI20" i="20"/>
  <c r="CJ20" i="20"/>
  <c r="CK20" i="20"/>
  <c r="CL20" i="20"/>
  <c r="CM20" i="20"/>
  <c r="CN20" i="20"/>
  <c r="CO20" i="20"/>
  <c r="CP20" i="20"/>
  <c r="CQ20" i="20"/>
  <c r="CR20" i="20"/>
  <c r="CS20" i="20"/>
  <c r="CU20" i="20"/>
  <c r="CW20" i="20"/>
  <c r="CY20" i="20"/>
  <c r="CZ20" i="20"/>
  <c r="DA20" i="20"/>
  <c r="DC20" i="20"/>
  <c r="DE20" i="20"/>
  <c r="DG20" i="20"/>
  <c r="DH20" i="20"/>
  <c r="DI20" i="20"/>
  <c r="DJ20" i="20"/>
  <c r="DL20" i="20"/>
  <c r="DN20" i="20"/>
  <c r="DP20" i="20"/>
  <c r="DQ20" i="20"/>
  <c r="DR20" i="20"/>
  <c r="DT20" i="20"/>
  <c r="DV20" i="20"/>
  <c r="DX20" i="20"/>
  <c r="DY20" i="20"/>
  <c r="DZ20" i="20"/>
  <c r="EA20" i="20"/>
  <c r="EC20" i="20"/>
  <c r="EE20" i="20"/>
  <c r="EG20" i="20"/>
  <c r="EH20" i="20"/>
  <c r="EI20" i="20"/>
  <c r="EK20" i="20"/>
  <c r="EM20" i="20"/>
  <c r="EO20" i="20"/>
  <c r="EP20" i="20"/>
  <c r="EQ20" i="20"/>
  <c r="ER20" i="20"/>
  <c r="ET20" i="20"/>
  <c r="EV20" i="20"/>
  <c r="EX20" i="20"/>
  <c r="EY20" i="20"/>
  <c r="EZ20" i="20"/>
  <c r="FF20" i="20"/>
  <c r="FG20" i="20"/>
  <c r="FH20" i="20"/>
  <c r="FI20" i="20"/>
  <c r="FJ20" i="20"/>
  <c r="FK20" i="20"/>
  <c r="FL20" i="20"/>
  <c r="FM20" i="20"/>
  <c r="FN20" i="20"/>
  <c r="FO20" i="20"/>
  <c r="FP20" i="20"/>
  <c r="FQ20" i="20"/>
  <c r="FR20" i="20"/>
  <c r="FS20" i="20"/>
  <c r="FT20" i="20"/>
  <c r="FU20" i="20"/>
  <c r="FV20" i="20"/>
  <c r="FW20" i="20"/>
  <c r="FX20" i="20"/>
  <c r="FY20" i="20"/>
  <c r="FZ20" i="20"/>
  <c r="GB20" i="20"/>
  <c r="GD20" i="20"/>
  <c r="GF20" i="20"/>
  <c r="GG20" i="20"/>
  <c r="GH20" i="20"/>
  <c r="GJ20" i="20"/>
  <c r="GL20" i="20"/>
  <c r="GN20" i="20"/>
  <c r="GO20" i="20"/>
  <c r="GP20" i="20"/>
  <c r="GQ20" i="20"/>
  <c r="GS20" i="20"/>
  <c r="GU20" i="20"/>
  <c r="GW20" i="20"/>
  <c r="GX20" i="20"/>
  <c r="GY20" i="20"/>
  <c r="HA20" i="20"/>
  <c r="HC20" i="20"/>
  <c r="HE20" i="20"/>
  <c r="HF20" i="20"/>
  <c r="HG20" i="20"/>
  <c r="HH20" i="20"/>
  <c r="HJ20" i="20"/>
  <c r="HL20" i="20"/>
  <c r="HN20" i="20"/>
  <c r="HO20" i="20"/>
  <c r="HP20" i="20"/>
  <c r="HQ20" i="20"/>
  <c r="HR20" i="20"/>
  <c r="HV20" i="20"/>
  <c r="HW20" i="20"/>
  <c r="HX20" i="20"/>
  <c r="HY20" i="20"/>
  <c r="HZ20" i="20"/>
  <c r="IA20" i="20"/>
  <c r="IB20" i="20"/>
  <c r="IC20" i="20"/>
  <c r="ID20" i="20"/>
  <c r="IE20" i="20"/>
  <c r="IF20" i="20"/>
  <c r="IG20" i="20"/>
  <c r="IH20" i="20"/>
  <c r="II20" i="20"/>
  <c r="IJ20" i="20"/>
  <c r="IK20" i="20"/>
  <c r="IL20" i="20"/>
  <c r="IM20" i="20"/>
  <c r="IN20" i="20"/>
  <c r="IO20" i="20"/>
  <c r="IP20" i="20"/>
  <c r="IR20" i="20"/>
  <c r="IT20" i="20"/>
  <c r="IV20" i="20"/>
  <c r="A21" i="20"/>
  <c r="B21" i="20"/>
  <c r="D21" i="20"/>
  <c r="F21" i="20"/>
  <c r="H35" i="7"/>
  <c r="H21" i="20" s="1"/>
  <c r="I21" i="20"/>
  <c r="J21" i="20"/>
  <c r="K21" i="20"/>
  <c r="M21" i="20"/>
  <c r="O21" i="20"/>
  <c r="P21" i="20"/>
  <c r="Q21" i="20"/>
  <c r="R21" i="20"/>
  <c r="S21" i="20"/>
  <c r="U21" i="20"/>
  <c r="W21" i="20"/>
  <c r="Y21" i="20"/>
  <c r="Z21" i="20"/>
  <c r="AA21" i="20"/>
  <c r="AB21" i="20"/>
  <c r="AD21" i="20"/>
  <c r="AF21" i="20"/>
  <c r="AH21" i="20"/>
  <c r="AI21" i="20"/>
  <c r="AJ21" i="20"/>
  <c r="AL21" i="20"/>
  <c r="AN21" i="20"/>
  <c r="AP21" i="20"/>
  <c r="AQ21" i="20"/>
  <c r="AR21" i="20"/>
  <c r="AS21" i="20"/>
  <c r="AU21" i="20"/>
  <c r="AW21" i="20"/>
  <c r="AY21" i="20"/>
  <c r="AZ21" i="20"/>
  <c r="BA21" i="20"/>
  <c r="BC21" i="20"/>
  <c r="BE21" i="20"/>
  <c r="BG21" i="20"/>
  <c r="BH21" i="20"/>
  <c r="BI21" i="20"/>
  <c r="BJ21" i="20"/>
  <c r="BK21" i="20"/>
  <c r="BL21" i="20"/>
  <c r="BM21" i="20"/>
  <c r="BN21" i="20"/>
  <c r="BO21" i="20"/>
  <c r="BP21" i="20"/>
  <c r="BQ21" i="20"/>
  <c r="BR21" i="20"/>
  <c r="BS21" i="20"/>
  <c r="BT21" i="20"/>
  <c r="BU21" i="20"/>
  <c r="BV21" i="20"/>
  <c r="BW21" i="20"/>
  <c r="BX21" i="20"/>
  <c r="BY21" i="20"/>
  <c r="BZ21" i="20"/>
  <c r="CA21" i="20"/>
  <c r="CB21" i="20"/>
  <c r="CC21" i="20"/>
  <c r="CD21" i="20"/>
  <c r="CE21" i="20"/>
  <c r="CF21" i="20"/>
  <c r="CG21" i="20"/>
  <c r="CH21" i="20"/>
  <c r="CI21" i="20"/>
  <c r="CJ21" i="20"/>
  <c r="CK21" i="20"/>
  <c r="CL21" i="20"/>
  <c r="CM21" i="20"/>
  <c r="CN21" i="20"/>
  <c r="CO21" i="20"/>
  <c r="CP21" i="20"/>
  <c r="CQ21" i="20"/>
  <c r="CR21" i="20"/>
  <c r="CS21" i="20"/>
  <c r="CT21" i="20"/>
  <c r="CU21" i="20"/>
  <c r="CV21" i="20"/>
  <c r="CW21" i="20"/>
  <c r="CX21" i="20"/>
  <c r="CY21" i="20"/>
  <c r="CZ21" i="20"/>
  <c r="DA21" i="20"/>
  <c r="DB21" i="20"/>
  <c r="DC21" i="20"/>
  <c r="DD21" i="20"/>
  <c r="DE21" i="20"/>
  <c r="DF21" i="20"/>
  <c r="DG21" i="20"/>
  <c r="DH21" i="20"/>
  <c r="DI21" i="20"/>
  <c r="DK21" i="20"/>
  <c r="DM21" i="20"/>
  <c r="DO21" i="20"/>
  <c r="DP21" i="20"/>
  <c r="DQ21" i="20"/>
  <c r="DW21" i="20"/>
  <c r="DX21" i="20"/>
  <c r="DY21" i="20"/>
  <c r="DZ21" i="20"/>
  <c r="EA21" i="20"/>
  <c r="EB21" i="20"/>
  <c r="EC21" i="20"/>
  <c r="ED21" i="20"/>
  <c r="EE21" i="20"/>
  <c r="EF21" i="20"/>
  <c r="EG21" i="20"/>
  <c r="EH21" i="20"/>
  <c r="EI21" i="20"/>
  <c r="EJ21" i="20"/>
  <c r="EK21" i="20"/>
  <c r="EL21" i="20"/>
  <c r="EM21" i="20"/>
  <c r="EN21" i="20"/>
  <c r="EO21" i="20"/>
  <c r="EP21" i="20"/>
  <c r="EQ21" i="20"/>
  <c r="ES21" i="20"/>
  <c r="EU21" i="20"/>
  <c r="EW21" i="20"/>
  <c r="EX21" i="20"/>
  <c r="EY21" i="20"/>
  <c r="FA21" i="20"/>
  <c r="FC21" i="20"/>
  <c r="FE21" i="20"/>
  <c r="FF21" i="20"/>
  <c r="FG21" i="20"/>
  <c r="FH21" i="20"/>
  <c r="FJ21" i="20"/>
  <c r="FL21" i="20"/>
  <c r="FN21" i="20"/>
  <c r="FO21" i="20"/>
  <c r="FP21" i="20"/>
  <c r="FR21" i="20"/>
  <c r="FT21" i="20"/>
  <c r="FV21" i="20"/>
  <c r="FW21" i="20"/>
  <c r="FX21" i="20"/>
  <c r="FY21" i="20"/>
  <c r="GA21" i="20"/>
  <c r="GC21" i="20"/>
  <c r="GE21" i="20"/>
  <c r="GF21" i="20"/>
  <c r="GG21" i="20"/>
  <c r="GI21" i="20"/>
  <c r="GK21" i="20"/>
  <c r="GM21" i="20"/>
  <c r="GN21" i="20"/>
  <c r="GO21" i="20"/>
  <c r="GP21" i="20"/>
  <c r="GQ21" i="20"/>
  <c r="GR21" i="20"/>
  <c r="GS21" i="20"/>
  <c r="GT21" i="20"/>
  <c r="GU21" i="20"/>
  <c r="GV21" i="20"/>
  <c r="GW21" i="20"/>
  <c r="GX21" i="20"/>
  <c r="GY21" i="20"/>
  <c r="GZ21" i="20"/>
  <c r="HA21" i="20"/>
  <c r="HB21" i="20"/>
  <c r="HC21" i="20"/>
  <c r="HD21" i="20"/>
  <c r="HE21" i="20"/>
  <c r="HF21" i="20"/>
  <c r="HG21" i="20"/>
  <c r="HH21" i="20"/>
  <c r="HI21" i="20"/>
  <c r="HJ21" i="20"/>
  <c r="HK21" i="20"/>
  <c r="HL21" i="20"/>
  <c r="HM21" i="20"/>
  <c r="HN21" i="20"/>
  <c r="HO21" i="20"/>
  <c r="HP21" i="20"/>
  <c r="HQ21" i="20"/>
  <c r="HR21" i="20"/>
  <c r="HS21" i="20"/>
  <c r="HT21" i="20"/>
  <c r="HU21" i="20"/>
  <c r="HV21" i="20"/>
  <c r="HW21" i="20"/>
  <c r="HX21" i="20"/>
  <c r="HY21" i="20"/>
  <c r="HZ21" i="20"/>
  <c r="IA21" i="20"/>
  <c r="IB21" i="20"/>
  <c r="IC21" i="20"/>
  <c r="ID21" i="20"/>
  <c r="IE21" i="20"/>
  <c r="IF21" i="20"/>
  <c r="IG21" i="20"/>
  <c r="IH21" i="20"/>
  <c r="II21" i="20"/>
  <c r="IJ21" i="20"/>
  <c r="IK21" i="20"/>
  <c r="IL21" i="20"/>
  <c r="IM21" i="20"/>
  <c r="IN21" i="20"/>
  <c r="IO21" i="20"/>
  <c r="IQ21" i="20"/>
  <c r="IS21" i="20"/>
  <c r="IU21" i="20"/>
  <c r="IV21" i="20"/>
  <c r="A22" i="20"/>
  <c r="G22" i="20"/>
  <c r="H22" i="20"/>
  <c r="I22" i="20"/>
  <c r="J22" i="20"/>
  <c r="K22" i="20"/>
  <c r="L22" i="20"/>
  <c r="M22" i="20"/>
  <c r="N22" i="20"/>
  <c r="O22" i="20"/>
  <c r="P22" i="20"/>
  <c r="Q22" i="20"/>
  <c r="R22" i="20"/>
  <c r="S22" i="20"/>
  <c r="T22" i="20"/>
  <c r="U22" i="20"/>
  <c r="V22" i="20"/>
  <c r="W22" i="20"/>
  <c r="X22" i="20"/>
  <c r="Y22" i="20"/>
  <c r="Z22" i="20"/>
  <c r="AA22" i="20"/>
  <c r="AC22" i="20"/>
  <c r="AE22" i="20"/>
  <c r="AG22" i="20"/>
  <c r="AH22" i="20"/>
  <c r="AI22" i="20"/>
  <c r="AK22" i="20"/>
  <c r="AM22" i="20"/>
  <c r="AO22" i="20"/>
  <c r="AP22" i="20"/>
  <c r="AQ22" i="20"/>
  <c r="AR22" i="20"/>
  <c r="AT22" i="20"/>
  <c r="AV22" i="20"/>
  <c r="AX22" i="20"/>
  <c r="AY22" i="20"/>
  <c r="AZ22" i="20"/>
  <c r="BB22" i="20"/>
  <c r="BD22" i="20"/>
  <c r="BF22" i="20"/>
  <c r="BG22" i="20"/>
  <c r="BH22" i="20"/>
  <c r="BI22" i="20"/>
  <c r="BJ22" i="20"/>
  <c r="BK22" i="20"/>
  <c r="BL22" i="20"/>
  <c r="BM22" i="20"/>
  <c r="BN22" i="20"/>
  <c r="BO22" i="20"/>
  <c r="BP22" i="20"/>
  <c r="BQ22" i="20"/>
  <c r="BR22" i="20"/>
  <c r="BS22" i="20"/>
  <c r="BT22" i="20"/>
  <c r="BU22" i="20"/>
  <c r="BV22" i="20"/>
  <c r="BW22" i="20"/>
  <c r="BX22" i="20"/>
  <c r="BY22" i="20"/>
  <c r="CB22" i="20"/>
  <c r="CD22" i="20"/>
  <c r="CF22" i="20"/>
  <c r="CG22" i="20"/>
  <c r="CH22" i="20"/>
  <c r="CN22" i="20"/>
  <c r="CO22" i="20"/>
  <c r="CP22" i="20"/>
  <c r="CQ22" i="20"/>
  <c r="CR22" i="20"/>
  <c r="CS22" i="20"/>
  <c r="CT22" i="20"/>
  <c r="CU22" i="20"/>
  <c r="CV22" i="20"/>
  <c r="CW22" i="20"/>
  <c r="CX22" i="20"/>
  <c r="CY22" i="20"/>
  <c r="CZ22" i="20"/>
  <c r="DA22" i="20"/>
  <c r="DB22" i="20"/>
  <c r="DC22" i="20"/>
  <c r="DD22" i="20"/>
  <c r="DE22" i="20"/>
  <c r="DF22" i="20"/>
  <c r="DG22" i="20"/>
  <c r="DH22" i="20"/>
  <c r="DI22" i="20"/>
  <c r="DJ22" i="20"/>
  <c r="DK22" i="20"/>
  <c r="DL22" i="20"/>
  <c r="DM22" i="20"/>
  <c r="DN22" i="20"/>
  <c r="DO22" i="20"/>
  <c r="DP22" i="20"/>
  <c r="DQ22" i="20"/>
  <c r="DR22" i="20"/>
  <c r="DS22" i="20"/>
  <c r="DT22" i="20"/>
  <c r="DU22" i="20"/>
  <c r="DV22" i="20"/>
  <c r="DW22" i="20"/>
  <c r="DX22" i="20"/>
  <c r="DY22" i="20"/>
  <c r="DZ22" i="20"/>
  <c r="EA22" i="20"/>
  <c r="EB22" i="20"/>
  <c r="EC22" i="20"/>
  <c r="ED22" i="20"/>
  <c r="EE22" i="20"/>
  <c r="EF22" i="20"/>
  <c r="EG22" i="20"/>
  <c r="EH22" i="20"/>
  <c r="EI22" i="20"/>
  <c r="EJ22" i="20"/>
  <c r="EK22" i="20"/>
  <c r="EL22" i="20"/>
  <c r="EM22" i="20"/>
  <c r="EN22" i="20"/>
  <c r="EO22" i="20"/>
  <c r="EP22" i="20"/>
  <c r="EQ22" i="20"/>
  <c r="ER22" i="20"/>
  <c r="ES22" i="20"/>
  <c r="ET22" i="20"/>
  <c r="EU22" i="20"/>
  <c r="EV22" i="20"/>
  <c r="EW22" i="20"/>
  <c r="EX22" i="20"/>
  <c r="EY22" i="20"/>
  <c r="EZ22" i="20"/>
  <c r="FA22" i="20"/>
  <c r="FB22" i="20"/>
  <c r="FC22" i="20"/>
  <c r="FD22" i="20"/>
  <c r="FE22" i="20"/>
  <c r="FF22" i="20"/>
  <c r="FG22" i="20"/>
  <c r="FH22" i="20"/>
  <c r="FI22" i="20"/>
  <c r="FJ22" i="20"/>
  <c r="FK22" i="20"/>
  <c r="FL22" i="20"/>
  <c r="FM22" i="20"/>
  <c r="FN22" i="20"/>
  <c r="FO22" i="20"/>
  <c r="FP22" i="20"/>
  <c r="FQ22" i="20"/>
  <c r="FR22" i="20"/>
  <c r="FS22" i="20"/>
  <c r="FT22" i="20"/>
  <c r="FU22" i="20"/>
  <c r="FV22" i="20"/>
  <c r="FW22" i="20"/>
  <c r="FX22" i="20"/>
  <c r="FY22" i="20"/>
  <c r="FZ22" i="20"/>
  <c r="GA22" i="20"/>
  <c r="GB22" i="20"/>
  <c r="GC22" i="20"/>
  <c r="GD22" i="20"/>
  <c r="GE22" i="20"/>
  <c r="GF22" i="20"/>
  <c r="GG22" i="20"/>
  <c r="GH22" i="20"/>
  <c r="GI22" i="20"/>
  <c r="GJ22" i="20"/>
  <c r="GK22" i="20"/>
  <c r="GL22" i="20"/>
  <c r="GM22" i="20"/>
  <c r="GN22" i="20"/>
  <c r="GO22" i="20"/>
  <c r="GP22" i="20"/>
  <c r="GQ22" i="20"/>
  <c r="GR22" i="20"/>
  <c r="GS22" i="20"/>
  <c r="GT22" i="20"/>
  <c r="GU22" i="20"/>
  <c r="GV22" i="20"/>
  <c r="GW22" i="20"/>
  <c r="GX22" i="20"/>
  <c r="GY22" i="20"/>
  <c r="GZ22" i="20"/>
  <c r="HA22" i="20"/>
  <c r="HB22" i="20"/>
  <c r="HC22" i="20"/>
  <c r="HD22" i="20"/>
  <c r="HE22" i="20"/>
  <c r="HF22" i="20"/>
  <c r="HG22" i="20"/>
  <c r="HH22" i="20"/>
  <c r="HI22" i="20"/>
  <c r="HJ22" i="20"/>
  <c r="HK22" i="20"/>
  <c r="HL22" i="20"/>
  <c r="HM22" i="20"/>
  <c r="HN22" i="20"/>
  <c r="HO22" i="20"/>
  <c r="HP22" i="20"/>
  <c r="HQ22" i="20"/>
  <c r="HR22" i="20"/>
  <c r="HS22" i="20"/>
  <c r="HT22" i="20"/>
  <c r="HU22" i="20"/>
  <c r="HV22" i="20"/>
  <c r="HW22" i="20"/>
  <c r="HX22" i="20"/>
  <c r="HY22" i="20"/>
  <c r="HZ22" i="20"/>
  <c r="IA22" i="20"/>
  <c r="IC22" i="20"/>
  <c r="ID22" i="20"/>
  <c r="IE22" i="20"/>
  <c r="D22" i="7"/>
  <c r="IF22" i="20" s="1"/>
  <c r="IG22" i="20"/>
  <c r="F22" i="7"/>
  <c r="IH22" i="20" s="1"/>
  <c r="II22" i="20"/>
  <c r="H22" i="7"/>
  <c r="IJ22" i="20" s="1"/>
  <c r="IK22" i="20"/>
  <c r="IL22" i="20"/>
  <c r="IM22" i="20"/>
  <c r="J22" i="7"/>
  <c r="IN22" i="20" s="1"/>
  <c r="IO22" i="20"/>
  <c r="L22" i="7"/>
  <c r="IP22" i="20" s="1"/>
  <c r="IS22" i="20"/>
  <c r="IT22" i="20"/>
  <c r="IU22" i="20"/>
  <c r="IV22" i="20"/>
  <c r="A23" i="20"/>
  <c r="B23" i="20"/>
  <c r="C23" i="20"/>
  <c r="D23" i="20"/>
  <c r="E23" i="20"/>
  <c r="F23" i="20"/>
  <c r="G23" i="20"/>
  <c r="H23" i="20"/>
  <c r="I23" i="20"/>
  <c r="J23" i="20"/>
  <c r="K23" i="20"/>
  <c r="L23" i="20"/>
  <c r="M23" i="20"/>
  <c r="N23" i="20"/>
  <c r="O23" i="20"/>
  <c r="P23" i="20"/>
  <c r="Q23" i="20"/>
  <c r="R23" i="20"/>
  <c r="S23" i="20"/>
  <c r="T23" i="20"/>
  <c r="U23" i="20"/>
  <c r="V23" i="20"/>
  <c r="W23" i="20"/>
  <c r="X23" i="20"/>
  <c r="Y23" i="20"/>
  <c r="AJ23" i="20"/>
  <c r="AK23" i="20"/>
  <c r="AL23" i="20"/>
  <c r="AM23" i="20"/>
  <c r="AN23" i="20"/>
  <c r="AO23" i="20"/>
  <c r="AP23" i="20"/>
  <c r="AQ23" i="20"/>
  <c r="AR23" i="20"/>
  <c r="AS23" i="20"/>
  <c r="AT23" i="20"/>
  <c r="AU23" i="20"/>
  <c r="AV23" i="20"/>
  <c r="AW23" i="20"/>
  <c r="AX23" i="20"/>
  <c r="AY23" i="20"/>
  <c r="AZ23" i="20"/>
  <c r="BB23" i="20"/>
  <c r="BD23" i="20"/>
  <c r="BF23" i="20"/>
  <c r="BH23" i="20"/>
  <c r="BI23" i="20"/>
  <c r="BJ23" i="20"/>
  <c r="BK23" i="20"/>
  <c r="BL23" i="20"/>
  <c r="BM23" i="20"/>
  <c r="BO23" i="20"/>
  <c r="BQ23" i="20"/>
  <c r="BS23" i="20"/>
  <c r="BU23" i="20"/>
  <c r="BV23" i="20"/>
  <c r="BW23" i="20"/>
  <c r="BX23" i="20"/>
  <c r="BY23" i="20"/>
  <c r="BZ23" i="20"/>
  <c r="CB23" i="20"/>
  <c r="CD23" i="20"/>
  <c r="CF23" i="20"/>
  <c r="CH23" i="20"/>
  <c r="CJ23" i="20"/>
  <c r="CK23" i="20"/>
  <c r="CL23" i="20"/>
  <c r="CM23" i="20"/>
  <c r="CO23" i="20"/>
  <c r="CQ23" i="20"/>
  <c r="CS23" i="20"/>
  <c r="CU23" i="20"/>
  <c r="CW23" i="20"/>
  <c r="CX23" i="20"/>
  <c r="CY23" i="20"/>
  <c r="CZ23" i="20"/>
  <c r="DB23" i="20"/>
  <c r="DD23" i="20"/>
  <c r="DF23" i="20"/>
  <c r="DH23" i="20"/>
  <c r="DJ23" i="20"/>
  <c r="DK23" i="20"/>
  <c r="DL23" i="20"/>
  <c r="DM23" i="20"/>
  <c r="DO23" i="20"/>
  <c r="DQ23" i="20"/>
  <c r="DS23" i="20"/>
  <c r="DU23" i="20"/>
  <c r="DW23" i="20"/>
  <c r="DX23" i="20"/>
  <c r="DY23" i="20"/>
  <c r="DZ23" i="20"/>
  <c r="EB23" i="20"/>
  <c r="ED23" i="20"/>
  <c r="EF23" i="20"/>
  <c r="EH23" i="20"/>
  <c r="EJ23" i="20"/>
  <c r="EK23" i="20"/>
  <c r="EL23" i="20"/>
  <c r="EM23" i="20"/>
  <c r="EN23" i="20"/>
  <c r="EO23" i="20"/>
  <c r="EP23" i="20"/>
  <c r="EQ23" i="20"/>
  <c r="ER23" i="20"/>
  <c r="ES23" i="20"/>
  <c r="ET23" i="20"/>
  <c r="EU23" i="20"/>
  <c r="EV23" i="20"/>
  <c r="EW23" i="20"/>
  <c r="EX23" i="20"/>
  <c r="EY23" i="20"/>
  <c r="FJ23" i="20"/>
  <c r="FK23" i="20"/>
  <c r="FL23" i="20"/>
  <c r="FM23" i="20"/>
  <c r="FN23" i="20"/>
  <c r="FO23" i="20"/>
  <c r="FP23" i="20"/>
  <c r="FQ23" i="20"/>
  <c r="FR23" i="20"/>
  <c r="FS23" i="20"/>
  <c r="FT23" i="20"/>
  <c r="FU23" i="20"/>
  <c r="FV23" i="20"/>
  <c r="FW23" i="20"/>
  <c r="FX23" i="20"/>
  <c r="FY23" i="20"/>
  <c r="FZ23" i="20"/>
  <c r="GB23" i="20"/>
  <c r="GD23" i="20"/>
  <c r="GF23" i="20"/>
  <c r="GH23" i="20"/>
  <c r="GJ23" i="20"/>
  <c r="GK23" i="20"/>
  <c r="GL23" i="20"/>
  <c r="GM23" i="20"/>
  <c r="GO23" i="20"/>
  <c r="GQ23" i="20"/>
  <c r="GS23" i="20"/>
  <c r="GU23" i="20"/>
  <c r="GV23" i="20"/>
  <c r="GW23" i="20"/>
  <c r="GX23" i="20"/>
  <c r="GY23" i="20"/>
  <c r="GZ23" i="20"/>
  <c r="HB23" i="20"/>
  <c r="HD23" i="20"/>
  <c r="HF23" i="20"/>
  <c r="HH23" i="20"/>
  <c r="HJ23" i="20"/>
  <c r="HK23" i="20"/>
  <c r="HL23" i="20"/>
  <c r="HM23" i="20"/>
  <c r="HO23" i="20"/>
  <c r="HQ23" i="20"/>
  <c r="HS23" i="20"/>
  <c r="HU23" i="20"/>
  <c r="HW23" i="20"/>
  <c r="HX23" i="20"/>
  <c r="HY23" i="20"/>
  <c r="HZ23" i="20"/>
  <c r="IB23" i="20"/>
  <c r="ID23" i="20"/>
  <c r="IF23" i="20"/>
  <c r="IH23" i="20"/>
  <c r="IJ23" i="20"/>
  <c r="IK23" i="20"/>
  <c r="IL23" i="20"/>
  <c r="IM23" i="20"/>
  <c r="IO23" i="20"/>
  <c r="IQ23" i="20"/>
  <c r="IS23" i="20"/>
  <c r="IU23" i="20"/>
  <c r="A24" i="20"/>
  <c r="B24" i="20"/>
  <c r="C24" i="20"/>
  <c r="D24" i="20"/>
  <c r="F24" i="20"/>
  <c r="H24" i="20"/>
  <c r="J24" i="20"/>
  <c r="L24" i="20"/>
  <c r="N24" i="20"/>
  <c r="O24" i="20"/>
  <c r="P24" i="20"/>
  <c r="Q24" i="20"/>
  <c r="S24" i="20"/>
  <c r="U24" i="20"/>
  <c r="W24" i="20"/>
  <c r="Y24" i="20"/>
  <c r="AA24" i="20"/>
  <c r="AB24" i="20"/>
  <c r="AC24" i="20"/>
  <c r="AD24" i="20"/>
  <c r="AF24" i="20"/>
  <c r="AH24" i="20"/>
  <c r="AJ24" i="20"/>
  <c r="AL24" i="20"/>
  <c r="AN24" i="20"/>
  <c r="AO24" i="20"/>
  <c r="AP24" i="20"/>
  <c r="AQ24" i="20"/>
  <c r="AR24" i="20"/>
  <c r="AS24" i="20"/>
  <c r="AT24" i="20"/>
  <c r="AU24" i="20"/>
  <c r="AV24" i="20"/>
  <c r="AW24" i="20"/>
  <c r="AX24" i="20"/>
  <c r="AY24" i="20"/>
  <c r="AZ24" i="20"/>
  <c r="BA24" i="20"/>
  <c r="BB24" i="20"/>
  <c r="BC24" i="20"/>
  <c r="BN24" i="20"/>
  <c r="BO24" i="20"/>
  <c r="BP24" i="20"/>
  <c r="BQ24" i="20"/>
  <c r="BR24" i="20"/>
  <c r="BS24" i="20"/>
  <c r="BT24" i="20"/>
  <c r="BU24" i="20"/>
  <c r="BV24" i="20"/>
  <c r="BW24" i="20"/>
  <c r="BX24" i="20"/>
  <c r="BY24" i="20"/>
  <c r="BZ24" i="20"/>
  <c r="CA24" i="20"/>
  <c r="CB24" i="20"/>
  <c r="CC24" i="20"/>
  <c r="CD24" i="20"/>
  <c r="CF24" i="20"/>
  <c r="CH24" i="20"/>
  <c r="CJ24" i="20"/>
  <c r="CL24" i="20"/>
  <c r="CN24" i="20"/>
  <c r="CO24" i="20"/>
  <c r="CP24" i="20"/>
  <c r="CQ24" i="20"/>
  <c r="CS24" i="20"/>
  <c r="CU24" i="20"/>
  <c r="CW24" i="20"/>
  <c r="CY24" i="20"/>
  <c r="DA24" i="20"/>
  <c r="DB24" i="20"/>
  <c r="DC24" i="20"/>
  <c r="DD24" i="20"/>
  <c r="DF24" i="20"/>
  <c r="DH24" i="20"/>
  <c r="DJ24" i="20"/>
  <c r="DL24" i="20"/>
  <c r="DN24" i="20"/>
  <c r="DO24" i="20"/>
  <c r="DP24" i="20"/>
  <c r="DQ24" i="20"/>
  <c r="DS24" i="20"/>
  <c r="DU24" i="20"/>
  <c r="DW24" i="20"/>
  <c r="DY24" i="20"/>
  <c r="EA24" i="20"/>
  <c r="EB24" i="20"/>
  <c r="EC24" i="20"/>
  <c r="ED24" i="20"/>
  <c r="EF24" i="20"/>
  <c r="EH24" i="20"/>
  <c r="EJ24" i="20"/>
  <c r="EL24" i="20"/>
  <c r="EN24" i="20"/>
  <c r="EO24" i="20"/>
  <c r="EP24" i="20"/>
  <c r="FA24" i="20"/>
  <c r="FB24" i="20"/>
  <c r="FC24" i="20"/>
  <c r="D24" i="8"/>
  <c r="FD24" i="20" s="1"/>
  <c r="FE24" i="20"/>
  <c r="F24" i="8"/>
  <c r="FG24" i="20"/>
  <c r="H24" i="8"/>
  <c r="FH24" i="20" s="1"/>
  <c r="FI24" i="20"/>
  <c r="J24" i="8"/>
  <c r="FM24" i="20"/>
  <c r="FN24" i="20"/>
  <c r="FO24" i="20"/>
  <c r="FP24" i="20"/>
  <c r="FQ24" i="20"/>
  <c r="FR24" i="20"/>
  <c r="FS24" i="20"/>
  <c r="FT24" i="20"/>
  <c r="FU24" i="20"/>
  <c r="FV24" i="20"/>
  <c r="FW24" i="20"/>
  <c r="FX24" i="20"/>
  <c r="FY24" i="20"/>
  <c r="FZ24" i="20"/>
  <c r="GA24" i="20"/>
  <c r="GB24" i="20"/>
  <c r="GC24" i="20"/>
  <c r="GD24" i="20"/>
  <c r="GE24" i="20"/>
  <c r="GF24" i="20"/>
  <c r="GG24" i="20"/>
  <c r="GH24" i="20"/>
  <c r="GI24" i="20"/>
  <c r="GJ24" i="20"/>
  <c r="GK24" i="20"/>
  <c r="GL24" i="20"/>
  <c r="GM24" i="20"/>
  <c r="GN24" i="20"/>
  <c r="GO24" i="20"/>
  <c r="GP24" i="20"/>
  <c r="GQ24" i="20"/>
  <c r="GR24" i="20"/>
  <c r="GS24" i="20"/>
  <c r="GT24" i="20"/>
  <c r="GU24" i="20"/>
  <c r="GV24" i="20"/>
  <c r="GW24" i="20"/>
  <c r="GX24" i="20"/>
  <c r="GY24" i="20"/>
  <c r="GZ24" i="20"/>
  <c r="HA24" i="20"/>
  <c r="HB24" i="20"/>
  <c r="HC24" i="20"/>
  <c r="HD24" i="20"/>
  <c r="HE24" i="20"/>
  <c r="HF24" i="20"/>
  <c r="HG24" i="20"/>
  <c r="HH24" i="20"/>
  <c r="HI24" i="20"/>
  <c r="HJ24" i="20"/>
  <c r="HK24" i="20"/>
  <c r="HL24" i="20"/>
  <c r="HM24" i="20"/>
  <c r="HN24" i="20"/>
  <c r="HO24" i="20"/>
  <c r="HP24" i="20"/>
  <c r="HQ24" i="20"/>
  <c r="HR24" i="20"/>
  <c r="HS24" i="20"/>
  <c r="HT24" i="20"/>
  <c r="HY24" i="20"/>
  <c r="HZ24" i="20"/>
  <c r="IA24" i="20"/>
  <c r="IB24" i="20"/>
  <c r="IC24" i="20"/>
  <c r="ID24" i="20"/>
  <c r="IK24" i="20"/>
  <c r="IL24" i="20"/>
  <c r="IM24" i="20"/>
  <c r="IN24" i="20"/>
  <c r="IO24" i="20"/>
  <c r="IP24" i="20"/>
  <c r="IQ24" i="20"/>
  <c r="IR24" i="20"/>
  <c r="IS24" i="20"/>
  <c r="IT24" i="20"/>
  <c r="IU24" i="20"/>
  <c r="IV24" i="20"/>
  <c r="A25" i="20"/>
  <c r="B25" i="20"/>
  <c r="C25" i="20"/>
  <c r="D25" i="20"/>
  <c r="E25" i="20"/>
  <c r="F25" i="20"/>
  <c r="G25" i="20"/>
  <c r="H6" i="9"/>
  <c r="H25" i="20" s="1"/>
  <c r="I25" i="20"/>
  <c r="J25" i="20"/>
  <c r="K25" i="20"/>
  <c r="M25" i="20"/>
  <c r="O25" i="20"/>
  <c r="P25" i="20"/>
  <c r="Q25" i="20"/>
  <c r="R25" i="20"/>
  <c r="S25" i="20"/>
  <c r="T25" i="20"/>
  <c r="U25" i="20"/>
  <c r="W25" i="20"/>
  <c r="Y25" i="20"/>
  <c r="AA25" i="20"/>
  <c r="AB25" i="20"/>
  <c r="AC25" i="20"/>
  <c r="AD25" i="20"/>
  <c r="AF25" i="20"/>
  <c r="AH25" i="20"/>
  <c r="AI25" i="20"/>
  <c r="AJ25" i="20"/>
  <c r="AK25" i="20"/>
  <c r="AL25" i="20"/>
  <c r="AM25" i="20"/>
  <c r="AN25" i="20"/>
  <c r="AP25" i="20"/>
  <c r="AR25" i="20"/>
  <c r="AS25" i="20"/>
  <c r="AT25" i="20"/>
  <c r="AU25" i="20"/>
  <c r="AV25" i="20"/>
  <c r="AW25" i="20"/>
  <c r="AY25" i="20"/>
  <c r="BA25" i="20"/>
  <c r="BB25" i="20"/>
  <c r="BC25" i="20"/>
  <c r="BD25" i="20"/>
  <c r="BE25" i="20"/>
  <c r="BF25" i="20"/>
  <c r="BG25" i="20"/>
  <c r="BI25" i="20"/>
  <c r="BK25" i="20"/>
  <c r="BM25" i="20"/>
  <c r="BN25" i="20"/>
  <c r="BO25" i="20"/>
  <c r="BP25" i="20"/>
  <c r="BR25" i="20"/>
  <c r="BT25" i="20"/>
  <c r="BU25" i="20"/>
  <c r="BV25" i="20"/>
  <c r="BW25" i="20"/>
  <c r="BX25" i="20"/>
  <c r="BY25" i="20"/>
  <c r="BZ25" i="20"/>
  <c r="CB25" i="20"/>
  <c r="CD25" i="20"/>
  <c r="CF25" i="20"/>
  <c r="CG25" i="20"/>
  <c r="CH25" i="20"/>
  <c r="CI25" i="20"/>
  <c r="CK25" i="20"/>
  <c r="CM25" i="20"/>
  <c r="CN25" i="20"/>
  <c r="CO25" i="20"/>
  <c r="CP25" i="20"/>
  <c r="CQ25" i="20"/>
  <c r="CR25" i="20"/>
  <c r="CS25" i="20"/>
  <c r="CU25" i="20"/>
  <c r="CW25" i="20"/>
  <c r="CY25" i="20"/>
  <c r="CZ25" i="20"/>
  <c r="DA25" i="20"/>
  <c r="DB25" i="20"/>
  <c r="DD25" i="20"/>
  <c r="DF25" i="20"/>
  <c r="DG25" i="20"/>
  <c r="DH25" i="20"/>
  <c r="DI25" i="20"/>
  <c r="DJ25" i="20"/>
  <c r="DK25" i="20"/>
  <c r="DL25" i="20"/>
  <c r="DN25" i="20"/>
  <c r="DP25" i="20"/>
  <c r="DQ25" i="20"/>
  <c r="DR25" i="20"/>
  <c r="DS25" i="20"/>
  <c r="DT25" i="20"/>
  <c r="DU25" i="20"/>
  <c r="DW25" i="20"/>
  <c r="DY25" i="20"/>
  <c r="DZ25" i="20"/>
  <c r="EA25" i="20"/>
  <c r="EB25" i="20"/>
  <c r="EC25" i="20"/>
  <c r="ED25" i="20"/>
  <c r="EE25" i="20"/>
  <c r="EK25" i="20"/>
  <c r="EL25" i="20"/>
  <c r="EM25" i="20"/>
  <c r="EN25" i="20"/>
  <c r="EO25" i="20"/>
  <c r="EP25" i="20"/>
  <c r="EQ25" i="20"/>
  <c r="ER25" i="20"/>
  <c r="ES25" i="20"/>
  <c r="ET25" i="20"/>
  <c r="EU25" i="20"/>
  <c r="EV25" i="20"/>
  <c r="EW25" i="20"/>
  <c r="EX25" i="20"/>
  <c r="EY25" i="20"/>
  <c r="EZ25" i="20"/>
  <c r="FA25" i="20"/>
  <c r="FB25" i="20"/>
  <c r="FC25" i="20"/>
  <c r="FD25" i="20"/>
  <c r="FE25" i="20"/>
  <c r="FF25" i="20"/>
  <c r="FG25" i="20"/>
  <c r="FI25" i="20"/>
  <c r="FK25" i="20"/>
  <c r="FL25" i="20"/>
  <c r="FM25" i="20"/>
  <c r="FN25" i="20"/>
  <c r="FO25" i="20"/>
  <c r="FP25" i="20"/>
  <c r="FQ25" i="20"/>
  <c r="FS25" i="20"/>
  <c r="FU25" i="20"/>
  <c r="FW25" i="20"/>
  <c r="FX25" i="20"/>
  <c r="FY25" i="20"/>
  <c r="FZ25" i="20"/>
  <c r="GB25" i="20"/>
  <c r="GD25" i="20"/>
  <c r="GE25" i="20"/>
  <c r="GF25" i="20"/>
  <c r="GG25" i="20"/>
  <c r="GH25" i="20"/>
  <c r="GI25" i="20"/>
  <c r="GJ25" i="20"/>
  <c r="GL25" i="20"/>
  <c r="GN25" i="20"/>
  <c r="GP25" i="20"/>
  <c r="GQ25" i="20"/>
  <c r="GR25" i="20"/>
  <c r="GS25" i="20"/>
  <c r="GU25" i="20"/>
  <c r="GW25" i="20"/>
  <c r="GX25" i="20"/>
  <c r="GY25" i="20"/>
  <c r="GZ25" i="20"/>
  <c r="HA25" i="20"/>
  <c r="HB25" i="20"/>
  <c r="HC25" i="20"/>
  <c r="HE25" i="20"/>
  <c r="HG25" i="20"/>
  <c r="HI25" i="20"/>
  <c r="HJ25" i="20"/>
  <c r="HK25" i="20"/>
  <c r="HL25" i="20"/>
  <c r="HM25" i="20"/>
  <c r="HN25" i="20"/>
  <c r="HO25" i="20"/>
  <c r="HP25" i="20"/>
  <c r="HQ25" i="20"/>
  <c r="HR25" i="20"/>
  <c r="HS25" i="20"/>
  <c r="HT25" i="20"/>
  <c r="HU25" i="20"/>
  <c r="HV25" i="20"/>
  <c r="HW25" i="20"/>
  <c r="HX25" i="20"/>
  <c r="HY25" i="20"/>
  <c r="HZ25" i="20"/>
  <c r="IA25" i="20"/>
  <c r="IB25" i="20"/>
  <c r="IC25" i="20"/>
  <c r="ID25" i="20"/>
  <c r="IE25" i="20"/>
  <c r="IF25" i="20"/>
  <c r="IG25" i="20"/>
  <c r="IH25" i="20"/>
  <c r="II25" i="20"/>
  <c r="IJ25" i="20"/>
  <c r="IK25" i="20"/>
  <c r="IL25" i="20"/>
  <c r="IM25" i="20"/>
  <c r="IN25" i="20"/>
  <c r="IO25" i="20"/>
  <c r="IP25" i="20"/>
  <c r="IQ25" i="20"/>
  <c r="IR25" i="20"/>
  <c r="IS25" i="20"/>
  <c r="IT25" i="20"/>
  <c r="IU25" i="20"/>
  <c r="IV25" i="20"/>
  <c r="A26" i="20"/>
  <c r="B26" i="20"/>
  <c r="D26" i="20"/>
  <c r="F26" i="20"/>
  <c r="G26" i="20"/>
  <c r="H26" i="20"/>
  <c r="I26" i="20"/>
  <c r="J26" i="20"/>
  <c r="K26" i="20"/>
  <c r="L26" i="20"/>
  <c r="N26" i="20"/>
  <c r="R26" i="20"/>
  <c r="S26" i="20"/>
  <c r="T26" i="20"/>
  <c r="U26" i="20"/>
  <c r="V26" i="20"/>
  <c r="W26" i="20"/>
  <c r="X26" i="20"/>
  <c r="Y26" i="20"/>
  <c r="Z26" i="20"/>
  <c r="AA26" i="20"/>
  <c r="AB26" i="20"/>
  <c r="AC26" i="20"/>
  <c r="AD26" i="20"/>
  <c r="AE26" i="20"/>
  <c r="AF26" i="20"/>
  <c r="AG26" i="20"/>
  <c r="AH26" i="20"/>
  <c r="AI26" i="20"/>
  <c r="AJ26" i="20"/>
  <c r="AK26" i="20"/>
  <c r="AL26" i="20"/>
  <c r="AM26" i="20"/>
  <c r="AN26" i="20"/>
  <c r="AP26" i="20"/>
  <c r="AR26" i="20"/>
  <c r="AS26" i="20"/>
  <c r="AT26" i="20"/>
  <c r="AU26" i="20"/>
  <c r="AV26" i="20"/>
  <c r="AW26" i="20"/>
  <c r="AX26" i="20"/>
  <c r="AZ26" i="20"/>
  <c r="BB26" i="20"/>
  <c r="BD26" i="20"/>
  <c r="BE26" i="20"/>
  <c r="BF26" i="20"/>
  <c r="BG26" i="20"/>
  <c r="BI26" i="20"/>
  <c r="BK26" i="20"/>
  <c r="BL26" i="20"/>
  <c r="BM26" i="20"/>
  <c r="BN26" i="20"/>
  <c r="BO26" i="20"/>
  <c r="BP26" i="20"/>
  <c r="BQ26" i="20"/>
  <c r="BS26" i="20"/>
  <c r="BU26" i="20"/>
  <c r="BW26" i="20"/>
  <c r="BX26" i="20"/>
  <c r="BY26" i="20"/>
  <c r="BZ26" i="20"/>
  <c r="CB26" i="20"/>
  <c r="CD26" i="20"/>
  <c r="CE26" i="20"/>
  <c r="CF26" i="20"/>
  <c r="CG26" i="20"/>
  <c r="CH26" i="20"/>
  <c r="CI26" i="20"/>
  <c r="CJ26" i="20"/>
  <c r="CL26" i="20"/>
  <c r="CP26" i="20"/>
  <c r="CQ26" i="20"/>
  <c r="CR26" i="20"/>
  <c r="CS26" i="20"/>
  <c r="CT26" i="20"/>
  <c r="CU26" i="20"/>
  <c r="CV26" i="20"/>
  <c r="CW26" i="20"/>
  <c r="CX26" i="20"/>
  <c r="CY26" i="20"/>
  <c r="CZ26" i="20"/>
  <c r="DA26" i="20"/>
  <c r="DB26" i="20"/>
  <c r="DC26" i="20"/>
  <c r="DD26" i="20"/>
  <c r="DE26" i="20"/>
  <c r="DF26" i="20"/>
  <c r="DG26" i="20"/>
  <c r="DH26" i="20"/>
  <c r="DI26" i="20"/>
  <c r="DJ26" i="20"/>
  <c r="DK26" i="20"/>
  <c r="DL26" i="20"/>
  <c r="DN26" i="20"/>
  <c r="DP26" i="20"/>
  <c r="DQ26" i="20"/>
  <c r="DR26" i="20"/>
  <c r="DS26" i="20"/>
  <c r="DT26" i="20"/>
  <c r="DU26" i="20"/>
  <c r="DV26" i="20"/>
  <c r="DX26" i="20"/>
  <c r="DZ26" i="20"/>
  <c r="EA26" i="20"/>
  <c r="EB26" i="20"/>
  <c r="EC26" i="20"/>
  <c r="ED26" i="20"/>
  <c r="EE26" i="20"/>
  <c r="EG26" i="20"/>
  <c r="EI26" i="20"/>
  <c r="EJ26" i="20"/>
  <c r="EK26" i="20"/>
  <c r="EL26" i="20"/>
  <c r="EM26" i="20"/>
  <c r="EN26" i="20"/>
  <c r="EO26" i="20"/>
  <c r="EQ26" i="20"/>
  <c r="ER26" i="20"/>
  <c r="ES26" i="20"/>
  <c r="EU26" i="20"/>
  <c r="EV26" i="20"/>
  <c r="EW26" i="20"/>
  <c r="EX26" i="20"/>
  <c r="EZ26" i="20"/>
  <c r="FB26" i="20"/>
  <c r="FC26" i="20"/>
  <c r="FD26" i="20"/>
  <c r="FE26" i="20"/>
  <c r="FF26" i="20"/>
  <c r="FG26" i="20"/>
  <c r="FH26" i="20"/>
  <c r="FJ26" i="20"/>
  <c r="FL26" i="20"/>
  <c r="FN26" i="20"/>
  <c r="FO26" i="20"/>
  <c r="FP26" i="20"/>
  <c r="FQ26" i="20"/>
  <c r="FS26" i="20"/>
  <c r="FU26" i="20"/>
  <c r="FV26" i="20"/>
  <c r="FW26" i="20"/>
  <c r="FX26" i="20"/>
  <c r="FY26" i="20"/>
  <c r="FZ26" i="20"/>
  <c r="GA26" i="20"/>
  <c r="GC26" i="20"/>
  <c r="GE26" i="20"/>
  <c r="GG26" i="20"/>
  <c r="GH26" i="20"/>
  <c r="GI26" i="20"/>
  <c r="GJ26" i="20"/>
  <c r="GL26" i="20"/>
  <c r="GN26" i="20"/>
  <c r="GO26" i="20"/>
  <c r="GP26" i="20"/>
  <c r="GQ26" i="20"/>
  <c r="GR26" i="20"/>
  <c r="GS26" i="20"/>
  <c r="GT26" i="20"/>
  <c r="GV26" i="20"/>
  <c r="GX26" i="20"/>
  <c r="GY26" i="20"/>
  <c r="GZ26" i="20"/>
  <c r="HA26" i="20"/>
  <c r="HB26" i="20"/>
  <c r="HC26" i="20"/>
  <c r="HD26" i="20"/>
  <c r="HE26" i="20"/>
  <c r="HF26" i="20"/>
  <c r="HG26" i="20"/>
  <c r="HH26" i="20"/>
  <c r="HI26" i="20"/>
  <c r="HJ26" i="20"/>
  <c r="HK26" i="20"/>
  <c r="HL26" i="20"/>
  <c r="HM26" i="20"/>
  <c r="HN26" i="20"/>
  <c r="HO26" i="20"/>
  <c r="HP26" i="20"/>
  <c r="HQ26" i="20"/>
  <c r="HR26" i="20"/>
  <c r="HS26" i="20"/>
  <c r="HT26" i="20"/>
  <c r="HU26" i="20"/>
  <c r="HV26" i="20"/>
  <c r="HX26" i="20"/>
  <c r="HZ26" i="20"/>
  <c r="IA26" i="20"/>
  <c r="IB26" i="20"/>
  <c r="IC26" i="20"/>
  <c r="ID26" i="20"/>
  <c r="IE26" i="20"/>
  <c r="IF26" i="20"/>
  <c r="IH26" i="20"/>
  <c r="IJ26" i="20"/>
  <c r="IL26" i="20"/>
  <c r="IM26" i="20"/>
  <c r="IN26" i="20"/>
  <c r="IO26" i="20"/>
  <c r="IQ26" i="20"/>
  <c r="IS26" i="20"/>
  <c r="IT26" i="20"/>
  <c r="IU26" i="20"/>
  <c r="IV26" i="20"/>
  <c r="A27" i="20"/>
  <c r="B27" i="20"/>
  <c r="C27" i="20"/>
  <c r="I27" i="20"/>
  <c r="J27" i="20"/>
  <c r="K27" i="20"/>
  <c r="L27" i="20"/>
  <c r="M27" i="20"/>
  <c r="N27" i="20"/>
  <c r="O27" i="20"/>
  <c r="P27" i="20"/>
  <c r="Q27" i="20"/>
  <c r="R27" i="20"/>
  <c r="S27" i="20"/>
  <c r="T27" i="20"/>
  <c r="U27" i="20"/>
  <c r="V27" i="20"/>
  <c r="W27" i="20"/>
  <c r="X27" i="20"/>
  <c r="Y27" i="20"/>
  <c r="Z27" i="20"/>
  <c r="AA27" i="20"/>
  <c r="AB27" i="20"/>
  <c r="AC27" i="20"/>
  <c r="AD27" i="20"/>
  <c r="AE27" i="20"/>
  <c r="AG27" i="20"/>
  <c r="AI27" i="20"/>
  <c r="AJ27" i="20"/>
  <c r="AK27" i="20"/>
  <c r="AL27" i="20"/>
  <c r="AM27" i="20"/>
  <c r="AN27" i="20"/>
  <c r="AO27" i="20"/>
  <c r="AQ27" i="20"/>
  <c r="AS27" i="20"/>
  <c r="AT27" i="20"/>
  <c r="AU27" i="20"/>
  <c r="AV27" i="20"/>
  <c r="AW27" i="20"/>
  <c r="AX27" i="20"/>
  <c r="AZ27" i="20"/>
  <c r="BB27" i="20"/>
  <c r="BC27" i="20"/>
  <c r="BD27" i="20"/>
  <c r="BE27" i="20"/>
  <c r="BF27" i="20"/>
  <c r="BG27" i="20"/>
  <c r="BH27" i="20"/>
  <c r="BJ27" i="20"/>
  <c r="BL27" i="20"/>
  <c r="BN27" i="20"/>
  <c r="BO27" i="20"/>
  <c r="BP27" i="20"/>
  <c r="BQ27" i="20"/>
  <c r="BS27" i="20"/>
  <c r="BU27" i="20"/>
  <c r="BV27" i="20"/>
  <c r="BW27" i="20"/>
  <c r="BX27" i="20"/>
  <c r="BY27" i="20"/>
  <c r="BZ27" i="20"/>
  <c r="CA27" i="20"/>
  <c r="CC27" i="20"/>
  <c r="CE27" i="20"/>
  <c r="CF27" i="20"/>
  <c r="CG27" i="20"/>
  <c r="CH27" i="20"/>
  <c r="CI27" i="20"/>
  <c r="CJ27" i="20"/>
  <c r="CL27" i="20"/>
  <c r="CN27" i="20"/>
  <c r="CO27" i="20"/>
  <c r="CP27" i="20"/>
  <c r="CQ27" i="20"/>
  <c r="CR27" i="20"/>
  <c r="CS27" i="20"/>
  <c r="CT27" i="20"/>
  <c r="CV27" i="20"/>
  <c r="CX27" i="20"/>
  <c r="CZ27" i="20"/>
  <c r="DA27" i="20"/>
  <c r="DB27" i="20"/>
  <c r="DC27" i="20"/>
  <c r="DE27" i="20"/>
  <c r="DG27" i="20"/>
  <c r="DH27" i="20"/>
  <c r="DI27" i="20"/>
  <c r="DJ27" i="20"/>
  <c r="DK27" i="20"/>
  <c r="DL27" i="20"/>
  <c r="DM27" i="20"/>
  <c r="DO27" i="20"/>
  <c r="DQ27" i="20"/>
  <c r="DR27" i="20"/>
  <c r="DS27" i="20"/>
  <c r="DT27" i="20"/>
  <c r="DU27" i="20"/>
  <c r="DV27" i="20"/>
  <c r="DX27" i="20"/>
  <c r="DZ27" i="20"/>
  <c r="EA27" i="20"/>
  <c r="EB27" i="20"/>
  <c r="EC27" i="20"/>
  <c r="ED27" i="20"/>
  <c r="EE27" i="20"/>
  <c r="EF27" i="20"/>
  <c r="EL27" i="20"/>
  <c r="EM27" i="20"/>
  <c r="EN27" i="20"/>
  <c r="D27" i="9"/>
  <c r="EO27" i="20" s="1"/>
  <c r="EP27" i="20"/>
  <c r="F27" i="9"/>
  <c r="EQ27" i="20" s="1"/>
  <c r="ER27" i="20"/>
  <c r="ES27" i="20"/>
  <c r="ET27" i="20"/>
  <c r="EU27" i="20"/>
  <c r="EV27" i="20"/>
  <c r="EW27" i="20"/>
  <c r="EX27" i="20"/>
  <c r="H27" i="9"/>
  <c r="EY27" i="20" s="1"/>
  <c r="EZ27" i="20"/>
  <c r="J27" i="9"/>
  <c r="FA27" i="20" s="1"/>
  <c r="FD27" i="20"/>
  <c r="FE27" i="20"/>
  <c r="FF27" i="20"/>
  <c r="FG27" i="20"/>
  <c r="FH27" i="20"/>
  <c r="FI27" i="20"/>
  <c r="FJ27" i="20"/>
  <c r="FK27" i="20"/>
  <c r="FL27" i="20"/>
  <c r="FM27" i="20"/>
  <c r="FN27" i="20"/>
  <c r="FO27" i="20"/>
  <c r="FP27" i="20"/>
  <c r="FQ27" i="20"/>
  <c r="FR27" i="20"/>
  <c r="FS27" i="20"/>
  <c r="FT27" i="20"/>
  <c r="FU27" i="20"/>
  <c r="FV27" i="20"/>
  <c r="FW27" i="20"/>
  <c r="FX27" i="20"/>
  <c r="FY27" i="20"/>
  <c r="FZ27" i="20"/>
  <c r="GA27" i="20"/>
  <c r="GB27" i="20"/>
  <c r="GC27" i="20"/>
  <c r="GD27" i="20"/>
  <c r="GE27" i="20"/>
  <c r="GF27" i="20"/>
  <c r="GG27" i="20"/>
  <c r="GH27" i="20"/>
  <c r="GI27" i="20"/>
  <c r="GJ27" i="20"/>
  <c r="GK27" i="20"/>
  <c r="GL27" i="20"/>
  <c r="GM27" i="20"/>
  <c r="GU27" i="20"/>
  <c r="GV27" i="20"/>
  <c r="HC27" i="20"/>
  <c r="HD27" i="20"/>
  <c r="HE27" i="20"/>
  <c r="HF27" i="20"/>
  <c r="HG27" i="20"/>
  <c r="HH27" i="20"/>
  <c r="HI27" i="20"/>
  <c r="HJ27" i="20"/>
  <c r="HK27" i="20"/>
  <c r="HL27" i="20"/>
  <c r="HM27" i="20"/>
  <c r="HN27" i="20"/>
  <c r="HO27" i="20"/>
  <c r="HP27" i="20"/>
  <c r="HQ27" i="20"/>
  <c r="HR27" i="20"/>
  <c r="HS27" i="20"/>
  <c r="HT27" i="20"/>
  <c r="HU27" i="20"/>
  <c r="HV27" i="20"/>
  <c r="HW27" i="20"/>
  <c r="HX27" i="20"/>
  <c r="HY27" i="20"/>
  <c r="HZ27" i="20"/>
  <c r="IA27" i="20"/>
  <c r="IB27" i="20"/>
  <c r="IC27" i="20"/>
  <c r="ID27" i="20"/>
  <c r="IE27" i="20"/>
  <c r="IF27" i="20"/>
  <c r="IG27" i="20"/>
  <c r="IH27" i="20"/>
  <c r="II27" i="20"/>
  <c r="IJ27" i="20"/>
  <c r="IK27" i="20"/>
  <c r="IL27" i="20"/>
  <c r="IM27" i="20"/>
  <c r="IN27" i="20"/>
  <c r="IP27" i="20"/>
  <c r="IR27" i="20"/>
  <c r="IT27" i="20"/>
  <c r="IU27" i="20"/>
  <c r="IV27" i="20"/>
  <c r="B28" i="20"/>
  <c r="D28" i="20"/>
  <c r="F7" i="10"/>
  <c r="F28" i="20" s="1"/>
  <c r="G28" i="20"/>
  <c r="H28" i="20"/>
  <c r="I28" i="20"/>
  <c r="K28" i="20"/>
  <c r="M28" i="20"/>
  <c r="O28" i="20"/>
  <c r="P28" i="20"/>
  <c r="Q28" i="20"/>
  <c r="S28" i="20"/>
  <c r="U28" i="20"/>
  <c r="W28" i="20"/>
  <c r="X28" i="20"/>
  <c r="Y28" i="20"/>
  <c r="Z28" i="20"/>
  <c r="AB28" i="20"/>
  <c r="AD28" i="20"/>
  <c r="AF28" i="20"/>
  <c r="AG28" i="20"/>
  <c r="AH28" i="20"/>
  <c r="AJ28" i="20"/>
  <c r="AL28" i="20"/>
  <c r="AN28" i="20"/>
  <c r="AO28" i="20"/>
  <c r="AP28" i="20"/>
  <c r="AQ28" i="20"/>
  <c r="AS28" i="20"/>
  <c r="AU28" i="20"/>
  <c r="AW28" i="20"/>
  <c r="AX28" i="20"/>
  <c r="AY28" i="20"/>
  <c r="BA28" i="20"/>
  <c r="BC28" i="20"/>
  <c r="BE28" i="20"/>
  <c r="BF28" i="20"/>
  <c r="BG28" i="20"/>
  <c r="BH28" i="20"/>
  <c r="BJ28" i="20"/>
  <c r="BL28" i="20"/>
  <c r="BN28" i="20"/>
  <c r="BO28" i="20"/>
  <c r="BP28" i="20"/>
  <c r="BR28" i="20"/>
  <c r="BT28" i="20"/>
  <c r="BV28" i="20"/>
  <c r="BW28" i="20"/>
  <c r="BX28" i="20"/>
  <c r="BY28" i="20"/>
  <c r="CA28" i="20"/>
  <c r="CC28" i="20"/>
  <c r="CE28" i="20"/>
  <c r="CF28" i="20"/>
  <c r="CG28" i="20"/>
  <c r="CI28" i="20"/>
  <c r="CK28" i="20"/>
  <c r="CM28" i="20"/>
  <c r="CN28" i="20"/>
  <c r="CO28" i="20"/>
  <c r="CP28" i="20"/>
  <c r="CR28" i="20"/>
  <c r="CT28" i="20"/>
  <c r="CV28" i="20"/>
  <c r="CW28" i="20"/>
  <c r="CX28" i="20"/>
  <c r="CZ28" i="20"/>
  <c r="DB28" i="20"/>
  <c r="DD28" i="20"/>
  <c r="DE28" i="20"/>
  <c r="DF28" i="20"/>
  <c r="DM28" i="20"/>
  <c r="DN28" i="20"/>
  <c r="DU28" i="20"/>
  <c r="DV28" i="20"/>
  <c r="DW28" i="20"/>
  <c r="DX28" i="20"/>
  <c r="DY28" i="20"/>
  <c r="DZ28" i="20"/>
  <c r="EA28" i="20"/>
  <c r="EB28" i="20"/>
  <c r="EC28" i="20"/>
  <c r="ED28" i="20"/>
  <c r="EE28" i="20"/>
  <c r="EF28" i="20"/>
  <c r="EG28" i="20"/>
  <c r="EH28" i="20"/>
  <c r="EI28" i="20"/>
  <c r="EJ28" i="20"/>
  <c r="EK28" i="20"/>
  <c r="EL28" i="20"/>
  <c r="EM28" i="20"/>
  <c r="EN28" i="20"/>
  <c r="EO28" i="20"/>
  <c r="EP28" i="20"/>
  <c r="EQ28" i="20"/>
  <c r="ER28" i="20"/>
  <c r="ES28" i="20"/>
  <c r="ET28" i="20"/>
  <c r="EU28" i="20"/>
  <c r="EV28" i="20"/>
  <c r="EW28" i="20"/>
  <c r="EX28" i="20"/>
  <c r="EY28" i="20"/>
  <c r="EZ28" i="20"/>
  <c r="FA28" i="20"/>
  <c r="FB28" i="20"/>
  <c r="FC28" i="20"/>
  <c r="FD28" i="20"/>
  <c r="FE28" i="20"/>
  <c r="FF28" i="20"/>
  <c r="FH28" i="20"/>
  <c r="FJ28" i="20"/>
  <c r="FL28" i="20"/>
  <c r="FM28" i="20"/>
  <c r="FN28" i="20"/>
  <c r="FP28" i="20"/>
  <c r="FR28" i="20"/>
  <c r="FT28" i="20"/>
  <c r="FU28" i="20"/>
  <c r="FV28" i="20"/>
  <c r="FW28" i="20"/>
  <c r="FY28" i="20"/>
  <c r="GA28" i="20"/>
  <c r="GC28" i="20"/>
  <c r="GD28" i="20"/>
  <c r="GE28" i="20"/>
  <c r="GG28" i="20"/>
  <c r="GI28" i="20"/>
  <c r="GJ28" i="20"/>
  <c r="GK28" i="20"/>
  <c r="GL28" i="20"/>
  <c r="GM28" i="20"/>
  <c r="GN28" i="20"/>
  <c r="GP28" i="20"/>
  <c r="GR28" i="20"/>
  <c r="GT28" i="20"/>
  <c r="GU28" i="20"/>
  <c r="GV28" i="20"/>
  <c r="GX28" i="20"/>
  <c r="GZ28" i="20"/>
  <c r="HB28" i="20"/>
  <c r="HC28" i="20"/>
  <c r="HD28" i="20"/>
  <c r="HE28" i="20"/>
  <c r="HG28" i="20"/>
  <c r="HI28" i="20"/>
  <c r="HK28" i="20"/>
  <c r="HL28" i="20"/>
  <c r="HM28" i="20"/>
  <c r="HO28" i="20"/>
  <c r="HQ28" i="20"/>
  <c r="HR28" i="20"/>
  <c r="HS28" i="20"/>
  <c r="HT28" i="20"/>
  <c r="HU28" i="20"/>
  <c r="IB28" i="20"/>
  <c r="IC28" i="20"/>
  <c r="IJ28" i="20"/>
  <c r="IK28" i="20"/>
  <c r="IL28" i="20"/>
  <c r="IM28" i="20"/>
  <c r="IN28" i="20"/>
  <c r="IO28" i="20"/>
  <c r="IP28" i="20"/>
  <c r="IQ28" i="20"/>
  <c r="IR28" i="20"/>
  <c r="IS28" i="20"/>
  <c r="IT28" i="20"/>
  <c r="IU28" i="20"/>
  <c r="IV28" i="20"/>
  <c r="A29" i="20"/>
  <c r="B29" i="20"/>
  <c r="C29" i="20"/>
  <c r="D29" i="20"/>
  <c r="E29" i="20"/>
  <c r="F29" i="20"/>
  <c r="G29" i="20"/>
  <c r="H29" i="20"/>
  <c r="I29" i="20"/>
  <c r="J29" i="20"/>
  <c r="K29" i="20"/>
  <c r="L29" i="20"/>
  <c r="M29" i="20"/>
  <c r="N29" i="20"/>
  <c r="O29" i="20"/>
  <c r="P29" i="20"/>
  <c r="Q29" i="20"/>
  <c r="R29" i="20"/>
  <c r="S29" i="20"/>
  <c r="T29" i="20"/>
  <c r="U29" i="20"/>
  <c r="V29" i="20"/>
  <c r="W29" i="20"/>
  <c r="X29" i="20"/>
  <c r="Y29" i="20"/>
  <c r="AA29" i="20"/>
  <c r="AC29" i="20"/>
  <c r="AE29" i="20"/>
  <c r="AF29" i="20"/>
  <c r="AG29" i="20"/>
  <c r="AI29" i="20"/>
  <c r="AK29" i="20"/>
  <c r="AM29" i="20"/>
  <c r="AN29" i="20"/>
  <c r="AO29" i="20"/>
  <c r="AP29" i="20"/>
  <c r="AR29" i="20"/>
  <c r="AT29" i="20"/>
  <c r="AV29" i="20"/>
  <c r="AW29" i="20"/>
  <c r="AX29" i="20"/>
  <c r="AZ29" i="20"/>
  <c r="BB29" i="20"/>
  <c r="BD29" i="20"/>
  <c r="BE29" i="20"/>
  <c r="BF29" i="20"/>
  <c r="BG29" i="20"/>
  <c r="BI29" i="20"/>
  <c r="BK29" i="20"/>
  <c r="BM29" i="20"/>
  <c r="BN29" i="20"/>
  <c r="BO29" i="20"/>
  <c r="BQ29" i="20"/>
  <c r="BS29" i="20"/>
  <c r="BU29" i="20"/>
  <c r="BV29" i="20"/>
  <c r="BW29" i="20"/>
  <c r="CD29" i="20"/>
  <c r="CE29" i="20"/>
  <c r="CL29" i="20"/>
  <c r="CM29" i="20"/>
  <c r="CN29" i="20"/>
  <c r="CO29" i="20"/>
  <c r="CP29" i="20"/>
  <c r="CQ29" i="20"/>
  <c r="CR29" i="20"/>
  <c r="CS29" i="20"/>
  <c r="CT29" i="20"/>
  <c r="CU29" i="20"/>
  <c r="CV29" i="20"/>
  <c r="CW29" i="20"/>
  <c r="CX29" i="20"/>
  <c r="CY29" i="20"/>
  <c r="CZ29" i="20"/>
  <c r="DA29" i="20"/>
  <c r="DB29" i="20"/>
  <c r="DC29" i="20"/>
  <c r="DD29" i="20"/>
  <c r="DE29" i="20"/>
  <c r="DF29" i="20"/>
  <c r="DG29" i="20"/>
  <c r="DH29" i="20"/>
  <c r="DI29" i="20"/>
  <c r="DJ29" i="20"/>
  <c r="DK29" i="20"/>
  <c r="DL29" i="20"/>
  <c r="DM29" i="20"/>
  <c r="DN29" i="20"/>
  <c r="DO29" i="20"/>
  <c r="DP29" i="20"/>
  <c r="DQ29" i="20"/>
  <c r="DR29" i="20"/>
  <c r="DS29" i="20"/>
  <c r="DT29" i="20"/>
  <c r="DU29" i="20"/>
  <c r="DV29" i="20"/>
  <c r="DW29" i="20"/>
  <c r="DY29" i="20"/>
  <c r="EA29" i="20"/>
  <c r="EC29" i="20"/>
  <c r="ED29" i="20"/>
  <c r="EE29" i="20"/>
  <c r="EG29" i="20"/>
  <c r="EI29" i="20"/>
  <c r="EK29" i="20"/>
  <c r="EL29" i="20"/>
  <c r="EM29" i="20"/>
  <c r="EN29" i="20"/>
  <c r="EP29" i="20"/>
  <c r="ER29" i="20"/>
  <c r="ET29" i="20"/>
  <c r="EU29" i="20"/>
  <c r="EV29" i="20"/>
  <c r="EX29" i="20"/>
  <c r="EZ29" i="20"/>
  <c r="FB29" i="20"/>
  <c r="FC29" i="20"/>
  <c r="FD29" i="20"/>
  <c r="FE29" i="20"/>
  <c r="FF29" i="20"/>
  <c r="FG29" i="20"/>
  <c r="FH29" i="20"/>
  <c r="FI29" i="20"/>
  <c r="FJ29" i="20"/>
  <c r="FK29" i="20"/>
  <c r="FL29" i="20"/>
  <c r="FM29" i="20"/>
  <c r="FN29" i="20"/>
  <c r="FO29" i="20"/>
  <c r="FP29" i="20"/>
  <c r="FQ29" i="20"/>
  <c r="FR29" i="20"/>
  <c r="FS29" i="20"/>
  <c r="FT29" i="20"/>
  <c r="FU29" i="20"/>
  <c r="GB29" i="20"/>
  <c r="GC29" i="20"/>
  <c r="GJ29" i="20"/>
  <c r="GK29" i="20"/>
  <c r="GL29" i="20"/>
  <c r="GM29" i="20"/>
  <c r="GN29" i="20"/>
  <c r="GO29" i="20"/>
  <c r="GP29" i="20"/>
  <c r="GQ29" i="20"/>
  <c r="GR29" i="20"/>
  <c r="GS29" i="20"/>
  <c r="GT29" i="20"/>
  <c r="GU29" i="20"/>
  <c r="GV29" i="20"/>
  <c r="GW29" i="20"/>
  <c r="GX29" i="20"/>
  <c r="GY29" i="20"/>
  <c r="GZ29" i="20"/>
  <c r="HA29" i="20"/>
  <c r="HB29" i="20"/>
  <c r="HC29" i="20"/>
  <c r="HD29" i="20"/>
  <c r="HF29" i="20"/>
  <c r="HH29" i="20"/>
  <c r="HJ29" i="20"/>
  <c r="HK29" i="20"/>
  <c r="HL29" i="20"/>
  <c r="HN29" i="20"/>
  <c r="HP29" i="20"/>
  <c r="HR29" i="20"/>
  <c r="HS29" i="20"/>
  <c r="HT29" i="20"/>
  <c r="HU29" i="20"/>
  <c r="HV29" i="20"/>
  <c r="HW29" i="20"/>
  <c r="HX29" i="20"/>
  <c r="HY29" i="20"/>
  <c r="HZ29" i="20"/>
  <c r="IA29" i="20"/>
  <c r="IB29" i="20"/>
  <c r="IC29" i="20"/>
  <c r="ID29" i="20"/>
  <c r="IE29" i="20"/>
  <c r="IF29" i="20"/>
  <c r="IG29" i="20"/>
  <c r="IH29" i="20"/>
  <c r="II29" i="20"/>
  <c r="IJ29" i="20"/>
  <c r="IK29" i="20"/>
  <c r="IL29" i="20"/>
  <c r="IN29" i="20"/>
  <c r="IP29" i="20"/>
  <c r="IR29" i="20"/>
  <c r="IS29" i="20"/>
  <c r="IT29" i="20"/>
  <c r="IV29" i="20"/>
  <c r="B30" i="20"/>
  <c r="D39" i="10"/>
  <c r="D30" i="20" s="1"/>
  <c r="E30" i="20"/>
  <c r="F30" i="20"/>
  <c r="G30" i="20"/>
  <c r="H30" i="20"/>
  <c r="I30" i="20"/>
  <c r="K30" i="20"/>
  <c r="M30" i="20"/>
  <c r="N30" i="20"/>
  <c r="O30" i="20"/>
  <c r="Q30" i="20"/>
  <c r="S30" i="20"/>
  <c r="U30" i="20"/>
  <c r="V30" i="20"/>
  <c r="W30" i="20"/>
  <c r="AD30" i="20"/>
  <c r="AE30" i="20"/>
  <c r="AL30" i="20"/>
  <c r="AM30" i="20"/>
  <c r="AN30" i="20"/>
  <c r="AO30" i="20"/>
  <c r="AP30" i="20"/>
  <c r="AQ30" i="20"/>
  <c r="AR30" i="20"/>
  <c r="AS30" i="20"/>
  <c r="AT30" i="20"/>
  <c r="AU30" i="20"/>
  <c r="AV30" i="20"/>
  <c r="AW30" i="20"/>
  <c r="AX30" i="20"/>
  <c r="AY30" i="20"/>
  <c r="AZ30" i="20"/>
  <c r="BA30" i="20"/>
  <c r="BB30" i="20"/>
  <c r="BC30" i="20"/>
  <c r="BD30" i="20"/>
  <c r="BE30" i="20"/>
  <c r="BF30" i="20"/>
  <c r="BH30" i="20"/>
  <c r="BJ30" i="20"/>
  <c r="BL30" i="20"/>
  <c r="BM30" i="20"/>
  <c r="BN30" i="20"/>
  <c r="BP30" i="20"/>
  <c r="BR30" i="20"/>
  <c r="BT30" i="20"/>
  <c r="BU30" i="20"/>
  <c r="BV30" i="20"/>
  <c r="BW30" i="20"/>
  <c r="BY30" i="20"/>
  <c r="CA30" i="20"/>
  <c r="CC30" i="20"/>
  <c r="CD30" i="20"/>
  <c r="CE30" i="20"/>
  <c r="CG30" i="20"/>
  <c r="CI30" i="20"/>
  <c r="CK30" i="20"/>
  <c r="CL30" i="20"/>
  <c r="CM30" i="20"/>
  <c r="CT30" i="20"/>
  <c r="CU30" i="20"/>
  <c r="DB30" i="20"/>
  <c r="DC30" i="20"/>
  <c r="DD30" i="20"/>
  <c r="D30" i="10"/>
  <c r="DF30" i="20"/>
  <c r="F30" i="10"/>
  <c r="DG30" i="20" s="1"/>
  <c r="DH30" i="20"/>
  <c r="H30" i="10"/>
  <c r="DI30" i="20" s="1"/>
  <c r="DJ30" i="20"/>
  <c r="DK30" i="20"/>
  <c r="DL30" i="20"/>
  <c r="J30" i="10"/>
  <c r="DN30" i="20"/>
  <c r="L30" i="10"/>
  <c r="DO30" i="20" s="1"/>
  <c r="DP30" i="20"/>
  <c r="N30" i="10"/>
  <c r="DQ30" i="20" s="1"/>
  <c r="DR30" i="20"/>
  <c r="DS30" i="20"/>
  <c r="DT30" i="20"/>
  <c r="DU30" i="20"/>
  <c r="DV30" i="20"/>
  <c r="DW30" i="20"/>
  <c r="DX30" i="20"/>
  <c r="DY30" i="20"/>
  <c r="DZ30" i="20"/>
  <c r="EA30" i="20"/>
  <c r="EB30" i="20"/>
  <c r="EC30" i="20"/>
  <c r="ED30" i="20"/>
  <c r="EE30" i="20"/>
  <c r="EF30" i="20"/>
  <c r="EG30" i="20"/>
  <c r="EH30" i="20"/>
  <c r="EI30" i="20"/>
  <c r="EJ30" i="20"/>
  <c r="EK30" i="20"/>
  <c r="EL30" i="20"/>
  <c r="EM30" i="20"/>
  <c r="EN30" i="20"/>
  <c r="EO30" i="20"/>
  <c r="EP30" i="20"/>
  <c r="EQ30" i="20"/>
  <c r="ER30" i="20"/>
  <c r="ES30" i="20"/>
  <c r="FE30" i="20"/>
  <c r="FF30" i="20"/>
  <c r="FG30" i="20"/>
  <c r="FH30" i="20"/>
  <c r="FI30" i="20"/>
  <c r="FJ30" i="20"/>
  <c r="FK30" i="20"/>
  <c r="FL30" i="20"/>
  <c r="FM30" i="20"/>
  <c r="FN30" i="20"/>
  <c r="FO30" i="20"/>
  <c r="FP30" i="20"/>
  <c r="FQ30" i="20"/>
  <c r="FR30" i="20"/>
  <c r="FS30" i="20"/>
  <c r="FT30" i="20"/>
  <c r="FU30" i="20"/>
  <c r="FV30" i="20"/>
  <c r="FW30" i="20"/>
  <c r="FX30" i="20"/>
  <c r="FY30" i="20"/>
  <c r="FZ30" i="20"/>
  <c r="GA30" i="20"/>
  <c r="GB30" i="20"/>
  <c r="GC30" i="20"/>
  <c r="GD30" i="20"/>
  <c r="GE30" i="20"/>
  <c r="GF30" i="20"/>
  <c r="GG30" i="20"/>
  <c r="GH30" i="20"/>
  <c r="GJ30" i="20"/>
  <c r="GL30" i="20"/>
  <c r="GN30" i="20"/>
  <c r="GP30" i="20"/>
  <c r="GR30" i="20"/>
  <c r="GS30" i="20"/>
  <c r="GT30" i="20"/>
  <c r="GU30" i="20"/>
  <c r="GW30" i="20"/>
  <c r="GY30" i="20"/>
  <c r="HA30" i="20"/>
  <c r="HC30" i="20"/>
  <c r="HE30" i="20"/>
  <c r="HF30" i="20"/>
  <c r="HG30" i="20"/>
  <c r="HH30" i="20"/>
  <c r="HJ30" i="20"/>
  <c r="HL30" i="20"/>
  <c r="HN30" i="20"/>
  <c r="HP30" i="20"/>
  <c r="HR30" i="20"/>
  <c r="HS30" i="20"/>
  <c r="HT30" i="20"/>
  <c r="HU30" i="20"/>
  <c r="HW30" i="20"/>
  <c r="HY30" i="20"/>
  <c r="IA30" i="20"/>
  <c r="IC30" i="20"/>
  <c r="ID30" i="20"/>
  <c r="IE30" i="20"/>
  <c r="IF30" i="20"/>
  <c r="IG30" i="20"/>
  <c r="IR30" i="20"/>
  <c r="IS30" i="20"/>
  <c r="IT30" i="20"/>
  <c r="IU30" i="20"/>
  <c r="IV30" i="20"/>
  <c r="A31" i="20"/>
  <c r="B31" i="20"/>
  <c r="C31" i="20"/>
  <c r="D31" i="20"/>
  <c r="E31" i="20"/>
  <c r="F31" i="20"/>
  <c r="G31" i="20"/>
  <c r="H31" i="20"/>
  <c r="I31" i="20"/>
  <c r="J31" i="20"/>
  <c r="K31" i="20"/>
  <c r="L31" i="20"/>
  <c r="M31" i="20"/>
  <c r="N31" i="20"/>
  <c r="O31" i="20"/>
  <c r="P31" i="20"/>
  <c r="Q31" i="20"/>
  <c r="R31" i="20"/>
  <c r="S31" i="20"/>
  <c r="T31" i="20"/>
  <c r="U31" i="20"/>
  <c r="V31" i="20"/>
  <c r="W31" i="20"/>
  <c r="X31" i="20"/>
  <c r="Y31" i="20"/>
  <c r="AA31" i="20"/>
  <c r="AC31" i="20"/>
  <c r="AE31" i="20"/>
  <c r="AG31" i="20"/>
  <c r="AI31" i="20"/>
  <c r="AJ31" i="20"/>
  <c r="AK31" i="20"/>
  <c r="AL31" i="20"/>
  <c r="AN31" i="20"/>
  <c r="AP31" i="20"/>
  <c r="AR31" i="20"/>
  <c r="AT31" i="20"/>
  <c r="AV31" i="20"/>
  <c r="AW31" i="20"/>
  <c r="AX31" i="20"/>
  <c r="AY31" i="20"/>
  <c r="BA31" i="20"/>
  <c r="BC31" i="20"/>
  <c r="BE31" i="20"/>
  <c r="BG31" i="20"/>
  <c r="BI31" i="20"/>
  <c r="BJ31" i="20"/>
  <c r="BK31" i="20"/>
  <c r="BV31" i="20"/>
  <c r="BW31" i="20"/>
  <c r="BX31" i="20"/>
  <c r="BY31" i="20"/>
  <c r="BZ31" i="20"/>
  <c r="CA31" i="20"/>
  <c r="CB31" i="20"/>
  <c r="CC31" i="20"/>
  <c r="CD31" i="20"/>
  <c r="CE31" i="20"/>
  <c r="CF31" i="20"/>
  <c r="CG31" i="20"/>
  <c r="CH31" i="20"/>
  <c r="CI31" i="20"/>
  <c r="CJ31" i="20"/>
  <c r="CK31" i="20"/>
  <c r="CL31" i="20"/>
  <c r="CN31" i="20"/>
  <c r="CP31" i="20"/>
  <c r="CR31" i="20"/>
  <c r="CT31" i="20"/>
  <c r="CV31" i="20"/>
  <c r="CW31" i="20"/>
  <c r="CX31" i="20"/>
  <c r="CY31" i="20"/>
  <c r="DA31" i="20"/>
  <c r="DC31" i="20"/>
  <c r="DE31" i="20"/>
  <c r="DG31" i="20"/>
  <c r="DI31" i="20"/>
  <c r="DJ31" i="20"/>
  <c r="DK31" i="20"/>
  <c r="DL31" i="20"/>
  <c r="DN31" i="20"/>
  <c r="DP31" i="20"/>
  <c r="DR31" i="20"/>
  <c r="DT31" i="20"/>
  <c r="DV31" i="20"/>
  <c r="DW31" i="20"/>
  <c r="DX31" i="20"/>
  <c r="DY31" i="20"/>
  <c r="EA31" i="20"/>
  <c r="EC31" i="20"/>
  <c r="EE31" i="20"/>
  <c r="EG31" i="20"/>
  <c r="EI31" i="20"/>
  <c r="EJ31" i="20"/>
  <c r="EK31" i="20"/>
  <c r="EV31" i="20"/>
  <c r="EW31" i="20"/>
  <c r="EX31" i="20"/>
  <c r="EY31" i="20"/>
  <c r="EZ31" i="20"/>
  <c r="FA31" i="20"/>
  <c r="FB31" i="20"/>
  <c r="FC31" i="20"/>
  <c r="FD31" i="20"/>
  <c r="FE31" i="20"/>
  <c r="FF31" i="20"/>
  <c r="FG31" i="20"/>
  <c r="FH31" i="20"/>
  <c r="FI31" i="20"/>
  <c r="FJ31" i="20"/>
  <c r="FK31" i="20"/>
  <c r="FL31" i="20"/>
  <c r="FN31" i="20"/>
  <c r="FP31" i="20"/>
  <c r="FR31" i="20"/>
  <c r="FT31" i="20"/>
  <c r="FV31" i="20"/>
  <c r="FW31" i="20"/>
  <c r="FX31" i="20"/>
  <c r="FY31" i="20"/>
  <c r="GA31" i="20"/>
  <c r="GC31" i="20"/>
  <c r="GE31" i="20"/>
  <c r="GG31" i="20"/>
  <c r="GH31" i="20"/>
  <c r="GI31" i="20"/>
  <c r="GJ31" i="20"/>
  <c r="GK31" i="20"/>
  <c r="GL31" i="20"/>
  <c r="GM31" i="20"/>
  <c r="GN31" i="20"/>
  <c r="GO31" i="20"/>
  <c r="GP31" i="20"/>
  <c r="GQ31" i="20"/>
  <c r="GR31" i="20"/>
  <c r="GS31" i="20"/>
  <c r="GT31" i="20"/>
  <c r="GU31" i="20"/>
  <c r="GV31" i="20"/>
  <c r="GW31" i="20"/>
  <c r="GX31" i="20"/>
  <c r="HI31" i="20"/>
  <c r="HJ31" i="20"/>
  <c r="HK31" i="20"/>
  <c r="HL31" i="20"/>
  <c r="HM31" i="20"/>
  <c r="HN31" i="20"/>
  <c r="HO31" i="20"/>
  <c r="HP31" i="20"/>
  <c r="HQ31" i="20"/>
  <c r="HR31" i="20"/>
  <c r="HS31" i="20"/>
  <c r="HT31" i="20"/>
  <c r="HU31" i="20"/>
  <c r="HV31" i="20"/>
  <c r="HW31" i="20"/>
  <c r="HX31" i="20"/>
  <c r="HY31" i="20"/>
  <c r="IA31" i="20"/>
  <c r="IC31" i="20"/>
  <c r="IE31" i="20"/>
  <c r="IG31" i="20"/>
  <c r="II31" i="20"/>
  <c r="IJ31" i="20"/>
  <c r="IK31" i="20"/>
  <c r="IL31" i="20"/>
  <c r="IN31" i="20"/>
  <c r="IP31" i="20"/>
  <c r="IR31" i="20"/>
  <c r="IT31" i="20"/>
  <c r="IV31" i="20"/>
  <c r="A32" i="20"/>
  <c r="B32" i="20"/>
  <c r="C32" i="20"/>
  <c r="E32" i="20"/>
  <c r="G32" i="20"/>
  <c r="I32" i="20"/>
  <c r="K32" i="20"/>
  <c r="M32" i="20"/>
  <c r="N32" i="20"/>
  <c r="O32" i="20"/>
  <c r="Z32" i="20"/>
  <c r="AA32" i="20"/>
  <c r="AB32" i="20"/>
  <c r="AC32" i="20"/>
  <c r="AD32" i="20"/>
  <c r="AE32" i="20"/>
  <c r="AF32" i="20"/>
  <c r="AG32" i="20"/>
  <c r="AH32" i="20"/>
  <c r="AI32" i="20"/>
  <c r="AJ32" i="20"/>
  <c r="AK32" i="20"/>
  <c r="AL32" i="20"/>
  <c r="AM32" i="20"/>
  <c r="AN32" i="20"/>
  <c r="AO32" i="20"/>
  <c r="AP32" i="20"/>
  <c r="AR32" i="20"/>
  <c r="AT32" i="20"/>
  <c r="AV32" i="20"/>
  <c r="AX32" i="20"/>
  <c r="AZ32" i="20"/>
  <c r="BA32" i="20"/>
  <c r="BB32" i="20"/>
  <c r="BC32" i="20"/>
  <c r="BD32" i="20"/>
  <c r="BE32" i="20"/>
  <c r="BF32" i="20"/>
  <c r="BG32" i="20"/>
  <c r="BH32" i="20"/>
  <c r="BI32" i="20"/>
  <c r="BJ32" i="20"/>
  <c r="BK32" i="20"/>
  <c r="BL32" i="20"/>
  <c r="BM32" i="20"/>
  <c r="BN32" i="20"/>
  <c r="BO32" i="20"/>
  <c r="BP32" i="20"/>
  <c r="BR32" i="20"/>
  <c r="BT32" i="20"/>
  <c r="BV32" i="20"/>
  <c r="BX32" i="20"/>
  <c r="BY32" i="20"/>
  <c r="BZ32" i="20"/>
  <c r="CA32" i="20"/>
  <c r="CB32" i="20"/>
  <c r="CC32" i="20"/>
  <c r="CE32" i="20"/>
  <c r="CG32" i="20"/>
  <c r="CI32" i="20"/>
  <c r="CK32" i="20"/>
  <c r="CM32" i="20"/>
  <c r="CN32" i="20"/>
  <c r="CO32" i="20"/>
  <c r="CP32" i="20"/>
  <c r="CR32" i="20"/>
  <c r="CT32" i="20"/>
  <c r="CV32" i="20"/>
  <c r="CX32" i="20"/>
  <c r="CY32" i="20"/>
  <c r="CZ32" i="20"/>
  <c r="DA32" i="20"/>
  <c r="DB32" i="20"/>
  <c r="DM32" i="20"/>
  <c r="DN32" i="20"/>
  <c r="DO32" i="20"/>
  <c r="DP32" i="20"/>
  <c r="DQ32" i="20"/>
  <c r="DR32" i="20"/>
  <c r="DS32" i="20"/>
  <c r="DT32" i="20"/>
  <c r="DU32" i="20"/>
  <c r="DV32" i="20"/>
  <c r="DW32" i="20"/>
  <c r="DX32" i="20"/>
  <c r="DY32" i="20"/>
  <c r="DZ32" i="20"/>
  <c r="EA32" i="20"/>
  <c r="EB32" i="20"/>
  <c r="EC32" i="20"/>
  <c r="EE32" i="20"/>
  <c r="EG32" i="20"/>
  <c r="EI32" i="20"/>
  <c r="EK32" i="20"/>
  <c r="EM32" i="20"/>
  <c r="EN32" i="20"/>
  <c r="EO32" i="20"/>
  <c r="EP32" i="20"/>
  <c r="ER32" i="20"/>
  <c r="ET32" i="20"/>
  <c r="EV32" i="20"/>
  <c r="EX32" i="20"/>
  <c r="EY32" i="20"/>
  <c r="EZ32" i="20"/>
  <c r="FA32" i="20"/>
  <c r="FB32" i="20"/>
  <c r="FC32" i="20"/>
  <c r="FE32" i="20"/>
  <c r="FG32" i="20"/>
  <c r="FI32" i="20"/>
  <c r="FK32" i="20"/>
  <c r="FM32" i="20"/>
  <c r="FN32" i="20"/>
  <c r="FO32" i="20"/>
  <c r="FZ32" i="20"/>
  <c r="GA32" i="20"/>
  <c r="GB32" i="20"/>
  <c r="GC32" i="20"/>
  <c r="GD32" i="20"/>
  <c r="GE32" i="20"/>
  <c r="GF32" i="20"/>
  <c r="GG32" i="20"/>
  <c r="GH32" i="20"/>
  <c r="GI32" i="20"/>
  <c r="GJ32" i="20"/>
  <c r="GK32" i="20"/>
  <c r="GL32" i="20"/>
  <c r="GM32" i="20"/>
  <c r="GN32" i="20"/>
  <c r="GO32" i="20"/>
  <c r="GP32" i="20"/>
  <c r="GR32" i="20"/>
  <c r="GT32" i="20"/>
  <c r="GV32" i="20"/>
  <c r="GX32" i="20"/>
  <c r="GY32" i="20"/>
  <c r="GZ32" i="20"/>
  <c r="HA32" i="20"/>
  <c r="HB32" i="20"/>
  <c r="HC32" i="20"/>
  <c r="HE32" i="20"/>
  <c r="HG32" i="20"/>
  <c r="HI32" i="20"/>
  <c r="HK32" i="20"/>
  <c r="HM32" i="20"/>
  <c r="HN32" i="20"/>
  <c r="HO32" i="20"/>
  <c r="HZ32" i="20"/>
  <c r="IA32" i="20"/>
  <c r="IB32" i="20"/>
  <c r="D37" i="11"/>
  <c r="AQ32" i="20" s="1"/>
  <c r="D32" i="11"/>
  <c r="ID32" i="20"/>
  <c r="F37" i="11"/>
  <c r="AS32" i="20" s="1"/>
  <c r="F32" i="11"/>
  <c r="IF32" i="20"/>
  <c r="H37" i="11"/>
  <c r="AU32" i="20" s="1"/>
  <c r="H32" i="11"/>
  <c r="IG32" i="20" s="1"/>
  <c r="IH32" i="20"/>
  <c r="J37" i="11"/>
  <c r="AW32" i="20" s="1"/>
  <c r="J32" i="11"/>
  <c r="II32" i="20" s="1"/>
  <c r="IJ32" i="20"/>
  <c r="L37" i="11"/>
  <c r="AY32" i="20" s="1"/>
  <c r="L32" i="11"/>
  <c r="IL32" i="20"/>
  <c r="IM32" i="20"/>
  <c r="IN32" i="20"/>
  <c r="IO32" i="20"/>
  <c r="IP32" i="20"/>
  <c r="IQ32" i="20"/>
  <c r="IR32" i="20"/>
  <c r="IS32" i="20"/>
  <c r="IT32" i="20"/>
  <c r="IU32" i="20"/>
  <c r="IV32" i="20"/>
  <c r="A33" i="20"/>
  <c r="B33" i="20"/>
  <c r="C33" i="20"/>
  <c r="D33" i="20"/>
  <c r="E33" i="20"/>
  <c r="F33" i="20"/>
  <c r="G33" i="20"/>
  <c r="H33" i="20"/>
  <c r="I33" i="20"/>
  <c r="J33" i="20"/>
  <c r="K33" i="20"/>
  <c r="L33" i="20"/>
  <c r="M33" i="20"/>
  <c r="N33" i="20"/>
  <c r="O33" i="20"/>
  <c r="P33" i="20"/>
  <c r="Q33" i="20"/>
  <c r="AC33" i="20"/>
  <c r="AD33" i="20"/>
  <c r="AE33" i="20"/>
  <c r="AF33" i="20"/>
  <c r="AG33" i="20"/>
  <c r="AH33" i="20"/>
  <c r="AI33" i="20"/>
  <c r="AJ33" i="20"/>
  <c r="AK33" i="20"/>
  <c r="AL33" i="20"/>
  <c r="AM33" i="20"/>
  <c r="AN33" i="20"/>
  <c r="AO33" i="20"/>
  <c r="AP33" i="20"/>
  <c r="AQ33" i="20"/>
  <c r="AR33" i="20"/>
  <c r="AS33" i="20"/>
  <c r="AU33" i="20"/>
  <c r="AW33" i="20"/>
  <c r="AY33" i="20"/>
  <c r="BA33" i="20"/>
  <c r="BC33" i="20"/>
  <c r="BD33" i="20"/>
  <c r="BE33" i="20"/>
  <c r="BF33" i="20"/>
  <c r="BH33" i="20"/>
  <c r="BJ33" i="20"/>
  <c r="BL33" i="20"/>
  <c r="BN33" i="20"/>
  <c r="BP33" i="20"/>
  <c r="BQ33" i="20"/>
  <c r="BR33" i="20"/>
  <c r="BS33" i="20"/>
  <c r="BU33" i="20"/>
  <c r="BW33" i="20"/>
  <c r="BY33" i="20"/>
  <c r="CA33" i="20"/>
  <c r="CB33" i="20"/>
  <c r="CC33" i="20"/>
  <c r="CD33" i="20"/>
  <c r="CE33" i="20"/>
  <c r="CF33" i="20"/>
  <c r="CH33" i="20"/>
  <c r="CJ33" i="20"/>
  <c r="CL33" i="20"/>
  <c r="CN33" i="20"/>
  <c r="CP33" i="20"/>
  <c r="CQ33" i="20"/>
  <c r="CR33" i="20"/>
  <c r="CS33" i="20"/>
  <c r="CU33" i="20"/>
  <c r="CW33" i="20"/>
  <c r="CY33" i="20"/>
  <c r="DA33" i="20"/>
  <c r="DC33" i="20"/>
  <c r="DD33" i="20"/>
  <c r="DE33" i="20"/>
  <c r="DF33" i="20"/>
  <c r="DH33" i="20"/>
  <c r="DJ33" i="20"/>
  <c r="DL33" i="20"/>
  <c r="DN33" i="20"/>
  <c r="DP33" i="20"/>
  <c r="DQ33" i="20"/>
  <c r="DR33" i="20"/>
  <c r="EC33" i="20"/>
  <c r="ED33" i="20"/>
  <c r="EE33" i="20"/>
  <c r="EF33" i="20"/>
  <c r="EG33" i="20"/>
  <c r="EH33" i="20"/>
  <c r="EI33" i="20"/>
  <c r="EJ33" i="20"/>
  <c r="EK33" i="20"/>
  <c r="EL33" i="20"/>
  <c r="EM33" i="20"/>
  <c r="EN33" i="20"/>
  <c r="EO33" i="20"/>
  <c r="EP33" i="20"/>
  <c r="EQ33" i="20"/>
  <c r="ER33" i="20"/>
  <c r="ES33" i="20"/>
  <c r="ET33" i="20"/>
  <c r="EU33" i="20"/>
  <c r="EV33" i="20"/>
  <c r="EW33" i="20"/>
  <c r="EX33" i="20"/>
  <c r="EY33" i="20"/>
  <c r="EZ33" i="20"/>
  <c r="FA33" i="20"/>
  <c r="FB33" i="20"/>
  <c r="FC33" i="20"/>
  <c r="FD33" i="20"/>
  <c r="FE33" i="20"/>
  <c r="FF33" i="20"/>
  <c r="FG33" i="20"/>
  <c r="FH33" i="20"/>
  <c r="FI33" i="20"/>
  <c r="FJ33" i="20"/>
  <c r="FK33" i="20"/>
  <c r="FL33" i="20"/>
  <c r="FM33" i="20"/>
  <c r="FN33" i="20"/>
  <c r="FO33" i="20"/>
  <c r="FP33" i="20"/>
  <c r="FQ33" i="20"/>
  <c r="FR33" i="20"/>
  <c r="FS33" i="20"/>
  <c r="FU33" i="20"/>
  <c r="FW33" i="20"/>
  <c r="FY33" i="20"/>
  <c r="GA33" i="20"/>
  <c r="GC33" i="20"/>
  <c r="GD33" i="20"/>
  <c r="GE33" i="20"/>
  <c r="GF33" i="20"/>
  <c r="GH33" i="20"/>
  <c r="GJ33" i="20"/>
  <c r="GL33" i="20"/>
  <c r="GN33" i="20"/>
  <c r="GO33" i="20"/>
  <c r="GP33" i="20"/>
  <c r="GQ33" i="20"/>
  <c r="GR33" i="20"/>
  <c r="GS33" i="20"/>
  <c r="GU33" i="20"/>
  <c r="GW33" i="20"/>
  <c r="GY33" i="20"/>
  <c r="HA33" i="20"/>
  <c r="HC33" i="20"/>
  <c r="HD33" i="20"/>
  <c r="HE33" i="20"/>
  <c r="HF33" i="20"/>
  <c r="HH33" i="20"/>
  <c r="HJ33" i="20"/>
  <c r="HL33" i="20"/>
  <c r="HN33" i="20"/>
  <c r="HO33" i="20"/>
  <c r="HP33" i="20"/>
  <c r="HQ33" i="20"/>
  <c r="HR33" i="20"/>
  <c r="HS33" i="20"/>
  <c r="HU33" i="20"/>
  <c r="HW33" i="20"/>
  <c r="HY33" i="20"/>
  <c r="IA33" i="20"/>
  <c r="IC33" i="20"/>
  <c r="ID33" i="20"/>
  <c r="IE33" i="20"/>
  <c r="IF33" i="20"/>
  <c r="IG33" i="20"/>
  <c r="IH33" i="20"/>
  <c r="II33" i="20"/>
  <c r="IJ33" i="20"/>
  <c r="IK33" i="20"/>
  <c r="IL33" i="20"/>
  <c r="IM33" i="20"/>
  <c r="IN33" i="20"/>
  <c r="IO33" i="20"/>
  <c r="IP33" i="20"/>
  <c r="IQ33" i="20"/>
  <c r="IR33" i="20"/>
  <c r="IS33" i="20"/>
  <c r="IT33" i="20"/>
  <c r="IU33" i="20"/>
  <c r="IV33" i="20"/>
  <c r="A34" i="20"/>
  <c r="B34" i="20"/>
  <c r="C34" i="20"/>
  <c r="D34" i="20"/>
  <c r="E34" i="20"/>
  <c r="F34" i="20"/>
  <c r="G20" i="12"/>
  <c r="H34" i="20"/>
  <c r="I34" i="20"/>
  <c r="N34" i="20"/>
  <c r="T34" i="20"/>
  <c r="U34" i="20"/>
  <c r="V34" i="20"/>
  <c r="W34" i="20"/>
  <c r="X34" i="20"/>
  <c r="Y34" i="20"/>
  <c r="Z34" i="20"/>
  <c r="AA34" i="20"/>
  <c r="AB34" i="20"/>
  <c r="AC34" i="20"/>
  <c r="AD34" i="20"/>
  <c r="AE34" i="20"/>
  <c r="AF34" i="20"/>
  <c r="AG34" i="20"/>
  <c r="AH34" i="20"/>
  <c r="AI34" i="20"/>
  <c r="AJ34" i="20"/>
  <c r="AK34" i="20"/>
  <c r="AL34" i="20"/>
  <c r="AM34" i="20"/>
  <c r="AN34" i="20"/>
  <c r="AO34" i="20"/>
  <c r="AP34" i="20"/>
  <c r="AQ34" i="20"/>
  <c r="AR34" i="20"/>
  <c r="AS34" i="20"/>
  <c r="AT34" i="20"/>
  <c r="AU34" i="20"/>
  <c r="AV34" i="20"/>
  <c r="AW34" i="20"/>
  <c r="AY34" i="20"/>
  <c r="BA34" i="20"/>
  <c r="BC34" i="20"/>
  <c r="BE34" i="20"/>
  <c r="BG34" i="20"/>
  <c r="BH34" i="20"/>
  <c r="BI34" i="20"/>
  <c r="BJ34" i="20"/>
  <c r="BL34" i="20"/>
  <c r="BN34" i="20"/>
  <c r="BP34" i="20"/>
  <c r="BR34" i="20"/>
  <c r="BT34" i="20"/>
  <c r="BU34" i="20"/>
  <c r="BV34" i="20"/>
  <c r="BW34" i="20"/>
  <c r="BY34" i="20"/>
  <c r="CA34" i="20"/>
  <c r="CC34" i="20"/>
  <c r="CE34" i="20"/>
  <c r="CG34" i="20"/>
  <c r="CH34" i="20"/>
  <c r="CI34" i="20"/>
  <c r="CT34" i="20"/>
  <c r="CU34" i="20"/>
  <c r="CV34" i="20"/>
  <c r="CW34" i="20"/>
  <c r="CX34" i="20"/>
  <c r="CY34" i="20"/>
  <c r="CZ34" i="20"/>
  <c r="DA34" i="20"/>
  <c r="DB34" i="20"/>
  <c r="DC34" i="20"/>
  <c r="DD34" i="20"/>
  <c r="DE34" i="20"/>
  <c r="DF34" i="20"/>
  <c r="DG34" i="20"/>
  <c r="DH34" i="20"/>
  <c r="DI34" i="20"/>
  <c r="DJ34" i="20"/>
  <c r="DK34" i="20"/>
  <c r="DL34" i="20"/>
  <c r="DM34" i="20"/>
  <c r="DN34" i="20"/>
  <c r="DO34" i="20"/>
  <c r="DP34" i="20"/>
  <c r="DQ34" i="20"/>
  <c r="DR34" i="20"/>
  <c r="DS34" i="20"/>
  <c r="DT34" i="20"/>
  <c r="DU34" i="20"/>
  <c r="DV34" i="20"/>
  <c r="DW34" i="20"/>
  <c r="DY34" i="20"/>
  <c r="EA34" i="20"/>
  <c r="EC34" i="20"/>
  <c r="EE34" i="20"/>
  <c r="EG34" i="20"/>
  <c r="EH34" i="20"/>
  <c r="EI34" i="20"/>
  <c r="EJ34" i="20"/>
  <c r="EL34" i="20"/>
  <c r="EN34" i="20"/>
  <c r="EP34" i="20"/>
  <c r="ER34" i="20"/>
  <c r="ET34" i="20"/>
  <c r="EU34" i="20"/>
  <c r="EV34" i="20"/>
  <c r="EW34" i="20"/>
  <c r="EX34" i="20"/>
  <c r="EY34" i="20"/>
  <c r="EZ34" i="20"/>
  <c r="FA34" i="20"/>
  <c r="FB34" i="20"/>
  <c r="FC34" i="20"/>
  <c r="FD34" i="20"/>
  <c r="FE34" i="20"/>
  <c r="FF34" i="20"/>
  <c r="FG34" i="20"/>
  <c r="FH34" i="20"/>
  <c r="FI34" i="20"/>
  <c r="FT34" i="20"/>
  <c r="FU34" i="20"/>
  <c r="FV34" i="20"/>
  <c r="FW34" i="20"/>
  <c r="FX34" i="20"/>
  <c r="FY34" i="20"/>
  <c r="FZ34" i="20"/>
  <c r="GA34" i="20"/>
  <c r="GB34" i="20"/>
  <c r="GC34" i="20"/>
  <c r="GD34" i="20"/>
  <c r="GE34" i="20"/>
  <c r="GF34" i="20"/>
  <c r="GG34" i="20"/>
  <c r="GH34" i="20"/>
  <c r="GI34" i="20"/>
  <c r="GJ34" i="20"/>
  <c r="GL34" i="20"/>
  <c r="GM34" i="20"/>
  <c r="GN34" i="20"/>
  <c r="GP34" i="20"/>
  <c r="GR34" i="20"/>
  <c r="GS34" i="20"/>
  <c r="GT34" i="20"/>
  <c r="GU34" i="20"/>
  <c r="GV34" i="20"/>
  <c r="GW34" i="20"/>
  <c r="GY34" i="20"/>
  <c r="HA34" i="20"/>
  <c r="HC34" i="20"/>
  <c r="HE34" i="20"/>
  <c r="HG34" i="20"/>
  <c r="HH34" i="20"/>
  <c r="HI34" i="20"/>
  <c r="HN34" i="20"/>
  <c r="HR34" i="20"/>
  <c r="HS34" i="20"/>
  <c r="HT34" i="20"/>
  <c r="HU34" i="20"/>
  <c r="C36" i="12"/>
  <c r="HJ34" i="20" s="1"/>
  <c r="HV34" i="20"/>
  <c r="I36" i="12"/>
  <c r="HP34" i="20" s="1"/>
  <c r="D34" i="12"/>
  <c r="HW34" i="20" s="1"/>
  <c r="E36" i="12"/>
  <c r="HL34" i="20" s="1"/>
  <c r="HX34" i="20"/>
  <c r="F34" i="12"/>
  <c r="HY34" i="20" s="1"/>
  <c r="G36" i="12"/>
  <c r="HZ34" i="20"/>
  <c r="H34" i="12"/>
  <c r="IA34" i="20" s="1"/>
  <c r="IB34" i="20"/>
  <c r="J34" i="12"/>
  <c r="ID34" i="20"/>
  <c r="L34" i="12"/>
  <c r="IE34" i="20" s="1"/>
  <c r="IF34" i="20"/>
  <c r="IG34" i="20"/>
  <c r="IH34" i="20"/>
  <c r="II34" i="20"/>
  <c r="IJ34" i="20"/>
  <c r="IK34" i="20"/>
  <c r="IL34" i="20"/>
  <c r="IM34" i="20"/>
  <c r="IN34" i="20"/>
  <c r="IO34" i="20"/>
  <c r="IP34" i="20"/>
  <c r="IQ34" i="20"/>
  <c r="IR34" i="20"/>
  <c r="IS34" i="20"/>
  <c r="IT34" i="20"/>
  <c r="IU34" i="20"/>
  <c r="IV34" i="20"/>
  <c r="A35" i="20"/>
  <c r="B35" i="20"/>
  <c r="C35" i="20"/>
  <c r="D35" i="20"/>
  <c r="E35" i="20"/>
  <c r="F35" i="20"/>
  <c r="G35" i="20"/>
  <c r="H35" i="20"/>
  <c r="I35" i="20"/>
  <c r="J35" i="20"/>
  <c r="K35" i="20"/>
  <c r="L35" i="20"/>
  <c r="M35" i="20"/>
  <c r="I12" i="13"/>
  <c r="I20" i="13"/>
  <c r="I31" i="13"/>
  <c r="I38" i="13"/>
  <c r="N35" i="20"/>
  <c r="O35" i="20"/>
  <c r="U35" i="20"/>
  <c r="V35" i="20"/>
  <c r="AC35" i="20"/>
  <c r="AD35" i="20"/>
  <c r="AE35" i="20"/>
  <c r="AF35" i="20"/>
  <c r="AG35" i="20"/>
  <c r="AH35" i="20"/>
  <c r="AI35" i="20"/>
  <c r="AJ35" i="20"/>
  <c r="AK35" i="20"/>
  <c r="AL35" i="20"/>
  <c r="AM35" i="20"/>
  <c r="AN35" i="20"/>
  <c r="AO35" i="20"/>
  <c r="AP35" i="20"/>
  <c r="AQ35" i="20"/>
  <c r="AR35" i="20"/>
  <c r="AS35" i="20"/>
  <c r="AT35" i="20"/>
  <c r="AU35" i="20"/>
  <c r="AV35" i="20"/>
  <c r="AW35" i="20"/>
  <c r="AX35" i="20"/>
  <c r="AY35" i="20"/>
  <c r="AZ35" i="20"/>
  <c r="BA35" i="20"/>
  <c r="BB35" i="20"/>
  <c r="BC35" i="20"/>
  <c r="BD35" i="20"/>
  <c r="BE35" i="20"/>
  <c r="BF35" i="20"/>
  <c r="BG35" i="20"/>
  <c r="BH35" i="20"/>
  <c r="BI35" i="20"/>
  <c r="BJ35" i="20"/>
  <c r="BL35" i="20"/>
  <c r="BN35" i="20"/>
  <c r="BO35" i="20"/>
  <c r="BP35" i="20"/>
  <c r="BQ35" i="20"/>
  <c r="BR35" i="20"/>
  <c r="BT35" i="20"/>
  <c r="BV35" i="20"/>
  <c r="BW35" i="20"/>
  <c r="BX35" i="20"/>
  <c r="BY35" i="20"/>
  <c r="CA35" i="20"/>
  <c r="CC35" i="20"/>
  <c r="CD35" i="20"/>
  <c r="CE35" i="20"/>
  <c r="CG35" i="20"/>
  <c r="CI35" i="20"/>
  <c r="CK35" i="20"/>
  <c r="CL35" i="20"/>
  <c r="CM35" i="20"/>
  <c r="CN35" i="20"/>
  <c r="CP35" i="20"/>
  <c r="CR35" i="20"/>
  <c r="CS35" i="20"/>
  <c r="CT35" i="20"/>
  <c r="CV35" i="20"/>
  <c r="CX35" i="20"/>
  <c r="CZ35" i="20"/>
  <c r="DA35" i="20"/>
  <c r="DB35" i="20"/>
  <c r="DC35" i="20"/>
  <c r="DE35" i="20"/>
  <c r="DG35" i="20"/>
  <c r="DH35" i="20"/>
  <c r="DI35" i="20"/>
  <c r="DK35" i="20"/>
  <c r="DM35" i="20"/>
  <c r="DO35" i="20"/>
  <c r="DP35" i="20"/>
  <c r="DQ35" i="20"/>
  <c r="DR35" i="20"/>
  <c r="DT35" i="20"/>
  <c r="DV35" i="20"/>
  <c r="DW35" i="20"/>
  <c r="DX35" i="20"/>
  <c r="DZ35" i="20"/>
  <c r="EB35" i="20"/>
  <c r="ED35" i="20"/>
  <c r="EE35" i="20"/>
  <c r="EF35" i="20"/>
  <c r="EG35" i="20"/>
  <c r="EI35" i="20"/>
  <c r="EK35" i="20"/>
  <c r="EL35" i="20"/>
  <c r="EM35" i="20"/>
  <c r="EO35" i="20"/>
  <c r="EQ35" i="20"/>
  <c r="ES35" i="20"/>
  <c r="ET35" i="20"/>
  <c r="EU35" i="20"/>
  <c r="EZ35" i="20"/>
  <c r="FA35" i="20"/>
  <c r="FD35" i="20"/>
  <c r="FH35" i="20"/>
  <c r="FI35" i="20"/>
  <c r="FJ35" i="20"/>
  <c r="FK35" i="20"/>
  <c r="FL35" i="20"/>
  <c r="FM35" i="20"/>
  <c r="FN35" i="20"/>
  <c r="FO35" i="20"/>
  <c r="FP35" i="20"/>
  <c r="FQ35" i="20"/>
  <c r="FR35" i="20"/>
  <c r="FS35" i="20"/>
  <c r="FT35" i="20"/>
  <c r="FU35" i="20"/>
  <c r="FV35" i="20"/>
  <c r="FW35" i="20"/>
  <c r="FX35" i="20"/>
  <c r="FY35" i="20"/>
  <c r="FZ35" i="20"/>
  <c r="GA35" i="20"/>
  <c r="GB35" i="20"/>
  <c r="GC35" i="20"/>
  <c r="GD35" i="20"/>
  <c r="GE35" i="20"/>
  <c r="GF35" i="20"/>
  <c r="GG35" i="20"/>
  <c r="GH35" i="20"/>
  <c r="GI35" i="20"/>
  <c r="GJ35" i="20"/>
  <c r="GK35" i="20"/>
  <c r="GL35" i="20"/>
  <c r="GM35" i="20"/>
  <c r="GN35" i="20"/>
  <c r="GO35" i="20"/>
  <c r="GQ35" i="20"/>
  <c r="GS35" i="20"/>
  <c r="GT35" i="20"/>
  <c r="GU35" i="20"/>
  <c r="GW35" i="20"/>
  <c r="GY35" i="20"/>
  <c r="HA35" i="20"/>
  <c r="HB35" i="20"/>
  <c r="HC35" i="20"/>
  <c r="HD35" i="20"/>
  <c r="HF35" i="20"/>
  <c r="HH35" i="20"/>
  <c r="HI35" i="20"/>
  <c r="HJ35" i="20"/>
  <c r="HL35" i="20"/>
  <c r="HN35" i="20"/>
  <c r="HO35" i="20"/>
  <c r="HP35" i="20"/>
  <c r="HQ35" i="20"/>
  <c r="HR35" i="20"/>
  <c r="HS35" i="20"/>
  <c r="HU35" i="20"/>
  <c r="HW35" i="20"/>
  <c r="HX35" i="20"/>
  <c r="HY35" i="20"/>
  <c r="IA35" i="20"/>
  <c r="IC35" i="20"/>
  <c r="IE35" i="20"/>
  <c r="IF35" i="20"/>
  <c r="IG35" i="20"/>
  <c r="IH35" i="20"/>
  <c r="IJ35" i="20"/>
  <c r="IL35" i="20"/>
  <c r="IM35" i="20"/>
  <c r="IN35" i="20"/>
  <c r="IP35" i="20"/>
  <c r="IR35" i="20"/>
  <c r="IS35" i="20"/>
  <c r="IT35" i="20"/>
  <c r="IU35" i="20"/>
  <c r="IV35" i="20"/>
  <c r="A36" i="20"/>
  <c r="C36" i="20"/>
  <c r="E36" i="20"/>
  <c r="F36" i="20"/>
  <c r="G36" i="20"/>
  <c r="I36" i="20"/>
  <c r="K36" i="20"/>
  <c r="M36" i="20"/>
  <c r="N36" i="20"/>
  <c r="O36" i="20"/>
  <c r="R36" i="20"/>
  <c r="T36" i="20"/>
  <c r="U36" i="20"/>
  <c r="X36" i="20"/>
  <c r="AB36" i="20"/>
  <c r="AC36" i="20"/>
  <c r="AD36" i="20"/>
  <c r="AE36" i="20"/>
  <c r="AF36" i="20"/>
  <c r="AG36" i="20"/>
  <c r="AH36" i="20"/>
  <c r="AI36" i="20"/>
  <c r="AJ36" i="20"/>
  <c r="AK36" i="20"/>
  <c r="AL36" i="20"/>
  <c r="AM36" i="20"/>
  <c r="AN36" i="20"/>
  <c r="AO36" i="20"/>
  <c r="AP36" i="20"/>
  <c r="AQ36" i="20"/>
  <c r="AR36" i="20"/>
  <c r="AS36" i="20"/>
  <c r="AT36" i="20"/>
  <c r="AV36" i="20"/>
  <c r="AX36" i="20"/>
  <c r="AY36" i="20"/>
  <c r="AZ36" i="20"/>
  <c r="BB36" i="20"/>
  <c r="BD36" i="20"/>
  <c r="BF36" i="20"/>
  <c r="BG36" i="20"/>
  <c r="BH36" i="20"/>
  <c r="BI36" i="20"/>
  <c r="BK36" i="20"/>
  <c r="BM36" i="20"/>
  <c r="BN36" i="20"/>
  <c r="BO36" i="20"/>
  <c r="BQ36" i="20"/>
  <c r="BS36" i="20"/>
  <c r="BU36" i="20"/>
  <c r="BV36" i="20"/>
  <c r="BW36" i="20"/>
  <c r="BX36" i="20"/>
  <c r="BZ36" i="20"/>
  <c r="CB36" i="20"/>
  <c r="CC36" i="20"/>
  <c r="CD36" i="20"/>
  <c r="CF36" i="20"/>
  <c r="CH36" i="20"/>
  <c r="CJ36" i="20"/>
  <c r="CK36" i="20"/>
  <c r="CL36" i="20"/>
  <c r="CM36" i="20"/>
  <c r="CO36" i="20"/>
  <c r="CQ36" i="20"/>
  <c r="CR36" i="20"/>
  <c r="CS36" i="20"/>
  <c r="CU36" i="20"/>
  <c r="CW36" i="20"/>
  <c r="CY36" i="20"/>
  <c r="CZ36" i="20"/>
  <c r="DA36" i="20"/>
  <c r="DB36" i="20"/>
  <c r="DD36" i="20"/>
  <c r="DF36" i="20"/>
  <c r="DG36" i="20"/>
  <c r="DH36" i="20"/>
  <c r="DJ36" i="20"/>
  <c r="DL36" i="20"/>
  <c r="DN36" i="20"/>
  <c r="DO36" i="20"/>
  <c r="DP36" i="20"/>
  <c r="DQ36" i="20"/>
  <c r="DS36" i="20"/>
  <c r="DU36" i="20"/>
  <c r="DV36" i="20"/>
  <c r="DW36" i="20"/>
  <c r="DY36" i="20"/>
  <c r="EA36" i="20"/>
  <c r="EC36" i="20"/>
  <c r="ED36" i="20"/>
  <c r="EE36" i="20"/>
  <c r="EF36" i="20"/>
  <c r="EH36" i="20"/>
  <c r="EJ36" i="20"/>
  <c r="EK36" i="20"/>
  <c r="EL36" i="20"/>
  <c r="EN36" i="20"/>
  <c r="EP36" i="20"/>
  <c r="ER36" i="20"/>
  <c r="ES36" i="20"/>
  <c r="ET36" i="20"/>
  <c r="EU36" i="20"/>
  <c r="EW36" i="20"/>
  <c r="EY36" i="20"/>
  <c r="EZ36" i="20"/>
  <c r="FA36" i="20"/>
  <c r="FC36" i="20"/>
  <c r="FE36" i="20"/>
  <c r="FG36" i="20"/>
  <c r="FH36" i="20"/>
  <c r="FI36" i="20"/>
  <c r="FN36" i="20"/>
  <c r="FO36" i="20"/>
  <c r="FR36" i="20"/>
  <c r="FV36" i="20"/>
  <c r="FW36" i="20"/>
  <c r="FX36" i="20"/>
  <c r="FY36" i="20"/>
  <c r="FZ36" i="20"/>
  <c r="GA36" i="20"/>
  <c r="GB36" i="20"/>
  <c r="GC36" i="20"/>
  <c r="GD36" i="20"/>
  <c r="GE36" i="20"/>
  <c r="GF36" i="20"/>
  <c r="GG36" i="20"/>
  <c r="GH36" i="20"/>
  <c r="GI36" i="20"/>
  <c r="GJ36" i="20"/>
  <c r="GK36" i="20"/>
  <c r="GL36" i="20"/>
  <c r="GM36" i="20"/>
  <c r="GN36" i="20"/>
  <c r="GO36" i="20"/>
  <c r="GP36" i="20"/>
  <c r="GQ36" i="20"/>
  <c r="GR36" i="20"/>
  <c r="GS36" i="20"/>
  <c r="GT36" i="20"/>
  <c r="GU36" i="20"/>
  <c r="GV36" i="20"/>
  <c r="GW36" i="20"/>
  <c r="GX36" i="20"/>
  <c r="GY36" i="20"/>
  <c r="GZ36" i="20"/>
  <c r="HA36" i="20"/>
  <c r="HB36" i="20"/>
  <c r="HC36" i="20"/>
  <c r="HE36" i="20"/>
  <c r="HG36" i="20"/>
  <c r="HH36" i="20"/>
  <c r="HI36" i="20"/>
  <c r="HK36" i="20"/>
  <c r="HM36" i="20"/>
  <c r="HO36" i="20"/>
  <c r="HP36" i="20"/>
  <c r="HQ36" i="20"/>
  <c r="HR36" i="20"/>
  <c r="HT36" i="20"/>
  <c r="HV36" i="20"/>
  <c r="HW36" i="20"/>
  <c r="HX36" i="20"/>
  <c r="HZ36" i="20"/>
  <c r="IB36" i="20"/>
  <c r="ID36" i="20"/>
  <c r="IE36" i="20"/>
  <c r="IF36" i="20"/>
  <c r="IG36" i="20"/>
  <c r="II36" i="20"/>
  <c r="IK36" i="20"/>
  <c r="IL36" i="20"/>
  <c r="IM36" i="20"/>
  <c r="IO36" i="20"/>
  <c r="IQ36" i="20"/>
  <c r="IR36" i="20"/>
  <c r="IS36" i="20"/>
  <c r="IT36" i="20"/>
  <c r="IU36" i="20"/>
  <c r="IV36" i="20"/>
  <c r="A37" i="20"/>
  <c r="B37" i="20"/>
  <c r="C37" i="20"/>
  <c r="D37" i="20"/>
  <c r="E37" i="20"/>
  <c r="F37" i="20"/>
  <c r="H37" i="20"/>
  <c r="I37" i="20"/>
  <c r="J37" i="20"/>
  <c r="L37" i="20"/>
  <c r="M37" i="20"/>
  <c r="N37" i="20"/>
  <c r="O37" i="20"/>
  <c r="P37" i="20"/>
  <c r="Q37" i="20"/>
  <c r="R37" i="20"/>
  <c r="S37" i="20"/>
  <c r="T37" i="20"/>
  <c r="U37" i="20"/>
  <c r="V37" i="20"/>
  <c r="W37" i="20"/>
  <c r="X37" i="20"/>
  <c r="Y37" i="20"/>
  <c r="Z37" i="20"/>
  <c r="AA37" i="20"/>
  <c r="AB37" i="20"/>
  <c r="AC37" i="20"/>
  <c r="AH37" i="20"/>
  <c r="AI37" i="20"/>
  <c r="AL37" i="20"/>
  <c r="AP37" i="20"/>
  <c r="AQ37" i="20"/>
  <c r="AR37" i="20"/>
  <c r="D37" i="13"/>
  <c r="AS37" i="20" s="1"/>
  <c r="AT37" i="20"/>
  <c r="F37" i="13"/>
  <c r="AU37" i="20" s="1"/>
  <c r="AV37" i="20"/>
  <c r="AW37" i="20"/>
  <c r="AX37" i="20"/>
  <c r="H37" i="13"/>
  <c r="AY37" i="20" s="1"/>
  <c r="AZ37" i="20"/>
  <c r="J37" i="13"/>
  <c r="BA37" i="20" s="1"/>
  <c r="BD37" i="20"/>
  <c r="BE37" i="20"/>
  <c r="BF37" i="20"/>
  <c r="BG37" i="20"/>
  <c r="BH37" i="20"/>
  <c r="BI37" i="20"/>
  <c r="BJ37" i="20"/>
  <c r="BK37" i="20"/>
  <c r="BL37" i="20"/>
  <c r="BM37" i="20"/>
  <c r="BN37" i="20"/>
  <c r="BO37" i="20"/>
  <c r="BP37" i="20"/>
  <c r="BQ37" i="20"/>
  <c r="BR37" i="20"/>
  <c r="BS37" i="20"/>
  <c r="BT37" i="20"/>
  <c r="BU37" i="20"/>
  <c r="BV37" i="20"/>
  <c r="BW37" i="20"/>
  <c r="BX37" i="20"/>
  <c r="BY37" i="20"/>
  <c r="BZ37" i="20"/>
  <c r="CA37" i="20"/>
  <c r="CB37" i="20"/>
  <c r="CC37" i="20"/>
  <c r="CD37" i="20"/>
  <c r="CE37" i="20"/>
  <c r="CQ37" i="20"/>
  <c r="CR37" i="20"/>
  <c r="CS37" i="20"/>
  <c r="CT37" i="20"/>
  <c r="CU37" i="20"/>
  <c r="CV37" i="20"/>
  <c r="CW37" i="20"/>
  <c r="CX37" i="20"/>
  <c r="CY37" i="20"/>
  <c r="CZ37" i="20"/>
  <c r="DA37" i="20"/>
  <c r="DB37" i="20"/>
  <c r="DC37" i="20"/>
  <c r="DD37" i="20"/>
  <c r="DE37" i="20"/>
  <c r="DF37" i="20"/>
  <c r="DG37" i="20"/>
  <c r="DI37" i="20"/>
  <c r="DK37" i="20"/>
  <c r="DM37" i="20"/>
  <c r="DO37" i="20"/>
  <c r="DQ37" i="20"/>
  <c r="DR37" i="20"/>
  <c r="DS37" i="20"/>
  <c r="DT37" i="20"/>
  <c r="DU37" i="20"/>
  <c r="DV37" i="20"/>
  <c r="DW37" i="20"/>
  <c r="DX37" i="20"/>
  <c r="DY37" i="20"/>
  <c r="DZ37" i="20"/>
  <c r="EA37" i="20"/>
  <c r="EB37" i="20"/>
  <c r="EC37" i="20"/>
  <c r="ED37" i="20"/>
  <c r="EE37" i="20"/>
  <c r="EF37" i="20"/>
  <c r="EG37" i="20"/>
  <c r="EI37" i="20"/>
  <c r="EK37" i="20"/>
  <c r="EM37" i="20"/>
  <c r="EO37" i="20"/>
  <c r="EQ37" i="20"/>
  <c r="ER37" i="20"/>
  <c r="ES37" i="20"/>
  <c r="ET37" i="20"/>
  <c r="EV37" i="20"/>
  <c r="EX37" i="20"/>
  <c r="EZ37" i="20"/>
  <c r="FB37" i="20"/>
  <c r="FD37" i="20"/>
  <c r="FE37" i="20"/>
  <c r="FF37" i="20"/>
  <c r="FG37" i="20"/>
  <c r="FI37" i="20"/>
  <c r="FK37" i="20"/>
  <c r="FM37" i="20"/>
  <c r="FO37" i="20"/>
  <c r="FQ37" i="20"/>
  <c r="FR37" i="20"/>
  <c r="FS37" i="20"/>
  <c r="FT37" i="20"/>
  <c r="FV37" i="20"/>
  <c r="FX37" i="20"/>
  <c r="FZ37" i="20"/>
  <c r="GB37" i="20"/>
  <c r="GD37" i="20"/>
  <c r="GE37" i="20"/>
  <c r="GF37" i="20"/>
  <c r="GG37" i="20"/>
  <c r="GI37" i="20"/>
  <c r="GK37" i="20"/>
  <c r="GM37" i="20"/>
  <c r="GO37" i="20"/>
  <c r="GQ37" i="20"/>
  <c r="GR37" i="20"/>
  <c r="GS37" i="20"/>
  <c r="GT37" i="20"/>
  <c r="GV37" i="20"/>
  <c r="GX37" i="20"/>
  <c r="GZ37" i="20"/>
  <c r="HB37" i="20"/>
  <c r="HD37" i="20"/>
  <c r="HE37" i="20"/>
  <c r="HF37" i="20"/>
  <c r="HG37" i="20"/>
  <c r="HI37" i="20"/>
  <c r="HK37" i="20"/>
  <c r="HM37" i="20"/>
  <c r="HO37" i="20"/>
  <c r="HQ37" i="20"/>
  <c r="HR37" i="20"/>
  <c r="HS37" i="20"/>
  <c r="HT37" i="20"/>
  <c r="HV37" i="20"/>
  <c r="HX37" i="20"/>
  <c r="HZ37" i="20"/>
  <c r="IB37" i="20"/>
  <c r="IC37" i="20"/>
  <c r="ID37" i="20"/>
  <c r="IE37" i="20"/>
  <c r="IF37" i="20"/>
  <c r="IQ37" i="20"/>
  <c r="IR37" i="20"/>
  <c r="IS37" i="20"/>
  <c r="IT37" i="20"/>
  <c r="IU37" i="20"/>
  <c r="IV37" i="20"/>
  <c r="A38" i="20"/>
  <c r="B38" i="20"/>
  <c r="C38" i="20"/>
  <c r="D38" i="20"/>
  <c r="E38" i="20"/>
  <c r="F38" i="20"/>
  <c r="G38" i="20"/>
  <c r="H20" i="14"/>
  <c r="H38" i="20" s="1"/>
  <c r="I38" i="20"/>
  <c r="J38" i="20"/>
  <c r="K38" i="20"/>
  <c r="M38" i="20"/>
  <c r="O38" i="20"/>
  <c r="P38" i="20"/>
  <c r="Q38" i="20"/>
  <c r="S38" i="20"/>
  <c r="T38" i="20"/>
  <c r="U38" i="20"/>
  <c r="V38" i="20"/>
  <c r="W38" i="20"/>
  <c r="X38" i="20"/>
  <c r="Z38" i="20"/>
  <c r="AB38" i="20"/>
  <c r="AD38" i="20"/>
  <c r="AF38" i="20"/>
  <c r="AH38" i="20"/>
  <c r="AI38" i="20"/>
  <c r="AJ38" i="20"/>
  <c r="AK38" i="20"/>
  <c r="AM38" i="20"/>
  <c r="AO38" i="20"/>
  <c r="AQ38" i="20"/>
  <c r="AS38" i="20"/>
  <c r="AU38" i="20"/>
  <c r="AV38" i="20"/>
  <c r="AW38" i="20"/>
  <c r="AX38" i="20"/>
  <c r="AZ38" i="20"/>
  <c r="BB38" i="20"/>
  <c r="BD38" i="20"/>
  <c r="BF38" i="20"/>
  <c r="BH38" i="20"/>
  <c r="BI38" i="20"/>
  <c r="BJ38" i="20"/>
  <c r="BU38" i="20"/>
  <c r="BV38" i="20"/>
  <c r="BW38" i="20"/>
  <c r="BX38" i="20"/>
  <c r="BY38" i="20"/>
  <c r="BZ38" i="20"/>
  <c r="CA38" i="20"/>
  <c r="CB38" i="20"/>
  <c r="CC38" i="20"/>
  <c r="CD38" i="20"/>
  <c r="CE38" i="20"/>
  <c r="CF38" i="20"/>
  <c r="CG38" i="20"/>
  <c r="CH38" i="20"/>
  <c r="CI38" i="20"/>
  <c r="CJ38" i="20"/>
  <c r="CK38" i="20"/>
  <c r="CM38" i="20"/>
  <c r="CO38" i="20"/>
  <c r="CQ38" i="20"/>
  <c r="CS38" i="20"/>
  <c r="CU38" i="20"/>
  <c r="CV38" i="20"/>
  <c r="CW38" i="20"/>
  <c r="CX38" i="20"/>
  <c r="CZ38" i="20"/>
  <c r="DB38" i="20"/>
  <c r="DD38" i="20"/>
  <c r="DF38" i="20"/>
  <c r="DG38" i="20"/>
  <c r="DH38" i="20"/>
  <c r="DI38" i="20"/>
  <c r="DJ38" i="20"/>
  <c r="DK38" i="20"/>
  <c r="DM38" i="20"/>
  <c r="DO38" i="20"/>
  <c r="DQ38" i="20"/>
  <c r="DS38" i="20"/>
  <c r="DT38" i="20"/>
  <c r="DU38" i="20"/>
  <c r="DV38" i="20"/>
  <c r="DW38" i="20"/>
  <c r="DX38" i="20"/>
  <c r="DY38" i="20"/>
  <c r="DZ38" i="20"/>
  <c r="EA38" i="20"/>
  <c r="EB38" i="20"/>
  <c r="EC38" i="20"/>
  <c r="ED38" i="20"/>
  <c r="EE38" i="20"/>
  <c r="EF38" i="20"/>
  <c r="EG38" i="20"/>
  <c r="EH38" i="20"/>
  <c r="EI38" i="20"/>
  <c r="EJ38" i="20"/>
  <c r="EK38" i="20"/>
  <c r="EM38" i="20"/>
  <c r="EO38" i="20"/>
  <c r="EQ38" i="20"/>
  <c r="ES38" i="20"/>
  <c r="EU38" i="20"/>
  <c r="EV38" i="20"/>
  <c r="EW38" i="20"/>
  <c r="FH38" i="20"/>
  <c r="FI38" i="20"/>
  <c r="FJ38" i="20"/>
  <c r="FK38" i="20"/>
  <c r="FL38" i="20"/>
  <c r="FM38" i="20"/>
  <c r="FN38" i="20"/>
  <c r="FO38" i="20"/>
  <c r="FP38" i="20"/>
  <c r="FQ38" i="20"/>
  <c r="FR38" i="20"/>
  <c r="FS38" i="20"/>
  <c r="FT38" i="20"/>
  <c r="FU38" i="20"/>
  <c r="FV38" i="20"/>
  <c r="FW38" i="20"/>
  <c r="FX38" i="20"/>
  <c r="FY38" i="20"/>
  <c r="FZ38" i="20"/>
  <c r="GA38" i="20"/>
  <c r="GB38" i="20"/>
  <c r="GC38" i="20"/>
  <c r="GD38" i="20"/>
  <c r="GE38" i="20"/>
  <c r="GF38" i="20"/>
  <c r="GG38" i="20"/>
  <c r="GH38" i="20"/>
  <c r="GI38" i="20"/>
  <c r="GJ38" i="20"/>
  <c r="GK38" i="20"/>
  <c r="GL38" i="20"/>
  <c r="GM38" i="20"/>
  <c r="GN38" i="20"/>
  <c r="GO38" i="20"/>
  <c r="GP38" i="20"/>
  <c r="GQ38" i="20"/>
  <c r="GR38" i="20"/>
  <c r="GS38" i="20"/>
  <c r="GT38" i="20"/>
  <c r="GU38" i="20"/>
  <c r="GV38" i="20"/>
  <c r="GW38" i="20"/>
  <c r="GX38" i="20"/>
  <c r="GY38" i="20"/>
  <c r="HE38" i="20"/>
  <c r="HF38" i="20"/>
  <c r="HM38" i="20"/>
  <c r="HN38" i="20"/>
  <c r="HO38" i="20"/>
  <c r="HP38" i="20"/>
  <c r="HQ38" i="20"/>
  <c r="HR38" i="20"/>
  <c r="HS38" i="20"/>
  <c r="HT38" i="20"/>
  <c r="HU38" i="20"/>
  <c r="HV38" i="20"/>
  <c r="HW38" i="20"/>
  <c r="HX38" i="20"/>
  <c r="HY38" i="20"/>
  <c r="HZ38" i="20"/>
  <c r="IA38" i="20"/>
  <c r="IB38" i="20"/>
  <c r="IC38" i="20"/>
  <c r="ID38" i="20"/>
  <c r="IE38" i="20"/>
  <c r="IG38" i="20"/>
  <c r="II38" i="20"/>
  <c r="IJ38" i="20"/>
  <c r="IK38" i="20"/>
  <c r="IM38" i="20"/>
  <c r="IO38" i="20"/>
  <c r="IQ38" i="20"/>
  <c r="IR38" i="20"/>
  <c r="IS38" i="20"/>
  <c r="IT38" i="20"/>
  <c r="IV38" i="20"/>
  <c r="B39" i="20"/>
  <c r="C39" i="20"/>
  <c r="D39" i="20"/>
  <c r="F39" i="20"/>
  <c r="H39" i="20"/>
  <c r="I8" i="15"/>
  <c r="J8" i="15" s="1"/>
  <c r="J39" i="20" s="1"/>
  <c r="K39" i="20"/>
  <c r="L39" i="20"/>
  <c r="Q39" i="20"/>
  <c r="R39" i="20"/>
  <c r="Y39" i="20"/>
  <c r="Z39" i="20"/>
  <c r="AA39" i="20"/>
  <c r="AB39" i="20"/>
  <c r="AC39" i="20"/>
  <c r="AD39" i="20"/>
  <c r="AE39" i="20"/>
  <c r="AF39" i="20"/>
  <c r="AG39" i="20"/>
  <c r="AH39" i="20"/>
  <c r="AI39" i="20"/>
  <c r="AJ39" i="20"/>
  <c r="AK39" i="20"/>
  <c r="AL39" i="20"/>
  <c r="AM39" i="20"/>
  <c r="AN39" i="20"/>
  <c r="AO39" i="20"/>
  <c r="AP39" i="20"/>
  <c r="AQ39" i="20"/>
  <c r="AS39" i="20"/>
  <c r="AU39" i="20"/>
  <c r="AV39" i="20"/>
  <c r="AW39" i="20"/>
  <c r="AY39" i="20"/>
  <c r="BA39" i="20"/>
  <c r="BC39" i="20"/>
  <c r="BD39" i="20"/>
  <c r="BE39" i="20"/>
  <c r="BF39" i="20"/>
  <c r="BH39" i="20"/>
  <c r="BJ39" i="20"/>
  <c r="BK39" i="20"/>
  <c r="BL39" i="20"/>
  <c r="BN39" i="20"/>
  <c r="BP39" i="20"/>
  <c r="BR39" i="20"/>
  <c r="BS39" i="20"/>
  <c r="BT39" i="20"/>
  <c r="BU39" i="20"/>
  <c r="BW39" i="20"/>
  <c r="BY39" i="20"/>
  <c r="BZ39" i="20"/>
  <c r="CA39" i="20"/>
  <c r="CC39" i="20"/>
  <c r="CE39" i="20"/>
  <c r="CG39" i="20"/>
  <c r="CH39" i="20"/>
  <c r="CI39" i="20"/>
  <c r="CJ39" i="20"/>
  <c r="CL39" i="20"/>
  <c r="CN39" i="20"/>
  <c r="CO39" i="20"/>
  <c r="CP39" i="20"/>
  <c r="CR39" i="20"/>
  <c r="CT39" i="20"/>
  <c r="CV39" i="20"/>
  <c r="CW39" i="20"/>
  <c r="CX39" i="20"/>
  <c r="CY39" i="20"/>
  <c r="CZ39" i="20"/>
  <c r="DA39" i="20"/>
  <c r="DB39" i="20"/>
  <c r="DC39" i="20"/>
  <c r="DD39" i="20"/>
  <c r="DE39" i="20"/>
  <c r="DF39" i="20"/>
  <c r="DG39" i="20"/>
  <c r="DH39" i="20"/>
  <c r="DI39" i="20"/>
  <c r="DJ39" i="20"/>
  <c r="DK39" i="20"/>
  <c r="DL39" i="20"/>
  <c r="DM39" i="20"/>
  <c r="DN39" i="20"/>
  <c r="DO39" i="20"/>
  <c r="DP39" i="20"/>
  <c r="DQ39" i="20"/>
  <c r="DR39" i="20"/>
  <c r="DS39" i="20"/>
  <c r="DT39" i="20"/>
  <c r="DU39" i="20"/>
  <c r="DV39" i="20"/>
  <c r="DW39" i="20"/>
  <c r="DX39" i="20"/>
  <c r="DY39" i="20"/>
  <c r="DZ39" i="20"/>
  <c r="EA39" i="20"/>
  <c r="EB39" i="20"/>
  <c r="EG39" i="20"/>
  <c r="EH39" i="20"/>
  <c r="EO39" i="20"/>
  <c r="EP39" i="20"/>
  <c r="EQ39" i="20"/>
  <c r="ER39" i="20"/>
  <c r="ES39" i="20"/>
  <c r="ET39" i="20"/>
  <c r="EU39" i="20"/>
  <c r="EV39" i="20"/>
  <c r="EW39" i="20"/>
  <c r="EX39" i="20"/>
  <c r="EY39" i="20"/>
  <c r="EZ39" i="20"/>
  <c r="FA39" i="20"/>
  <c r="FB39" i="20"/>
  <c r="FC39" i="20"/>
  <c r="FD39" i="20"/>
  <c r="FE39" i="20"/>
  <c r="FF39" i="20"/>
  <c r="FG39" i="20"/>
  <c r="FI39" i="20"/>
  <c r="FK39" i="20"/>
  <c r="FL39" i="20"/>
  <c r="FM39" i="20"/>
  <c r="FO39" i="20"/>
  <c r="FQ39" i="20"/>
  <c r="FR39" i="20"/>
  <c r="FS39" i="20"/>
  <c r="FT39" i="20"/>
  <c r="FU39" i="20"/>
  <c r="FV39" i="20"/>
  <c r="FW39" i="20"/>
  <c r="FX39" i="20"/>
  <c r="FY39" i="20"/>
  <c r="FZ39" i="20"/>
  <c r="GA39" i="20"/>
  <c r="GB39" i="20"/>
  <c r="GC39" i="20"/>
  <c r="GD39" i="20"/>
  <c r="GE39" i="20"/>
  <c r="GF39" i="20"/>
  <c r="GG39" i="20"/>
  <c r="GH39" i="20"/>
  <c r="GI39" i="20"/>
  <c r="GJ39" i="20"/>
  <c r="GK39" i="20"/>
  <c r="GM39" i="20"/>
  <c r="GO39" i="20"/>
  <c r="GP39" i="20"/>
  <c r="GQ39" i="20"/>
  <c r="GS39" i="20"/>
  <c r="GU39" i="20"/>
  <c r="GW39" i="20"/>
  <c r="GX39" i="20"/>
  <c r="GY39" i="20"/>
  <c r="GZ39" i="20"/>
  <c r="HB39" i="20"/>
  <c r="HD39" i="20"/>
  <c r="HE39" i="20"/>
  <c r="HF39" i="20"/>
  <c r="HH39" i="20"/>
  <c r="HJ39" i="20"/>
  <c r="HL39" i="20"/>
  <c r="HM39" i="20"/>
  <c r="HN39" i="20"/>
  <c r="HS39" i="20"/>
  <c r="HT39" i="20"/>
  <c r="IA39" i="20"/>
  <c r="IB39" i="20"/>
  <c r="IC39" i="20"/>
  <c r="ID39" i="20"/>
  <c r="IE39" i="20"/>
  <c r="IF39" i="20"/>
  <c r="IG39" i="20"/>
  <c r="IH39" i="20"/>
  <c r="II39" i="20"/>
  <c r="IJ39" i="20"/>
  <c r="IK39" i="20"/>
  <c r="IL39" i="20"/>
  <c r="IM39" i="20"/>
  <c r="IN39" i="20"/>
  <c r="IO39" i="20"/>
  <c r="IP39" i="20"/>
  <c r="IQ39" i="20"/>
  <c r="IR39" i="20"/>
  <c r="IS39" i="20"/>
  <c r="IU39" i="20"/>
  <c r="A40" i="20"/>
  <c r="B40" i="20"/>
  <c r="C40" i="20"/>
  <c r="E40" i="20"/>
  <c r="G40" i="20"/>
  <c r="I40" i="20"/>
  <c r="J40" i="20"/>
  <c r="K40" i="20"/>
  <c r="L40" i="20"/>
  <c r="N40" i="20"/>
  <c r="P40" i="20"/>
  <c r="Q40" i="20"/>
  <c r="R40" i="20"/>
  <c r="T40" i="20"/>
  <c r="V40" i="20"/>
  <c r="X40" i="20"/>
  <c r="Y40" i="20"/>
  <c r="Z40" i="20"/>
  <c r="AA40" i="20"/>
  <c r="AC40" i="20"/>
  <c r="AE40" i="20"/>
  <c r="AF40" i="20"/>
  <c r="AG40" i="20"/>
  <c r="AI40" i="20"/>
  <c r="AK40" i="20"/>
  <c r="AM40" i="20"/>
  <c r="AN40" i="20"/>
  <c r="AO40" i="20"/>
  <c r="AP40" i="20"/>
  <c r="AR40" i="20"/>
  <c r="AT40" i="20"/>
  <c r="AU40" i="20"/>
  <c r="AV40" i="20"/>
  <c r="AX40" i="20"/>
  <c r="AZ40" i="20"/>
  <c r="BB40" i="20"/>
  <c r="BC40" i="20"/>
  <c r="BD40" i="20"/>
  <c r="BI40" i="20"/>
  <c r="BJ40" i="20"/>
  <c r="BQ40" i="20"/>
  <c r="BR40" i="20"/>
  <c r="BS40" i="20"/>
  <c r="BT40" i="20"/>
  <c r="BU40" i="20"/>
  <c r="BV40" i="20"/>
  <c r="BW40" i="20"/>
  <c r="BX40" i="20"/>
  <c r="BY40" i="20"/>
  <c r="BZ40" i="20"/>
  <c r="CA40" i="20"/>
  <c r="CB40" i="20"/>
  <c r="CC40" i="20"/>
  <c r="CD40" i="20"/>
  <c r="CE40" i="20"/>
  <c r="CF40" i="20"/>
  <c r="CG40" i="20"/>
  <c r="CH40" i="20"/>
  <c r="CI40" i="20"/>
  <c r="CK40" i="20"/>
  <c r="CM40" i="20"/>
  <c r="CN40" i="20"/>
  <c r="CO40" i="20"/>
  <c r="CQ40" i="20"/>
  <c r="CS40" i="20"/>
  <c r="CT40" i="20"/>
  <c r="CU40" i="20"/>
  <c r="CV40" i="20"/>
  <c r="CW40" i="20"/>
  <c r="CX40" i="20"/>
  <c r="CZ40" i="20"/>
  <c r="DB40" i="20"/>
  <c r="DC40" i="20"/>
  <c r="DD40" i="20"/>
  <c r="DF40" i="20"/>
  <c r="DH40" i="20"/>
  <c r="DI40" i="20"/>
  <c r="DJ40" i="20"/>
  <c r="DK40" i="20"/>
  <c r="DL40" i="20"/>
  <c r="DM40" i="20"/>
  <c r="DO40" i="20"/>
  <c r="DQ40" i="20"/>
  <c r="DR40" i="20"/>
  <c r="DS40" i="20"/>
  <c r="DU40" i="20"/>
  <c r="DW40" i="20"/>
  <c r="DY40" i="20"/>
  <c r="DZ40" i="20"/>
  <c r="EA40" i="20"/>
  <c r="EB40" i="20"/>
  <c r="ED40" i="20"/>
  <c r="EF40" i="20"/>
  <c r="EG40" i="20"/>
  <c r="EH40" i="20"/>
  <c r="EJ40" i="20"/>
  <c r="EL40" i="20"/>
  <c r="EN40" i="20"/>
  <c r="EO40" i="20"/>
  <c r="EP40" i="20"/>
  <c r="EQ40" i="20"/>
  <c r="ER40" i="20"/>
  <c r="ES40" i="20"/>
  <c r="ET40" i="20"/>
  <c r="EU40" i="20"/>
  <c r="EV40" i="20"/>
  <c r="EW40" i="20"/>
  <c r="EX40" i="20"/>
  <c r="EY40" i="20"/>
  <c r="EZ40" i="20"/>
  <c r="FA40" i="20"/>
  <c r="FB40" i="20"/>
  <c r="FC40" i="20"/>
  <c r="FD40" i="20"/>
  <c r="FE40" i="20"/>
  <c r="FJ40" i="20"/>
  <c r="FK40" i="20"/>
  <c r="FR40" i="20"/>
  <c r="FS40" i="20"/>
  <c r="FT40" i="20"/>
  <c r="FU40" i="20"/>
  <c r="FV40" i="20"/>
  <c r="FW40" i="20"/>
  <c r="FX40" i="20"/>
  <c r="FY40" i="20"/>
  <c r="FZ40" i="20"/>
  <c r="GA40" i="20"/>
  <c r="GB40" i="20"/>
  <c r="GC40" i="20"/>
  <c r="GD40" i="20"/>
  <c r="GE40" i="20"/>
  <c r="GF40" i="20"/>
  <c r="GG40" i="20"/>
  <c r="GH40" i="20"/>
  <c r="GI40" i="20"/>
  <c r="GJ40" i="20"/>
  <c r="GK40" i="20"/>
  <c r="GL40" i="20"/>
  <c r="GM40" i="20"/>
  <c r="GN40" i="20"/>
  <c r="GO40" i="20"/>
  <c r="GP40" i="20"/>
  <c r="GQ40" i="20"/>
  <c r="GR40" i="20"/>
  <c r="GS40" i="20"/>
  <c r="GT40" i="20"/>
  <c r="GU40" i="20"/>
  <c r="GV40" i="20"/>
  <c r="GW40" i="20"/>
  <c r="GX40" i="20"/>
  <c r="GY40" i="20"/>
  <c r="GZ40" i="20"/>
  <c r="HA40" i="20"/>
  <c r="HB40" i="20"/>
  <c r="HC40" i="20"/>
  <c r="HD40" i="20"/>
  <c r="HE40" i="20"/>
  <c r="HF40" i="20"/>
  <c r="HG40" i="20"/>
  <c r="HH40" i="20"/>
  <c r="HI40" i="20"/>
  <c r="HJ40" i="20"/>
  <c r="HK40" i="20"/>
  <c r="HL40" i="20"/>
  <c r="HM40" i="20"/>
  <c r="HN40" i="20"/>
  <c r="HO40" i="20"/>
  <c r="HP40" i="20"/>
  <c r="HQ40" i="20"/>
  <c r="HR40" i="20"/>
  <c r="HS40" i="20"/>
  <c r="HT40" i="20"/>
  <c r="HU40" i="20"/>
  <c r="HV40" i="20"/>
  <c r="HW40" i="20"/>
  <c r="HX40" i="20"/>
  <c r="HY40" i="20"/>
  <c r="HZ40" i="20"/>
  <c r="IA40" i="20"/>
  <c r="IB40" i="20"/>
  <c r="IC40" i="20"/>
  <c r="ID40" i="20"/>
  <c r="IE40" i="20"/>
  <c r="IF40" i="20"/>
  <c r="IG40" i="20"/>
  <c r="A41" i="20"/>
  <c r="B41" i="20"/>
  <c r="C41" i="20"/>
  <c r="D41" i="20"/>
  <c r="E41" i="20"/>
  <c r="F41" i="20"/>
  <c r="G41" i="20"/>
  <c r="H41" i="20"/>
  <c r="I41" i="20"/>
  <c r="J41" i="20"/>
  <c r="K41" i="20"/>
  <c r="L41" i="20"/>
  <c r="M41" i="20"/>
  <c r="N41" i="20"/>
  <c r="O41" i="20"/>
  <c r="P41" i="20"/>
  <c r="Q41" i="20"/>
  <c r="R41" i="20"/>
  <c r="S41" i="20"/>
  <c r="T41" i="20"/>
  <c r="U41" i="20"/>
  <c r="W41" i="20"/>
  <c r="Y41" i="20"/>
  <c r="AA41" i="20"/>
  <c r="AC41" i="20"/>
  <c r="AE41" i="20"/>
  <c r="AG41" i="20"/>
  <c r="AI41" i="20"/>
  <c r="AJ41" i="20"/>
  <c r="AK41" i="20"/>
  <c r="AL41" i="20"/>
  <c r="AM41" i="20"/>
  <c r="AN41" i="20"/>
  <c r="AO41" i="20"/>
  <c r="AP41" i="20"/>
  <c r="AQ41" i="20"/>
  <c r="AR41" i="20"/>
  <c r="AS41" i="20"/>
  <c r="AT41" i="20"/>
  <c r="AU41" i="20"/>
  <c r="AV41" i="20"/>
  <c r="AW41" i="20"/>
  <c r="AX41" i="20"/>
  <c r="AY41" i="20"/>
  <c r="AZ41" i="20"/>
  <c r="BA41" i="20"/>
  <c r="BB41" i="20"/>
  <c r="BC41" i="20"/>
  <c r="BE41" i="20"/>
  <c r="BG41" i="20"/>
  <c r="BI41" i="20"/>
  <c r="BK41" i="20"/>
  <c r="BM41" i="20"/>
  <c r="BO41" i="20"/>
  <c r="BQ41" i="20"/>
  <c r="BR41" i="20"/>
  <c r="BS41" i="20"/>
  <c r="BT41" i="20"/>
  <c r="BV41" i="20"/>
  <c r="BX41" i="20"/>
  <c r="BZ41" i="20"/>
  <c r="CB41" i="20"/>
  <c r="CD41" i="20"/>
  <c r="CF41" i="20"/>
  <c r="CH41" i="20"/>
  <c r="CI41" i="20"/>
  <c r="CJ41" i="20"/>
  <c r="CK41" i="20"/>
  <c r="CM41" i="20"/>
  <c r="CO41" i="20"/>
  <c r="CQ41" i="20"/>
  <c r="CS41" i="20"/>
  <c r="CU41" i="20"/>
  <c r="CW41" i="20"/>
  <c r="CY41" i="20"/>
  <c r="CZ41" i="20"/>
  <c r="DA41" i="20"/>
  <c r="DB41" i="20"/>
  <c r="DD41" i="20"/>
  <c r="DF41" i="20"/>
  <c r="DH41" i="20"/>
  <c r="DJ41" i="20"/>
  <c r="DL41" i="20"/>
  <c r="DN41" i="20"/>
  <c r="DO41" i="20"/>
  <c r="DP41" i="20"/>
  <c r="DQ41" i="20"/>
  <c r="DR41" i="20"/>
  <c r="DS41" i="20"/>
  <c r="DU41" i="20"/>
  <c r="DW41" i="20"/>
  <c r="DY41" i="20"/>
  <c r="EA41" i="20"/>
  <c r="EC41" i="20"/>
  <c r="EE41" i="20"/>
  <c r="EG41" i="20"/>
  <c r="EH41" i="20"/>
  <c r="EI41" i="20"/>
  <c r="EP41" i="20"/>
  <c r="EX41" i="20"/>
  <c r="EY41" i="20"/>
  <c r="EZ41" i="20"/>
  <c r="FA41" i="20"/>
  <c r="FB41" i="20"/>
  <c r="FC41" i="20"/>
  <c r="FD41" i="20"/>
  <c r="FE41" i="20"/>
  <c r="FF41" i="20"/>
  <c r="FG41" i="20"/>
  <c r="FH41" i="20"/>
  <c r="FI41" i="20"/>
  <c r="FJ41" i="20"/>
  <c r="FK41" i="20"/>
  <c r="FL41" i="20"/>
  <c r="FM41" i="20"/>
  <c r="FN41" i="20"/>
  <c r="FO41" i="20"/>
  <c r="FP41" i="20"/>
  <c r="FQ41" i="20"/>
  <c r="FR41" i="20"/>
  <c r="FT41" i="20"/>
  <c r="FV41" i="20"/>
  <c r="FX41" i="20"/>
  <c r="FZ41" i="20"/>
  <c r="GB41" i="20"/>
  <c r="GD41" i="20"/>
  <c r="GE41" i="20"/>
  <c r="GF41" i="20"/>
  <c r="GG41" i="20"/>
  <c r="GH41" i="20"/>
  <c r="GI41" i="20"/>
  <c r="GK41" i="20"/>
  <c r="GM41" i="20"/>
  <c r="GO41" i="20"/>
  <c r="GQ41" i="20"/>
  <c r="GS41" i="20"/>
  <c r="GU41" i="20"/>
  <c r="GW41" i="20"/>
  <c r="GX41" i="20"/>
  <c r="GY41" i="20"/>
  <c r="GZ41" i="20"/>
  <c r="HB41" i="20"/>
  <c r="HD41" i="20"/>
  <c r="HF41" i="20"/>
  <c r="HH41" i="20"/>
  <c r="HJ41" i="20"/>
  <c r="HL41" i="20"/>
  <c r="HN41" i="20"/>
  <c r="HO41" i="20"/>
  <c r="HP41" i="20"/>
  <c r="HQ41" i="20"/>
  <c r="HS41" i="20"/>
  <c r="HU41" i="20"/>
  <c r="HW41" i="20"/>
  <c r="HY41" i="20"/>
  <c r="IA41" i="20"/>
  <c r="IC41" i="20"/>
  <c r="IE41" i="20"/>
  <c r="IF41" i="20"/>
  <c r="IG41" i="20"/>
  <c r="IH41" i="20"/>
  <c r="IJ41" i="20"/>
  <c r="IL41" i="20"/>
  <c r="IN41" i="20"/>
  <c r="IP41" i="20"/>
  <c r="IR41" i="20"/>
  <c r="IT41" i="20"/>
  <c r="IV41" i="20"/>
  <c r="A42" i="20"/>
  <c r="B42" i="20"/>
  <c r="C42" i="20"/>
  <c r="D42" i="20"/>
  <c r="E42" i="20"/>
  <c r="F42" i="20"/>
  <c r="G42" i="20"/>
  <c r="H42" i="20"/>
  <c r="I42" i="20"/>
  <c r="J42" i="20"/>
  <c r="K42" i="20"/>
  <c r="L42" i="20"/>
  <c r="M42" i="20"/>
  <c r="N42" i="20"/>
  <c r="O42" i="20"/>
  <c r="P42" i="20"/>
  <c r="Q42" i="20"/>
  <c r="R42" i="20"/>
  <c r="S42" i="20"/>
  <c r="Z42" i="20"/>
  <c r="AH42" i="20"/>
  <c r="AI42" i="20"/>
  <c r="AJ42" i="20"/>
  <c r="AK42" i="20"/>
  <c r="AL42" i="20"/>
  <c r="AM42" i="20"/>
  <c r="AN42" i="20"/>
  <c r="AO42" i="20"/>
  <c r="AP42" i="20"/>
  <c r="AQ42" i="20"/>
  <c r="AR42" i="20"/>
  <c r="AS42" i="20"/>
  <c r="AT42" i="20"/>
  <c r="AU42" i="20"/>
  <c r="AV42" i="20"/>
  <c r="AW42" i="20"/>
  <c r="AX42" i="20"/>
  <c r="AY42" i="20"/>
  <c r="AZ42" i="20"/>
  <c r="BA42" i="20"/>
  <c r="BB42" i="20"/>
  <c r="BD42" i="20"/>
  <c r="BF42" i="20"/>
  <c r="BH42" i="20"/>
  <c r="BJ42" i="20"/>
  <c r="BL42" i="20"/>
  <c r="BN42" i="20"/>
  <c r="BO42" i="20"/>
  <c r="BP42" i="20"/>
  <c r="BQ42" i="20"/>
  <c r="BR42" i="20"/>
  <c r="BS42" i="20"/>
  <c r="BU42" i="20"/>
  <c r="BW42" i="20"/>
  <c r="BY42" i="20"/>
  <c r="CA42" i="20"/>
  <c r="CC42" i="20"/>
  <c r="CE42" i="20"/>
  <c r="CG42" i="20"/>
  <c r="CH42" i="20"/>
  <c r="CI42" i="20"/>
  <c r="CJ42" i="20"/>
  <c r="CL42" i="20"/>
  <c r="CN42" i="20"/>
  <c r="CP42" i="20"/>
  <c r="CR42" i="20"/>
  <c r="CT42" i="20"/>
  <c r="CV42" i="20"/>
  <c r="CX42" i="20"/>
  <c r="CY42" i="20"/>
  <c r="CZ42" i="20"/>
  <c r="DA42" i="20"/>
  <c r="DC42" i="20"/>
  <c r="DE42" i="20"/>
  <c r="DG42" i="20"/>
  <c r="DI42" i="20"/>
  <c r="DK42" i="20"/>
  <c r="DM42" i="20"/>
  <c r="DN42" i="20"/>
  <c r="DO42" i="20"/>
  <c r="DP42" i="20"/>
  <c r="DQ42" i="20"/>
  <c r="DR42" i="20"/>
  <c r="DS42" i="20"/>
  <c r="DT42" i="20"/>
  <c r="DU42" i="20"/>
  <c r="DV42" i="20"/>
  <c r="DW42" i="20"/>
  <c r="DX42" i="20"/>
  <c r="DY42" i="20"/>
  <c r="DZ42" i="20"/>
  <c r="EA42" i="20"/>
  <c r="EB42" i="20"/>
  <c r="EC42" i="20"/>
  <c r="ED42" i="20"/>
  <c r="EE42" i="20"/>
  <c r="EF42" i="20"/>
  <c r="EG42" i="20"/>
  <c r="EH42" i="20"/>
  <c r="EI42" i="20"/>
  <c r="EO42" i="20"/>
  <c r="EW42" i="20"/>
  <c r="EX42" i="20"/>
  <c r="EY42" i="20"/>
  <c r="EZ42" i="20"/>
  <c r="FA42" i="20"/>
  <c r="FB42" i="20"/>
  <c r="FC42" i="20"/>
  <c r="FD42" i="20"/>
  <c r="FE42" i="20"/>
  <c r="FF42" i="20"/>
  <c r="FG42" i="20"/>
  <c r="FH42" i="20"/>
  <c r="FI42" i="20"/>
  <c r="FJ42" i="20"/>
  <c r="FK42" i="20"/>
  <c r="FL42" i="20"/>
  <c r="FM42" i="20"/>
  <c r="FN42" i="20"/>
  <c r="FO42" i="20"/>
  <c r="FP42" i="20"/>
  <c r="FQ42" i="20"/>
  <c r="FS42" i="20"/>
  <c r="FU42" i="20"/>
  <c r="FW42" i="20"/>
  <c r="FY42" i="20"/>
  <c r="GA42" i="20"/>
  <c r="GC42" i="20"/>
  <c r="GD42" i="20"/>
  <c r="GE42" i="20"/>
  <c r="GF42" i="20"/>
  <c r="GG42" i="20"/>
  <c r="GH42" i="20"/>
  <c r="GJ42" i="20"/>
  <c r="GL42" i="20"/>
  <c r="GN42" i="20"/>
  <c r="GP42" i="20"/>
  <c r="GR42" i="20"/>
  <c r="GT42" i="20"/>
  <c r="GV42" i="20"/>
  <c r="GW42" i="20"/>
  <c r="GX42" i="20"/>
  <c r="GY42" i="20"/>
  <c r="HA42" i="20"/>
  <c r="HC42" i="20"/>
  <c r="HE42" i="20"/>
  <c r="HG42" i="20"/>
  <c r="HI42" i="20"/>
  <c r="HK42" i="20"/>
  <c r="HM42" i="20"/>
  <c r="HN42" i="20"/>
  <c r="HO42" i="20"/>
  <c r="HP42" i="20"/>
  <c r="HR42" i="20"/>
  <c r="HT42" i="20"/>
  <c r="HV42" i="20"/>
  <c r="HX42" i="20"/>
  <c r="HZ42" i="20"/>
  <c r="IB42" i="20"/>
  <c r="ID42" i="20"/>
  <c r="IE42" i="20"/>
  <c r="IF42" i="20"/>
  <c r="IG42" i="20"/>
  <c r="II42" i="20"/>
  <c r="IK42" i="20"/>
  <c r="IM42" i="20"/>
  <c r="IO42" i="20"/>
  <c r="IQ42" i="20"/>
  <c r="IS42" i="20"/>
  <c r="IU42" i="20"/>
  <c r="IV42" i="20"/>
  <c r="A43" i="20"/>
  <c r="H43" i="20"/>
  <c r="P43" i="20"/>
  <c r="Q43" i="20"/>
  <c r="R43" i="20"/>
  <c r="S43" i="20"/>
  <c r="T43" i="20"/>
  <c r="U43" i="20"/>
  <c r="V43" i="20"/>
  <c r="W43" i="20"/>
  <c r="X43" i="20"/>
  <c r="Y43" i="20"/>
  <c r="Z43" i="20"/>
  <c r="AA43" i="20"/>
  <c r="AB43" i="20"/>
  <c r="AC43" i="20"/>
  <c r="AD43" i="20"/>
  <c r="AE43" i="20"/>
  <c r="AF43" i="20"/>
  <c r="AG43" i="20"/>
  <c r="AH43" i="20"/>
  <c r="AI43" i="20"/>
  <c r="AJ43" i="20"/>
  <c r="AK43" i="20"/>
  <c r="AL43" i="20"/>
  <c r="AM43" i="20"/>
  <c r="AN43" i="20"/>
  <c r="AO43" i="20"/>
  <c r="AP43" i="20"/>
  <c r="AQ43" i="20"/>
  <c r="AR43" i="20"/>
  <c r="AS43" i="20"/>
  <c r="AT43" i="20"/>
  <c r="AU43" i="20"/>
  <c r="AV43" i="20"/>
  <c r="AW43" i="20"/>
  <c r="AX43" i="20"/>
  <c r="AY43" i="20"/>
  <c r="AZ43" i="20"/>
  <c r="BA43" i="20"/>
  <c r="BB43" i="20"/>
  <c r="BC43" i="20"/>
  <c r="BD43" i="20"/>
  <c r="BE43" i="20"/>
  <c r="BF43" i="20"/>
  <c r="BG43" i="20"/>
  <c r="BH43" i="20"/>
  <c r="BI43" i="20"/>
  <c r="BJ43" i="20"/>
  <c r="BK43" i="20"/>
  <c r="BL43" i="20"/>
  <c r="BZ43" i="20"/>
  <c r="CA43" i="20"/>
  <c r="CB43" i="20"/>
  <c r="CC43" i="20"/>
  <c r="CD43" i="20"/>
  <c r="CE43" i="20"/>
  <c r="CF43" i="20"/>
  <c r="CG43" i="20"/>
  <c r="CH43" i="20"/>
  <c r="CI43" i="20"/>
  <c r="CJ43" i="20"/>
  <c r="CK43" i="20"/>
  <c r="CL43" i="20"/>
  <c r="CM43" i="20"/>
  <c r="CN43" i="20"/>
  <c r="CO43" i="20"/>
  <c r="CP43" i="20"/>
  <c r="CQ43" i="20"/>
  <c r="CR43" i="20"/>
  <c r="CT43" i="20"/>
  <c r="CV43" i="20"/>
  <c r="CX43" i="20"/>
  <c r="CZ43" i="20"/>
  <c r="DB43" i="20"/>
  <c r="DD43" i="20"/>
  <c r="DE43" i="20"/>
  <c r="DF43" i="20"/>
  <c r="DG43" i="20"/>
  <c r="DI43" i="20"/>
  <c r="DK43" i="20"/>
  <c r="DM43" i="20"/>
  <c r="DO43" i="20"/>
  <c r="DQ43" i="20"/>
  <c r="DS43" i="20"/>
  <c r="DT43" i="20"/>
  <c r="DU43" i="20"/>
  <c r="DV43" i="20"/>
  <c r="DX43" i="20"/>
  <c r="DZ43" i="20"/>
  <c r="EB43" i="20"/>
  <c r="ED43" i="20"/>
  <c r="EF43" i="20"/>
  <c r="EH43" i="20"/>
  <c r="EI43" i="20"/>
  <c r="EJ43" i="20"/>
  <c r="EW43" i="20"/>
  <c r="EX43" i="20"/>
  <c r="EY43" i="20"/>
  <c r="EZ43" i="20"/>
  <c r="FA43" i="20"/>
  <c r="FB43" i="20"/>
  <c r="FC43" i="20"/>
  <c r="FD43" i="20"/>
  <c r="FE43" i="20"/>
  <c r="FF43" i="20"/>
  <c r="FG43" i="20"/>
  <c r="FH43" i="20"/>
  <c r="FI43" i="20"/>
  <c r="FJ43" i="20"/>
  <c r="FK43" i="20"/>
  <c r="FL43" i="20"/>
  <c r="FM43" i="20"/>
  <c r="FN43" i="20"/>
  <c r="FO43" i="20"/>
  <c r="FP43" i="20"/>
  <c r="FQ43" i="20"/>
  <c r="FR43" i="20"/>
  <c r="FS43" i="20"/>
  <c r="FT43" i="20"/>
  <c r="FU43" i="20"/>
  <c r="FV43" i="20"/>
  <c r="FW43" i="20"/>
  <c r="FX43" i="20"/>
  <c r="FY43" i="20"/>
  <c r="FZ43" i="20"/>
  <c r="GA43" i="20"/>
  <c r="GB43" i="20"/>
  <c r="GC43" i="20"/>
  <c r="GD43" i="20"/>
  <c r="GF43" i="20"/>
  <c r="GH43" i="20"/>
  <c r="GJ43" i="20"/>
  <c r="GL43" i="20"/>
  <c r="GN43" i="20"/>
  <c r="GP43" i="20"/>
  <c r="GQ43" i="20"/>
  <c r="GR43" i="20"/>
  <c r="GS43" i="20"/>
  <c r="GU43" i="20"/>
  <c r="GW43" i="20"/>
  <c r="GY43" i="20"/>
  <c r="HA43" i="20"/>
  <c r="HC43" i="20"/>
  <c r="HE43" i="20"/>
  <c r="HF43" i="20"/>
  <c r="HG43" i="20"/>
  <c r="HH43" i="20"/>
  <c r="HJ43" i="20"/>
  <c r="HL43" i="20"/>
  <c r="HN43" i="20"/>
  <c r="HP43" i="20"/>
  <c r="HR43" i="20"/>
  <c r="HT43" i="20"/>
  <c r="HU43" i="20"/>
  <c r="HV43" i="20"/>
  <c r="HW43" i="20"/>
  <c r="HY43" i="20"/>
  <c r="IA43" i="20"/>
  <c r="IC43" i="20"/>
  <c r="IE43" i="20"/>
  <c r="IG43" i="20"/>
  <c r="IH43" i="20"/>
  <c r="II43" i="20"/>
  <c r="IJ43" i="20"/>
  <c r="IK43" i="20"/>
  <c r="IL43" i="20"/>
  <c r="IN43" i="20"/>
  <c r="IP43" i="20"/>
  <c r="IR43" i="20"/>
  <c r="IT43" i="20"/>
  <c r="IV43" i="20"/>
  <c r="A44" i="20"/>
  <c r="B44" i="20"/>
  <c r="C44" i="20"/>
  <c r="D44" i="20"/>
  <c r="E44" i="20"/>
  <c r="G44" i="20"/>
  <c r="I44" i="20"/>
  <c r="K44" i="20"/>
  <c r="M44" i="20"/>
  <c r="O44" i="20"/>
  <c r="Q44" i="20"/>
  <c r="R44" i="20"/>
  <c r="S44" i="20"/>
  <c r="T44" i="20"/>
  <c r="V44" i="20"/>
  <c r="X44" i="20"/>
  <c r="Z44" i="20"/>
  <c r="AB44" i="20"/>
  <c r="AD44" i="20"/>
  <c r="AE44" i="20"/>
  <c r="AF44" i="20"/>
  <c r="AG44" i="20"/>
  <c r="AH44" i="20"/>
  <c r="AU44" i="20"/>
  <c r="AV44" i="20"/>
  <c r="AW44" i="20"/>
  <c r="AX44" i="20"/>
  <c r="AY44" i="20"/>
  <c r="AZ44" i="20"/>
  <c r="BA44" i="20"/>
  <c r="BB44" i="20"/>
  <c r="BC44" i="20"/>
  <c r="BD44" i="20"/>
  <c r="BE44" i="20"/>
  <c r="BF44" i="20"/>
  <c r="BG44" i="20"/>
  <c r="BH44" i="20"/>
  <c r="BI44" i="20"/>
  <c r="BJ44" i="20"/>
  <c r="BK44" i="20"/>
  <c r="BL44" i="20"/>
  <c r="BM44" i="20"/>
  <c r="BN44" i="20"/>
  <c r="BO44" i="20"/>
  <c r="BP44" i="20"/>
  <c r="BQ44" i="20"/>
  <c r="BR44" i="20"/>
  <c r="BS44" i="20"/>
  <c r="BT44" i="20"/>
  <c r="BU44" i="20"/>
  <c r="BV44" i="20"/>
  <c r="BW44" i="20"/>
  <c r="BX44" i="20"/>
  <c r="BY44" i="20"/>
  <c r="BZ44" i="20"/>
  <c r="CA44" i="20"/>
  <c r="CB44" i="20"/>
  <c r="CD44" i="20"/>
  <c r="CF44" i="20"/>
  <c r="CH44" i="20"/>
  <c r="CJ44" i="20"/>
  <c r="CL44" i="20"/>
  <c r="CM44" i="20"/>
  <c r="CN44" i="20"/>
  <c r="CO44" i="20"/>
  <c r="CP44" i="20"/>
  <c r="CQ44" i="20"/>
  <c r="CS44" i="20"/>
  <c r="CU44" i="20"/>
  <c r="CW44" i="20"/>
  <c r="CY44" i="20"/>
  <c r="DA44" i="20"/>
  <c r="DC44" i="20"/>
  <c r="DD44" i="20"/>
  <c r="DE44" i="20"/>
  <c r="DF44" i="20"/>
  <c r="DH44" i="20"/>
  <c r="DJ44" i="20"/>
  <c r="DL44" i="20"/>
  <c r="DN44" i="20"/>
  <c r="DP44" i="20"/>
  <c r="DR44" i="20"/>
  <c r="DS44" i="20"/>
  <c r="DT44" i="20"/>
  <c r="DU44" i="20"/>
  <c r="DW44" i="20"/>
  <c r="DY44" i="20"/>
  <c r="EA44" i="20"/>
  <c r="EC44" i="20"/>
  <c r="EE44" i="20"/>
  <c r="EG44" i="20"/>
  <c r="EH44" i="20"/>
  <c r="EI44" i="20"/>
  <c r="EV44" i="20"/>
  <c r="EW44" i="20"/>
  <c r="EX44" i="20"/>
  <c r="EY44" i="20"/>
  <c r="EZ44" i="20"/>
  <c r="FA44" i="20"/>
  <c r="FB44" i="20"/>
  <c r="FC44" i="20"/>
  <c r="FD44" i="20"/>
  <c r="FE44" i="20"/>
  <c r="FF44" i="20"/>
  <c r="FG44" i="20"/>
  <c r="FH44" i="20"/>
  <c r="FI44" i="20"/>
  <c r="FJ44" i="20"/>
  <c r="FK44" i="20"/>
  <c r="FL44" i="20"/>
  <c r="FM44" i="20"/>
  <c r="FN44" i="20"/>
  <c r="FO44" i="20"/>
  <c r="FP44" i="20"/>
  <c r="FQ44" i="20"/>
  <c r="FR44" i="20"/>
  <c r="FS44" i="20"/>
  <c r="FT44" i="20"/>
  <c r="FU44" i="20"/>
  <c r="FV44" i="20"/>
  <c r="FW44" i="20"/>
  <c r="FX44" i="20"/>
  <c r="FY44" i="20"/>
  <c r="FZ44" i="20"/>
  <c r="GA44" i="20"/>
  <c r="GB44" i="20"/>
  <c r="GC44" i="20"/>
  <c r="GD44" i="20"/>
  <c r="GE44" i="20"/>
  <c r="GF44" i="20"/>
  <c r="GG44" i="20"/>
  <c r="GH44" i="20"/>
  <c r="GI44" i="20"/>
  <c r="GJ44" i="20"/>
  <c r="GK44" i="20"/>
  <c r="GL44" i="20"/>
  <c r="GM44" i="20"/>
  <c r="GN44" i="20"/>
  <c r="GO44" i="20"/>
  <c r="GP44" i="20"/>
  <c r="GQ44" i="20"/>
  <c r="GR44" i="20"/>
  <c r="GS44" i="20"/>
  <c r="GT44" i="20"/>
  <c r="GU44" i="20"/>
  <c r="GV44" i="20"/>
  <c r="GW44" i="20"/>
  <c r="HC44" i="20"/>
  <c r="HD44" i="20"/>
  <c r="HE44" i="20"/>
  <c r="HF44" i="20"/>
  <c r="HG44" i="20"/>
  <c r="HH44" i="20"/>
  <c r="HO44" i="20"/>
  <c r="HP44" i="20"/>
  <c r="HQ44" i="20"/>
  <c r="HR44" i="20"/>
  <c r="HS44" i="20"/>
  <c r="HT44" i="20"/>
  <c r="HU44" i="20"/>
  <c r="HV44" i="20"/>
  <c r="HW44" i="20"/>
  <c r="HX44" i="20"/>
  <c r="HY44" i="20"/>
  <c r="HZ44" i="20"/>
  <c r="IA44" i="20"/>
  <c r="IB44" i="20"/>
  <c r="IC44" i="20"/>
  <c r="ID44" i="20"/>
  <c r="IE44" i="20"/>
  <c r="IF44" i="20"/>
  <c r="IG44" i="20"/>
  <c r="IH44" i="20"/>
  <c r="II44" i="20"/>
  <c r="IJ44" i="20"/>
  <c r="IK44" i="20"/>
  <c r="IM44" i="20"/>
  <c r="IO44" i="20"/>
  <c r="IP44" i="20"/>
  <c r="IQ44" i="20"/>
  <c r="IR44" i="20"/>
  <c r="IS44" i="20"/>
  <c r="IT44" i="20"/>
  <c r="IU44" i="20"/>
  <c r="A45" i="20"/>
  <c r="C45" i="20"/>
  <c r="E45" i="20"/>
  <c r="F45" i="20"/>
  <c r="G45" i="20"/>
  <c r="H45" i="20"/>
  <c r="J45" i="20"/>
  <c r="L45" i="20"/>
  <c r="M45" i="20"/>
  <c r="N45" i="20"/>
  <c r="O45" i="20"/>
  <c r="P45" i="20"/>
  <c r="Q45" i="20"/>
  <c r="R45" i="20"/>
  <c r="T45" i="20"/>
  <c r="V45" i="20"/>
  <c r="W45" i="20"/>
  <c r="X45" i="20"/>
  <c r="Y45" i="20"/>
  <c r="Z45" i="20"/>
  <c r="AA45" i="20"/>
  <c r="AC45" i="20"/>
  <c r="AE45" i="20"/>
  <c r="AF45" i="20"/>
  <c r="AG45" i="20"/>
  <c r="AH45" i="20"/>
  <c r="AI45" i="20"/>
  <c r="AJ45" i="20"/>
  <c r="AK45" i="20"/>
  <c r="AM45" i="20"/>
  <c r="AO45" i="20"/>
  <c r="AQ45" i="20"/>
  <c r="AR45" i="20"/>
  <c r="AS45" i="20"/>
  <c r="AT45" i="20"/>
  <c r="AV45" i="20"/>
  <c r="AX45" i="20"/>
  <c r="AY45" i="20"/>
  <c r="AZ45" i="20"/>
  <c r="BA45" i="20"/>
  <c r="BB45" i="20"/>
  <c r="BC45" i="20"/>
  <c r="BD45" i="20"/>
  <c r="BF45" i="20"/>
  <c r="BH45" i="20"/>
  <c r="BJ45" i="20"/>
  <c r="BK45" i="20"/>
  <c r="BL45" i="20"/>
  <c r="BM45" i="20"/>
  <c r="BO45" i="20"/>
  <c r="BQ45" i="20"/>
  <c r="BR45" i="20"/>
  <c r="BS45" i="20"/>
  <c r="BT45" i="20"/>
  <c r="BU45" i="20"/>
  <c r="BV45" i="20"/>
  <c r="BW45" i="20"/>
  <c r="BY45" i="20"/>
  <c r="CC45" i="20"/>
  <c r="CD45" i="20"/>
  <c r="CE45" i="20"/>
  <c r="CF45" i="20"/>
  <c r="CG45" i="20"/>
  <c r="CH45" i="20"/>
  <c r="CI45" i="20"/>
  <c r="CJ45" i="20"/>
  <c r="CK45" i="20"/>
  <c r="CL45" i="20"/>
  <c r="CM45" i="20"/>
  <c r="CN45" i="20"/>
  <c r="CO45" i="20"/>
  <c r="CP45" i="20"/>
  <c r="CQ45" i="20"/>
  <c r="CR45" i="20"/>
  <c r="CS45" i="20"/>
  <c r="CT45" i="20"/>
  <c r="CU45" i="20"/>
  <c r="CV45" i="20"/>
  <c r="CW45" i="20"/>
  <c r="CX45" i="20"/>
  <c r="CY45" i="20"/>
  <c r="DA45" i="20"/>
  <c r="DC45" i="20"/>
  <c r="DD45" i="20"/>
  <c r="DE45" i="20"/>
  <c r="DF45" i="20"/>
  <c r="DG45" i="20"/>
  <c r="DH45" i="20"/>
  <c r="DI45" i="20"/>
  <c r="DK45" i="20"/>
  <c r="DM45" i="20"/>
  <c r="DN45" i="20"/>
  <c r="DO45" i="20"/>
  <c r="DP45" i="20"/>
  <c r="DQ45" i="20"/>
  <c r="DR45" i="20"/>
  <c r="DT45" i="20"/>
  <c r="DV45" i="20"/>
  <c r="DW45" i="20"/>
  <c r="DX45" i="20"/>
  <c r="DY45" i="20"/>
  <c r="DZ45" i="20"/>
  <c r="EA45" i="20"/>
  <c r="EB45" i="20"/>
  <c r="ED45" i="20"/>
  <c r="EF45" i="20"/>
  <c r="EG45" i="20"/>
  <c r="EH45" i="20"/>
  <c r="EI45" i="20"/>
  <c r="EJ45" i="20"/>
  <c r="EK45" i="20"/>
  <c r="EM45" i="20"/>
  <c r="EO45" i="20"/>
  <c r="EP45" i="20"/>
  <c r="EQ45" i="20"/>
  <c r="ER45" i="20"/>
  <c r="ES45" i="20"/>
  <c r="ET45" i="20"/>
  <c r="EU45" i="20"/>
  <c r="EW45" i="20"/>
  <c r="EY45" i="20"/>
  <c r="EZ45" i="20"/>
  <c r="FA45" i="20"/>
  <c r="FB45" i="20"/>
  <c r="FC45" i="20"/>
  <c r="FD45" i="20"/>
  <c r="FE45" i="20"/>
  <c r="FF45" i="20"/>
  <c r="FG45" i="20"/>
  <c r="FH45" i="20"/>
  <c r="FI45" i="20"/>
  <c r="FJ45" i="20"/>
  <c r="FK45" i="20"/>
  <c r="FL45" i="20"/>
  <c r="FM45" i="20"/>
  <c r="FN45" i="20"/>
  <c r="FO45" i="20"/>
  <c r="FP45" i="20"/>
  <c r="FQ45" i="20"/>
  <c r="FR45" i="20"/>
  <c r="FS45" i="20"/>
  <c r="FT45" i="20"/>
  <c r="FU45" i="20"/>
  <c r="FV45" i="20"/>
  <c r="FW45" i="20"/>
  <c r="FY45" i="20"/>
  <c r="GA45" i="20"/>
  <c r="GB45" i="20"/>
  <c r="GC45" i="20"/>
  <c r="GD45" i="20"/>
  <c r="GE45" i="20"/>
  <c r="GF45" i="20"/>
  <c r="GG45" i="20"/>
  <c r="GI45" i="20"/>
  <c r="GM45" i="20"/>
  <c r="GN45" i="20"/>
  <c r="GO45" i="20"/>
  <c r="GP45" i="20"/>
  <c r="GQ45" i="20"/>
  <c r="GR45" i="20"/>
  <c r="GS45" i="20"/>
  <c r="GT45" i="20"/>
  <c r="GU45" i="20"/>
  <c r="GV45" i="20"/>
  <c r="GW45" i="20"/>
  <c r="GX45" i="20"/>
  <c r="GY45" i="20"/>
  <c r="GZ45" i="20"/>
  <c r="HA45" i="20"/>
  <c r="HB45" i="20"/>
  <c r="HC45" i="20"/>
  <c r="HD45" i="20"/>
  <c r="HE45" i="20"/>
  <c r="HF45" i="20"/>
  <c r="HG45" i="20"/>
  <c r="HH45" i="20"/>
  <c r="HI45" i="20"/>
  <c r="HK45" i="20"/>
  <c r="HM45" i="20"/>
  <c r="HN45" i="20"/>
  <c r="HO45" i="20"/>
  <c r="HP45" i="20"/>
  <c r="HQ45" i="20"/>
  <c r="HR45" i="20"/>
  <c r="HS45" i="20"/>
  <c r="HU45" i="20"/>
  <c r="HW45" i="20"/>
  <c r="HY45" i="20"/>
  <c r="HZ45" i="20"/>
  <c r="IA45" i="20"/>
  <c r="IB45" i="20"/>
  <c r="ID45" i="20"/>
  <c r="IF45" i="20"/>
  <c r="IG45" i="20"/>
  <c r="IH45" i="20"/>
  <c r="II45" i="20"/>
  <c r="IJ45" i="20"/>
  <c r="IK45" i="20"/>
  <c r="IL45" i="20"/>
  <c r="IN45" i="20"/>
  <c r="IP45" i="20"/>
  <c r="IR45" i="20"/>
  <c r="IS45" i="20"/>
  <c r="IT45" i="20"/>
  <c r="IU45" i="20"/>
  <c r="A46" i="20"/>
  <c r="C46" i="20"/>
  <c r="D46" i="20"/>
  <c r="E46" i="20"/>
  <c r="F46" i="20"/>
  <c r="G46" i="20"/>
  <c r="H46" i="20"/>
  <c r="I46" i="20"/>
  <c r="K46" i="20"/>
  <c r="M46" i="20"/>
  <c r="O46" i="20"/>
  <c r="P46" i="20"/>
  <c r="Q46" i="20"/>
  <c r="R46" i="20"/>
  <c r="T46" i="20"/>
  <c r="V46" i="20"/>
  <c r="W46" i="20"/>
  <c r="X46" i="20"/>
  <c r="Y46" i="20"/>
  <c r="Z46" i="20"/>
  <c r="AA46" i="20"/>
  <c r="AB46" i="20"/>
  <c r="AD46" i="20"/>
  <c r="AF46" i="20"/>
  <c r="AH46" i="20"/>
  <c r="AI46" i="20"/>
  <c r="AJ46" i="20"/>
  <c r="AK46" i="20"/>
  <c r="AM46" i="20"/>
  <c r="AO46" i="20"/>
  <c r="AP46" i="20"/>
  <c r="AQ46" i="20"/>
  <c r="AR46" i="20"/>
  <c r="AS46" i="20"/>
  <c r="AT46" i="20"/>
  <c r="AU46" i="20"/>
  <c r="AW46" i="20"/>
  <c r="AY46" i="20"/>
  <c r="AZ46" i="20"/>
  <c r="BA46" i="20"/>
  <c r="BB46" i="20"/>
  <c r="BC46" i="20"/>
  <c r="BD46" i="20"/>
  <c r="BE46" i="20"/>
  <c r="BF46" i="20"/>
  <c r="BG46" i="20"/>
  <c r="BH46" i="20"/>
  <c r="BI46" i="20"/>
  <c r="BJ46" i="20"/>
  <c r="BK46" i="20"/>
  <c r="BL46" i="20"/>
  <c r="BM46" i="20"/>
  <c r="BN46" i="20"/>
  <c r="BO46" i="20"/>
  <c r="BP46" i="20"/>
  <c r="BQ46" i="20"/>
  <c r="BR46" i="20"/>
  <c r="BS46" i="20"/>
  <c r="BT46" i="20"/>
  <c r="BU46" i="20"/>
  <c r="BV46" i="20"/>
  <c r="BW46" i="20"/>
  <c r="BY46" i="20"/>
  <c r="CA46" i="20"/>
  <c r="CB46" i="20"/>
  <c r="CC46" i="20"/>
  <c r="CD46" i="20"/>
  <c r="CE46" i="20"/>
  <c r="CF46" i="20"/>
  <c r="CG46" i="20"/>
  <c r="CM46" i="20"/>
  <c r="CN46" i="20"/>
  <c r="CO46" i="20"/>
  <c r="CP46" i="20"/>
  <c r="CQ46" i="20"/>
  <c r="CR46" i="20"/>
  <c r="CS46" i="20"/>
  <c r="CT46" i="20"/>
  <c r="CU46" i="20"/>
  <c r="CV46" i="20"/>
  <c r="CW46" i="20"/>
  <c r="CX46" i="20"/>
  <c r="CY46" i="20"/>
  <c r="CZ46" i="20"/>
  <c r="DA46" i="20"/>
  <c r="DB46" i="20"/>
  <c r="DC46" i="20"/>
  <c r="DD46" i="20"/>
  <c r="DE46" i="20"/>
  <c r="DF46" i="20"/>
  <c r="DG46" i="20"/>
  <c r="DH46" i="20"/>
  <c r="DI46" i="20"/>
  <c r="DK46" i="20"/>
  <c r="DM46" i="20"/>
  <c r="DN46" i="20"/>
  <c r="DO46" i="20"/>
  <c r="DP46" i="20"/>
  <c r="DQ46" i="20"/>
  <c r="DR46" i="20"/>
  <c r="DS46" i="20"/>
  <c r="DU46" i="20"/>
  <c r="DW46" i="20"/>
  <c r="DY46" i="20"/>
  <c r="DZ46" i="20"/>
  <c r="EA46" i="20"/>
  <c r="EB46" i="20"/>
  <c r="ED46" i="20"/>
  <c r="EF46" i="20"/>
  <c r="EG46" i="20"/>
  <c r="EH46" i="20"/>
  <c r="EI46" i="20"/>
  <c r="EJ46" i="20"/>
  <c r="EK46" i="20"/>
  <c r="EL46" i="20"/>
  <c r="EN46" i="20"/>
  <c r="EP46" i="20"/>
  <c r="EQ46" i="20"/>
  <c r="ER46" i="20"/>
  <c r="ES46" i="20"/>
  <c r="ET46" i="20"/>
  <c r="EU46" i="20"/>
  <c r="EW46" i="20"/>
  <c r="EY46" i="20"/>
  <c r="EZ46" i="20"/>
  <c r="FA46" i="20"/>
  <c r="FB46" i="20"/>
  <c r="FC46" i="20"/>
  <c r="FD46" i="20"/>
  <c r="FE46" i="20"/>
  <c r="FG46" i="20"/>
  <c r="FI46" i="20"/>
  <c r="FK46" i="20"/>
  <c r="FL46" i="20"/>
  <c r="FM46" i="20"/>
  <c r="FN46" i="20"/>
  <c r="FP46" i="20"/>
  <c r="FR46" i="20"/>
  <c r="FS46" i="20"/>
  <c r="FT46" i="20"/>
  <c r="FU46" i="20"/>
  <c r="FV46" i="20"/>
  <c r="FW46" i="20"/>
  <c r="FX46" i="20"/>
  <c r="FZ46" i="20"/>
  <c r="GD46" i="20"/>
  <c r="GE46" i="20"/>
  <c r="GF46" i="20"/>
  <c r="GG46" i="20"/>
  <c r="GH46" i="20"/>
  <c r="GI46" i="20"/>
  <c r="GJ46" i="20"/>
  <c r="GK46" i="20"/>
  <c r="GL46" i="20"/>
  <c r="GM46" i="20"/>
  <c r="GN46" i="20"/>
  <c r="GO46" i="20"/>
  <c r="GP46" i="20"/>
  <c r="GQ46" i="20"/>
  <c r="GR46" i="20"/>
  <c r="GS46" i="20"/>
  <c r="GT46" i="20"/>
  <c r="GU46" i="20"/>
  <c r="GV46" i="20"/>
  <c r="GW46" i="20"/>
  <c r="GX46" i="20"/>
  <c r="GY46" i="20"/>
  <c r="GZ46" i="20"/>
  <c r="HB46" i="20"/>
  <c r="HD46" i="20"/>
  <c r="HE46" i="20"/>
  <c r="HF46" i="20"/>
  <c r="HG46" i="20"/>
  <c r="HH46" i="20"/>
  <c r="HI46" i="20"/>
  <c r="HJ46" i="20"/>
  <c r="HL46" i="20"/>
  <c r="HN46" i="20"/>
  <c r="HP46" i="20"/>
  <c r="HQ46" i="20"/>
  <c r="HR46" i="20"/>
  <c r="HS46" i="20"/>
  <c r="HU46" i="20"/>
  <c r="HW46" i="20"/>
  <c r="HX46" i="20"/>
  <c r="HY46" i="20"/>
  <c r="HZ46" i="20"/>
  <c r="IA46" i="20"/>
  <c r="IB46" i="20"/>
  <c r="IC46" i="20"/>
  <c r="IE46" i="20"/>
  <c r="IG46" i="20"/>
  <c r="II46" i="20"/>
  <c r="IJ46" i="20"/>
  <c r="IK46" i="20"/>
  <c r="IL46" i="20"/>
  <c r="IN46" i="20"/>
  <c r="IP46" i="20"/>
  <c r="IQ46" i="20"/>
  <c r="IR46" i="20"/>
  <c r="IS46" i="20"/>
  <c r="IT46" i="20"/>
  <c r="IU46" i="20"/>
  <c r="IV46" i="20"/>
  <c r="B47" i="20"/>
  <c r="D47" i="20"/>
  <c r="F36" i="18"/>
  <c r="L47" i="20" s="1"/>
  <c r="F47" i="20"/>
  <c r="G47" i="20"/>
  <c r="H47" i="20"/>
  <c r="I47" i="20"/>
  <c r="K47" i="20"/>
  <c r="M47" i="20"/>
  <c r="N47" i="20"/>
  <c r="O47" i="20"/>
  <c r="P47" i="20"/>
  <c r="Q47" i="20"/>
  <c r="R47" i="20"/>
  <c r="S47" i="20"/>
  <c r="U47" i="20"/>
  <c r="W47" i="20"/>
  <c r="Y47" i="20"/>
  <c r="Z47" i="20"/>
  <c r="AA47" i="20"/>
  <c r="AB47" i="20"/>
  <c r="AD47" i="20"/>
  <c r="AF47" i="20"/>
  <c r="AG47" i="20"/>
  <c r="AH47" i="20"/>
  <c r="AI47" i="20"/>
  <c r="AJ47" i="20"/>
  <c r="AK47" i="20"/>
  <c r="AL47" i="20"/>
  <c r="AN47" i="20"/>
  <c r="AP47" i="20"/>
  <c r="AQ47" i="20"/>
  <c r="AR47" i="20"/>
  <c r="AS47" i="20"/>
  <c r="AT47" i="20"/>
  <c r="AU47" i="20"/>
  <c r="AV47" i="20"/>
  <c r="AW47" i="20"/>
  <c r="AX47" i="20"/>
  <c r="AY47" i="20"/>
  <c r="AZ47" i="20"/>
  <c r="BA47" i="20"/>
  <c r="BB47" i="20"/>
  <c r="BC47" i="20"/>
  <c r="BD47" i="20"/>
  <c r="BE47" i="20"/>
  <c r="BF47" i="20"/>
  <c r="BG47" i="20"/>
  <c r="BH47" i="20"/>
  <c r="BI47" i="20"/>
  <c r="BJ47" i="20"/>
  <c r="BK47" i="20"/>
  <c r="BL47" i="20"/>
  <c r="BM47" i="20"/>
  <c r="BN47" i="20"/>
  <c r="BP47" i="20"/>
  <c r="BR47" i="20"/>
  <c r="BS47" i="20"/>
  <c r="BT47" i="20"/>
  <c r="BU47" i="20"/>
  <c r="BV47" i="20"/>
  <c r="BW47" i="20"/>
  <c r="BX47" i="20"/>
  <c r="CD47" i="20"/>
  <c r="CE47" i="20"/>
  <c r="CF47" i="20"/>
  <c r="CG47" i="20"/>
  <c r="CH47" i="20"/>
  <c r="CI47" i="20"/>
  <c r="CJ47" i="20"/>
  <c r="CK47" i="20"/>
  <c r="CL47" i="20"/>
  <c r="CM47" i="20"/>
  <c r="CN47" i="20"/>
  <c r="CO47" i="20"/>
  <c r="CP47" i="20"/>
  <c r="CQ47" i="20"/>
  <c r="CR47" i="20"/>
  <c r="CS47" i="20"/>
  <c r="CT47" i="20"/>
  <c r="CU47" i="20"/>
  <c r="CV47" i="20"/>
  <c r="CW47" i="20"/>
  <c r="CX47" i="20"/>
  <c r="CY47" i="20"/>
  <c r="CZ47" i="20"/>
  <c r="DA47" i="20"/>
  <c r="DB47" i="20"/>
  <c r="DC47" i="20"/>
  <c r="DD47" i="20"/>
  <c r="DE47" i="20"/>
  <c r="DF47" i="20"/>
  <c r="DG47" i="20"/>
  <c r="DH47" i="20"/>
  <c r="DI47" i="20"/>
  <c r="DJ47" i="20"/>
  <c r="DK47" i="20"/>
  <c r="DL47" i="20"/>
  <c r="DM47" i="20"/>
  <c r="DN47" i="20"/>
  <c r="DO47" i="20"/>
  <c r="DP47" i="20"/>
  <c r="DQ47" i="20"/>
  <c r="DR47" i="20"/>
  <c r="DS47" i="20"/>
  <c r="DT47" i="20"/>
  <c r="DU47" i="20"/>
  <c r="DV47" i="20"/>
  <c r="DW47" i="20"/>
  <c r="EI47" i="20"/>
  <c r="EJ47" i="20"/>
  <c r="EK47" i="20"/>
  <c r="EL47" i="20"/>
  <c r="EM47" i="20"/>
  <c r="EN47" i="20"/>
  <c r="EO47" i="20"/>
  <c r="EP47" i="20"/>
  <c r="EQ47" i="20"/>
  <c r="ER47" i="20"/>
  <c r="ES47" i="20"/>
  <c r="ET47" i="20"/>
  <c r="EU47" i="20"/>
  <c r="EV47" i="20"/>
  <c r="EW47" i="20"/>
  <c r="EX47" i="20"/>
  <c r="EY47" i="20"/>
  <c r="EZ47" i="20"/>
  <c r="FA47" i="20"/>
  <c r="FB47" i="20"/>
  <c r="FC47" i="20"/>
  <c r="FD47" i="20"/>
  <c r="FE47" i="20"/>
  <c r="FF47" i="20"/>
  <c r="FG47" i="20"/>
  <c r="FH47" i="20"/>
  <c r="FI47" i="20"/>
  <c r="FJ47" i="20"/>
  <c r="FK47" i="20"/>
  <c r="FL47" i="20"/>
  <c r="FN47" i="20"/>
  <c r="FP47" i="20"/>
  <c r="FR47" i="20"/>
  <c r="FT47" i="20"/>
  <c r="FV47" i="20"/>
  <c r="FW47" i="20"/>
  <c r="FX47" i="20"/>
  <c r="FY47" i="20"/>
  <c r="GA47" i="20"/>
  <c r="GC47" i="20"/>
  <c r="GE47" i="20"/>
  <c r="GG47" i="20"/>
  <c r="GH47" i="20"/>
  <c r="GI47" i="20"/>
  <c r="GJ47" i="20"/>
  <c r="GK47" i="20"/>
  <c r="GL47" i="20"/>
  <c r="GN47" i="20"/>
  <c r="GP47" i="20"/>
  <c r="GR47" i="20"/>
  <c r="GT47" i="20"/>
  <c r="GU47" i="20"/>
  <c r="GV47" i="20"/>
  <c r="GW47" i="20"/>
  <c r="GX47" i="20"/>
  <c r="GY47" i="20"/>
  <c r="HA47" i="20"/>
  <c r="HC47" i="20"/>
  <c r="HE47" i="20"/>
  <c r="HG47" i="20"/>
  <c r="HI47" i="20"/>
  <c r="HJ47" i="20"/>
  <c r="HK47" i="20"/>
  <c r="HL47" i="20"/>
  <c r="HN47" i="20"/>
  <c r="HP47" i="20"/>
  <c r="HR47" i="20"/>
  <c r="HT47" i="20"/>
  <c r="HU47" i="20"/>
  <c r="HV47" i="20"/>
  <c r="HW47" i="20"/>
  <c r="HX47" i="20"/>
  <c r="HY47" i="20"/>
  <c r="IA47" i="20"/>
  <c r="IC47" i="20"/>
  <c r="IE47" i="20"/>
  <c r="IG47" i="20"/>
  <c r="II47" i="20"/>
  <c r="IJ47" i="20"/>
  <c r="IK47" i="20"/>
  <c r="IL47" i="20"/>
  <c r="IM47" i="20"/>
  <c r="IN47" i="20"/>
  <c r="IO47" i="20"/>
  <c r="IP47" i="20"/>
  <c r="IQ47" i="20"/>
  <c r="IR47" i="20"/>
  <c r="IS47" i="20"/>
  <c r="IT47" i="20"/>
  <c r="IU47" i="20"/>
  <c r="IV47" i="20"/>
  <c r="A48" i="20"/>
  <c r="B48" i="20"/>
  <c r="M48" i="20"/>
  <c r="N48" i="20"/>
  <c r="O48" i="20"/>
  <c r="P48" i="20"/>
  <c r="Q48" i="20"/>
  <c r="R48" i="20"/>
  <c r="S48" i="20"/>
  <c r="T48" i="20"/>
  <c r="U48" i="20"/>
  <c r="V48" i="20"/>
  <c r="W48" i="20"/>
  <c r="X48" i="20"/>
  <c r="Y48" i="20"/>
  <c r="Z48" i="20"/>
  <c r="AA48" i="20"/>
  <c r="AB48" i="20"/>
  <c r="AC48" i="20"/>
  <c r="AE48" i="20"/>
  <c r="AG48" i="20"/>
  <c r="AI48" i="20"/>
  <c r="AK48" i="20"/>
  <c r="AL48" i="20"/>
  <c r="AM48" i="20"/>
  <c r="AN48" i="20"/>
  <c r="AO48" i="20"/>
  <c r="AP48" i="20"/>
  <c r="AR48" i="20"/>
  <c r="AT48" i="20"/>
  <c r="AV48" i="20"/>
  <c r="AX48" i="20"/>
  <c r="AY48" i="20"/>
  <c r="AZ48" i="20"/>
  <c r="BA48" i="20"/>
  <c r="BB48" i="20"/>
  <c r="BC48" i="20"/>
  <c r="BE48" i="20"/>
  <c r="BG48" i="20"/>
  <c r="BI48" i="20"/>
  <c r="BK48" i="20"/>
  <c r="BM48" i="20"/>
  <c r="BN48" i="20"/>
  <c r="BO48" i="20"/>
  <c r="BP48" i="20"/>
  <c r="BR48" i="20"/>
  <c r="BT48" i="20"/>
  <c r="BV48" i="20"/>
  <c r="BX48" i="20"/>
  <c r="BZ48" i="20"/>
  <c r="CA48" i="20"/>
  <c r="CB48" i="20"/>
  <c r="CC48" i="20"/>
  <c r="CE48" i="20"/>
  <c r="CG48" i="20"/>
  <c r="CI48" i="20"/>
  <c r="CK48" i="20"/>
  <c r="CL48" i="20"/>
  <c r="CM48" i="20"/>
  <c r="CN48" i="20"/>
  <c r="CO48" i="20"/>
  <c r="CP48" i="20"/>
  <c r="CQ48" i="20"/>
  <c r="CR48" i="20"/>
  <c r="CS48" i="20"/>
  <c r="CT48" i="20"/>
  <c r="CU48" i="20"/>
  <c r="CV48" i="20"/>
  <c r="CW48" i="20"/>
  <c r="CX48" i="20"/>
  <c r="CY48" i="20"/>
  <c r="CZ48" i="20"/>
  <c r="DA48" i="20"/>
  <c r="DB48" i="20"/>
  <c r="DM48" i="20"/>
  <c r="DN48" i="20"/>
  <c r="DO48" i="20"/>
  <c r="DP48" i="20"/>
  <c r="DQ48" i="20"/>
  <c r="DR48" i="20"/>
  <c r="DS48" i="20"/>
  <c r="DT48" i="20"/>
  <c r="DU48" i="20"/>
  <c r="DV48" i="20"/>
  <c r="DW48" i="20"/>
  <c r="DX48" i="20"/>
  <c r="DY48" i="20"/>
  <c r="DZ48" i="20"/>
  <c r="EA48" i="20"/>
  <c r="EB48" i="20"/>
  <c r="EC48" i="20"/>
  <c r="EE48" i="20"/>
  <c r="EG48" i="20"/>
  <c r="EI48" i="20"/>
  <c r="EK48" i="20"/>
  <c r="EL48" i="20"/>
  <c r="EM48" i="20"/>
  <c r="EN48" i="20"/>
  <c r="EO48" i="20"/>
  <c r="EP48" i="20"/>
  <c r="ER48" i="20"/>
  <c r="ET48" i="20"/>
  <c r="EV48" i="20"/>
  <c r="EX48" i="20"/>
  <c r="EZ48" i="20"/>
  <c r="FA48" i="20"/>
  <c r="FB48" i="20"/>
  <c r="FC48" i="20"/>
  <c r="FE48" i="20"/>
  <c r="FG48" i="20"/>
  <c r="FI48" i="20"/>
  <c r="FK48" i="20"/>
  <c r="FM48" i="20"/>
  <c r="FN48" i="20"/>
  <c r="FO48" i="20"/>
  <c r="FP48" i="20"/>
  <c r="FR48" i="20"/>
  <c r="FT48" i="20"/>
  <c r="FV48" i="20"/>
  <c r="FX48" i="20"/>
  <c r="FY48" i="20"/>
  <c r="FZ48" i="20"/>
  <c r="GA48" i="20"/>
  <c r="GB48" i="20"/>
  <c r="GC48" i="20"/>
  <c r="GE48" i="20"/>
  <c r="GG48" i="20"/>
  <c r="GI48" i="20"/>
  <c r="GK48" i="20"/>
  <c r="GM48" i="20"/>
  <c r="GN48" i="20"/>
  <c r="GO48" i="20"/>
  <c r="GP48" i="20"/>
  <c r="GR48" i="20"/>
  <c r="GT48" i="20"/>
  <c r="GV48" i="20"/>
  <c r="GX48" i="20"/>
  <c r="GY48" i="20"/>
  <c r="GZ48" i="20"/>
  <c r="HA48" i="20"/>
  <c r="HB48" i="20"/>
  <c r="HC48" i="20"/>
  <c r="HD48" i="20"/>
  <c r="HE48" i="20"/>
  <c r="HF48" i="20"/>
  <c r="HG48" i="20"/>
  <c r="HH48" i="20"/>
  <c r="HI48" i="20"/>
  <c r="HJ48" i="20"/>
  <c r="HK48" i="20"/>
  <c r="HL48" i="20"/>
  <c r="HM48" i="20"/>
  <c r="HN48" i="20"/>
  <c r="HO48" i="20"/>
  <c r="HZ48" i="20"/>
  <c r="IA48" i="20"/>
  <c r="IB48" i="20"/>
  <c r="IC48" i="20"/>
  <c r="ID48" i="20"/>
  <c r="IE48" i="20"/>
  <c r="IF48" i="20"/>
  <c r="IG48" i="20"/>
  <c r="IH48" i="20"/>
  <c r="II48" i="20"/>
  <c r="IJ48" i="20"/>
  <c r="IK48" i="20"/>
  <c r="IL48" i="20"/>
  <c r="IM48" i="20"/>
  <c r="IN48" i="20"/>
  <c r="IO48" i="20"/>
  <c r="IP48" i="20"/>
  <c r="IR48" i="20"/>
  <c r="IS48" i="20"/>
  <c r="IT48" i="20"/>
  <c r="IV48" i="20"/>
  <c r="B49" i="20"/>
  <c r="C49" i="20"/>
  <c r="D33" i="19"/>
  <c r="D49" i="20" s="1"/>
  <c r="E49" i="20"/>
  <c r="F49" i="20"/>
  <c r="G49" i="20"/>
  <c r="H49" i="20"/>
  <c r="I49" i="20"/>
  <c r="K49" i="20"/>
  <c r="M49" i="20"/>
  <c r="N49" i="20"/>
  <c r="O49" i="20"/>
  <c r="P49" i="20"/>
  <c r="Q49" i="20"/>
  <c r="R49" i="20"/>
  <c r="S49" i="20"/>
  <c r="T49" i="20"/>
  <c r="V49" i="20"/>
  <c r="X49" i="20"/>
  <c r="Z49" i="20"/>
  <c r="AA49" i="20"/>
  <c r="AB49" i="20"/>
  <c r="AC49" i="20"/>
  <c r="AD49" i="20"/>
  <c r="AE49" i="20"/>
  <c r="AF49" i="20"/>
  <c r="AG49" i="20"/>
  <c r="AH49" i="20"/>
  <c r="AI49" i="20"/>
  <c r="AJ49" i="20"/>
  <c r="AK49" i="20"/>
  <c r="AL49" i="20"/>
  <c r="AM49" i="20"/>
  <c r="AN49" i="20"/>
  <c r="AO49" i="20"/>
  <c r="AP49" i="20"/>
  <c r="AQ49" i="20"/>
  <c r="AR49" i="20"/>
  <c r="AS49" i="20"/>
  <c r="AT49" i="20"/>
  <c r="AU49" i="20"/>
  <c r="AV49" i="20"/>
  <c r="AW49" i="20"/>
  <c r="AX49" i="20"/>
  <c r="AY49" i="20"/>
  <c r="AZ49" i="20"/>
  <c r="BA49" i="20"/>
  <c r="BB49" i="20"/>
  <c r="BC49" i="20"/>
  <c r="BD49" i="20"/>
  <c r="BE49" i="20"/>
  <c r="BF49" i="20"/>
  <c r="BG49" i="20"/>
  <c r="BI49" i="20"/>
  <c r="BK49" i="20"/>
  <c r="BM49" i="20"/>
  <c r="BO49" i="20"/>
  <c r="BQ49" i="20"/>
  <c r="BR49" i="20"/>
  <c r="BS49" i="20"/>
  <c r="BT49" i="20"/>
  <c r="BZ49" i="20"/>
  <c r="CD49" i="20"/>
  <c r="CE49" i="20"/>
  <c r="CF49" i="20"/>
  <c r="CG49" i="20"/>
  <c r="CH49" i="20"/>
  <c r="CI49" i="20"/>
  <c r="CJ49" i="20"/>
  <c r="CK49" i="20"/>
  <c r="CL49" i="20"/>
  <c r="CM49" i="20"/>
  <c r="CN49" i="20"/>
  <c r="CO49" i="20"/>
  <c r="CP49" i="20"/>
  <c r="CQ49" i="20"/>
  <c r="CR49" i="20"/>
  <c r="CS49" i="20"/>
  <c r="CT49" i="20"/>
  <c r="CV49" i="20"/>
  <c r="CX49" i="20"/>
  <c r="CZ49" i="20"/>
  <c r="DB49" i="20"/>
  <c r="DD49" i="20"/>
  <c r="DE49" i="20"/>
  <c r="DF49" i="20"/>
  <c r="DG49" i="20"/>
  <c r="DI49" i="20"/>
  <c r="DK49" i="20"/>
  <c r="DM49" i="20"/>
  <c r="DO49" i="20"/>
  <c r="DP49" i="20"/>
  <c r="DQ49" i="20"/>
  <c r="DR49" i="20"/>
  <c r="DS49" i="20"/>
  <c r="DT49" i="20"/>
  <c r="DV49" i="20"/>
  <c r="DX49" i="20"/>
  <c r="DZ49" i="20"/>
  <c r="EB49" i="20"/>
  <c r="EC49" i="20"/>
  <c r="ED49" i="20"/>
  <c r="EE49" i="20"/>
  <c r="EF49" i="20"/>
  <c r="EG49" i="20"/>
  <c r="EH49" i="20"/>
  <c r="EI49" i="20"/>
  <c r="EK49" i="20"/>
  <c r="EM49" i="20"/>
  <c r="EO49" i="20"/>
  <c r="EQ49" i="20"/>
  <c r="ER49" i="20"/>
  <c r="ES49" i="20"/>
  <c r="ET49" i="20"/>
  <c r="EU49" i="20"/>
  <c r="EV49" i="20"/>
  <c r="EW49" i="20"/>
  <c r="EX49" i="20"/>
  <c r="EY49" i="20"/>
  <c r="EZ49" i="20"/>
  <c r="FA49" i="20"/>
  <c r="FB49" i="20"/>
  <c r="FC49" i="20"/>
  <c r="FD49" i="20"/>
  <c r="FE49" i="20"/>
  <c r="FF49" i="20"/>
  <c r="FG49" i="20"/>
  <c r="FI49" i="20"/>
  <c r="FK49" i="20"/>
  <c r="FM49" i="20"/>
  <c r="FO49" i="20"/>
  <c r="FP49" i="20"/>
  <c r="FQ49" i="20"/>
  <c r="FR49" i="20"/>
  <c r="FS49" i="20"/>
  <c r="GD49" i="20"/>
  <c r="GE49" i="20"/>
  <c r="GF49" i="20"/>
  <c r="GG49" i="20"/>
  <c r="GH49" i="20"/>
  <c r="GI49" i="20"/>
  <c r="GJ49" i="20"/>
  <c r="GK49" i="20"/>
  <c r="GL49" i="20"/>
  <c r="GM49" i="20"/>
  <c r="GN49" i="20"/>
  <c r="GO49" i="20"/>
  <c r="GP49" i="20"/>
  <c r="GQ49" i="20"/>
  <c r="GR49" i="20"/>
  <c r="GS49" i="20"/>
  <c r="GT49" i="20"/>
  <c r="GV49" i="20"/>
  <c r="GX49" i="20"/>
  <c r="GZ49" i="20"/>
  <c r="HB49" i="20"/>
  <c r="HC49" i="20"/>
  <c r="HD49" i="20"/>
  <c r="HE49" i="20"/>
  <c r="HF49" i="20"/>
  <c r="HG49" i="20"/>
  <c r="HI49" i="20"/>
  <c r="HJ49" i="20"/>
  <c r="HK49" i="20"/>
  <c r="HM49" i="20"/>
  <c r="HN49" i="20"/>
  <c r="HO49" i="20"/>
  <c r="HQ49" i="20"/>
  <c r="HR49" i="20"/>
  <c r="HS49" i="20"/>
  <c r="HT49" i="20"/>
  <c r="HV49" i="20"/>
  <c r="HX49" i="20"/>
  <c r="HZ49" i="20"/>
  <c r="IB49" i="20"/>
  <c r="IC49" i="20"/>
  <c r="ID49" i="20"/>
  <c r="IE49" i="20"/>
  <c r="IF49" i="20"/>
  <c r="IG49" i="20"/>
  <c r="IH49" i="20"/>
  <c r="II49" i="20"/>
  <c r="IJ49" i="20"/>
  <c r="IK49" i="20"/>
  <c r="IL49" i="20"/>
  <c r="IM49" i="20"/>
  <c r="IN49" i="20"/>
  <c r="IO49" i="20"/>
  <c r="IP49" i="20"/>
  <c r="IQ49" i="20"/>
  <c r="IR49" i="20"/>
  <c r="IS49" i="20"/>
  <c r="C50" i="20"/>
  <c r="D50" i="20"/>
  <c r="F50" i="20"/>
  <c r="H50" i="20"/>
  <c r="I50" i="20"/>
  <c r="J50" i="20"/>
  <c r="K50" i="20"/>
  <c r="L50" i="20"/>
  <c r="M50" i="20"/>
  <c r="N50" i="20"/>
  <c r="O50" i="20"/>
  <c r="P50" i="20"/>
  <c r="Q50" i="20"/>
  <c r="R50" i="20"/>
  <c r="S50" i="20"/>
  <c r="T50" i="20"/>
  <c r="U50" i="20"/>
  <c r="V50" i="20"/>
  <c r="W50" i="20"/>
  <c r="X50" i="20"/>
  <c r="Z50" i="20"/>
  <c r="AA50" i="20"/>
  <c r="AB50" i="20"/>
  <c r="AC50" i="20"/>
  <c r="AD50" i="20"/>
  <c r="AF50" i="20"/>
  <c r="AH50" i="20"/>
  <c r="AI50" i="20"/>
  <c r="AJ50" i="20"/>
  <c r="AK50" i="20"/>
  <c r="AL50" i="20"/>
  <c r="AM50" i="20"/>
  <c r="AN50" i="20"/>
  <c r="AO50" i="20"/>
  <c r="AP50" i="20"/>
  <c r="AQ50" i="20"/>
  <c r="AR50" i="20"/>
  <c r="AS50" i="20"/>
  <c r="AT50" i="20"/>
  <c r="AU50" i="20"/>
  <c r="AV50" i="20"/>
  <c r="AW50" i="20"/>
  <c r="AX50" i="20"/>
  <c r="AY50" i="20"/>
  <c r="AZ50" i="20"/>
  <c r="BB50" i="20"/>
  <c r="BD50" i="20"/>
  <c r="BF50" i="20"/>
  <c r="BH50" i="20"/>
  <c r="BI50" i="20"/>
  <c r="BJ50" i="20"/>
  <c r="BK50" i="20"/>
  <c r="BM50" i="20"/>
  <c r="BO50" i="20"/>
  <c r="BQ50" i="20"/>
  <c r="BR50" i="20"/>
  <c r="BS50" i="20"/>
  <c r="BT50" i="20"/>
  <c r="BU50" i="20"/>
  <c r="BV50" i="20"/>
  <c r="BW50" i="20"/>
  <c r="BX50" i="20"/>
  <c r="BZ50" i="20"/>
  <c r="CB50" i="20"/>
  <c r="CD50" i="20"/>
  <c r="CE50" i="20"/>
  <c r="CF50" i="20"/>
  <c r="CH50" i="20"/>
  <c r="CI50" i="20"/>
  <c r="CJ50" i="20"/>
  <c r="CK50" i="20"/>
  <c r="CM50" i="20"/>
  <c r="CO50" i="20"/>
  <c r="CQ50" i="20"/>
  <c r="CS50" i="20"/>
  <c r="CT50" i="20"/>
  <c r="CU50" i="20"/>
  <c r="CV50" i="20"/>
  <c r="CW50" i="20"/>
  <c r="CX50" i="20"/>
  <c r="CZ50" i="20"/>
  <c r="DB50" i="20"/>
  <c r="DC50" i="20"/>
  <c r="DD50" i="20"/>
  <c r="DF50" i="20"/>
  <c r="DH50" i="20"/>
  <c r="DI50" i="20"/>
  <c r="DJ50" i="20"/>
  <c r="DK50" i="20"/>
  <c r="DM50" i="20"/>
  <c r="DO50" i="20"/>
  <c r="DQ50" i="20"/>
  <c r="DS50" i="20"/>
  <c r="DT50" i="20"/>
  <c r="DU50" i="20"/>
  <c r="DV50" i="20"/>
  <c r="DW50" i="20"/>
  <c r="DX50" i="20"/>
  <c r="DY50" i="20"/>
  <c r="DZ50" i="20"/>
  <c r="EA50" i="20"/>
  <c r="EB50" i="20"/>
  <c r="EC50" i="20"/>
  <c r="ED50" i="20"/>
  <c r="EE50" i="20"/>
  <c r="EF50" i="20"/>
  <c r="EG50" i="20"/>
  <c r="EH50" i="20"/>
  <c r="EI50" i="20"/>
  <c r="EJ50" i="20"/>
  <c r="EK50" i="20"/>
  <c r="EL50" i="20"/>
  <c r="EM50" i="20"/>
  <c r="EN50" i="20"/>
  <c r="EO50" i="20"/>
  <c r="EP50" i="20"/>
  <c r="EQ50" i="20"/>
  <c r="ER50" i="20"/>
  <c r="ES50" i="20"/>
  <c r="ET50" i="20"/>
  <c r="EU50" i="20"/>
  <c r="EV50" i="20"/>
  <c r="EW50" i="20"/>
  <c r="EY50" i="20"/>
  <c r="FD50" i="20"/>
  <c r="FH50" i="20"/>
  <c r="FI50" i="20"/>
  <c r="C50" i="19"/>
  <c r="FJ50" i="20" s="1"/>
  <c r="I50" i="19"/>
  <c r="D53" i="19"/>
  <c r="Y50" i="20" s="1"/>
  <c r="D56" i="19"/>
  <c r="D57" i="19"/>
  <c r="BL50" i="20" s="1"/>
  <c r="E50" i="19"/>
  <c r="IV49" i="20" s="1"/>
  <c r="F53" i="19"/>
  <c r="F56" i="19"/>
  <c r="BA50" i="20" s="1"/>
  <c r="F57" i="19"/>
  <c r="BN50" i="20" s="1"/>
  <c r="G50" i="19"/>
  <c r="FN50" i="20" s="1"/>
  <c r="H50" i="19"/>
  <c r="FO50" i="20" s="1"/>
  <c r="H53" i="19"/>
  <c r="H56" i="19"/>
  <c r="BC50" i="20" s="1"/>
  <c r="H57" i="19"/>
  <c r="BP50" i="20" s="1"/>
  <c r="J50" i="19"/>
  <c r="E50" i="20" s="1"/>
  <c r="J53" i="19"/>
  <c r="AE50" i="20" s="1"/>
  <c r="J56" i="19"/>
  <c r="BE50" i="20" s="1"/>
  <c r="J57" i="19"/>
  <c r="FQ50" i="20"/>
  <c r="K50" i="19"/>
  <c r="FR50" i="20" s="1"/>
  <c r="L53" i="19"/>
  <c r="AG50" i="20" s="1"/>
  <c r="L56" i="19"/>
  <c r="BG50" i="20" s="1"/>
  <c r="A51" i="20"/>
  <c r="B51" i="20"/>
  <c r="C51" i="20"/>
  <c r="D51" i="20"/>
  <c r="E51" i="20"/>
  <c r="F51" i="20"/>
  <c r="G51" i="20"/>
  <c r="H51" i="20"/>
  <c r="I51" i="20"/>
  <c r="J51" i="20"/>
  <c r="K51" i="20"/>
  <c r="L51" i="20"/>
  <c r="M51" i="20"/>
  <c r="N51" i="20"/>
  <c r="O51" i="20"/>
  <c r="P51" i="20"/>
  <c r="Q51" i="20"/>
  <c r="R51" i="20"/>
  <c r="S51" i="20"/>
  <c r="T51" i="20"/>
  <c r="U51" i="20"/>
  <c r="V51" i="20"/>
  <c r="W51" i="20"/>
  <c r="X51" i="20"/>
  <c r="Y51" i="20"/>
  <c r="Z51" i="20"/>
  <c r="AA51" i="20"/>
  <c r="AB51" i="20"/>
  <c r="AC51" i="20"/>
  <c r="AD51" i="20"/>
  <c r="AE51" i="20"/>
  <c r="AF51" i="20"/>
  <c r="AG51" i="20"/>
  <c r="AH51" i="20"/>
  <c r="AI51" i="20"/>
  <c r="AJ51" i="20"/>
  <c r="AK51" i="20"/>
  <c r="AL51" i="20"/>
  <c r="AM51" i="20"/>
  <c r="AN51" i="20"/>
  <c r="AO51" i="20"/>
  <c r="AP51" i="20"/>
  <c r="AQ51" i="20"/>
  <c r="AR51" i="20"/>
  <c r="AS51" i="20"/>
  <c r="AT51" i="20"/>
  <c r="AU51" i="20"/>
  <c r="A52" i="20"/>
  <c r="B52" i="20"/>
  <c r="C52" i="20"/>
  <c r="D52" i="20"/>
  <c r="E52" i="20"/>
  <c r="F52" i="20"/>
  <c r="G52" i="20"/>
  <c r="H52" i="20"/>
  <c r="I52" i="20"/>
  <c r="J52" i="20"/>
  <c r="K52" i="20"/>
  <c r="L52" i="20"/>
  <c r="M52" i="20"/>
  <c r="N52" i="20"/>
  <c r="O52" i="20"/>
  <c r="P52" i="20"/>
  <c r="Q52" i="20"/>
  <c r="R52" i="20"/>
  <c r="S52" i="20"/>
  <c r="T52" i="20"/>
  <c r="U52" i="20"/>
  <c r="V52" i="20"/>
  <c r="W52" i="20"/>
  <c r="X52" i="20"/>
  <c r="Y52" i="20"/>
  <c r="Z52" i="20"/>
  <c r="AA52" i="20"/>
  <c r="AB52" i="20"/>
  <c r="AC52" i="20"/>
  <c r="AD52" i="20"/>
  <c r="AE52" i="20"/>
  <c r="AF52" i="20"/>
  <c r="AG52" i="20"/>
  <c r="AH52" i="20"/>
  <c r="AI52" i="20"/>
  <c r="AJ52" i="20"/>
  <c r="AK52" i="20"/>
  <c r="AL52" i="20"/>
  <c r="AM52" i="20"/>
  <c r="AN52" i="20"/>
  <c r="AO52" i="20"/>
  <c r="AP52" i="20"/>
  <c r="AQ52" i="20"/>
  <c r="AR52" i="20"/>
  <c r="AS52" i="20"/>
  <c r="AT52" i="20"/>
  <c r="AU52" i="20"/>
  <c r="AV52" i="20"/>
  <c r="AW52" i="20"/>
  <c r="AX52" i="20"/>
  <c r="AY52" i="20"/>
  <c r="AZ52" i="20"/>
  <c r="BA52" i="20"/>
  <c r="BB52" i="20"/>
  <c r="BC52" i="20"/>
  <c r="BD52" i="20"/>
  <c r="BE52" i="20"/>
  <c r="BF52" i="20"/>
  <c r="BG52" i="20"/>
  <c r="BH52" i="20"/>
  <c r="BI52" i="20"/>
  <c r="BJ52" i="20"/>
  <c r="BK52" i="20"/>
  <c r="BL52" i="20"/>
  <c r="BM52" i="20"/>
  <c r="BN52" i="20"/>
  <c r="BO52" i="20"/>
  <c r="BP52" i="20"/>
  <c r="BQ52" i="20"/>
  <c r="BR52" i="20"/>
  <c r="BS52" i="20"/>
  <c r="BT52" i="20"/>
  <c r="BU52" i="20"/>
  <c r="BV52" i="20"/>
  <c r="BW52" i="20"/>
  <c r="BX52" i="20"/>
  <c r="BY52" i="20"/>
  <c r="BZ52" i="20"/>
  <c r="CA52" i="20"/>
  <c r="CB52" i="20"/>
  <c r="CC52" i="20"/>
  <c r="CD52" i="20"/>
  <c r="CE52" i="20"/>
  <c r="CF52" i="20"/>
  <c r="CG52" i="20"/>
  <c r="CH52" i="20"/>
  <c r="CI52" i="20"/>
  <c r="CJ52" i="20"/>
  <c r="CK52" i="20"/>
  <c r="CL52" i="20"/>
  <c r="CM52" i="20"/>
  <c r="CN52" i="20"/>
  <c r="CO52" i="20"/>
  <c r="CP52" i="20"/>
  <c r="CQ52" i="20"/>
  <c r="CR52" i="20"/>
  <c r="CS52" i="20"/>
  <c r="C12" i="19"/>
  <c r="C48" i="20" s="1"/>
  <c r="C20" i="19"/>
  <c r="DC48" i="20" s="1"/>
  <c r="C29" i="19"/>
  <c r="D29" i="19" s="1"/>
  <c r="HQ48" i="20" s="1"/>
  <c r="C36" i="19"/>
  <c r="C44" i="19"/>
  <c r="FT49" i="20" s="1"/>
  <c r="C62" i="19"/>
  <c r="EX50" i="20" s="1"/>
  <c r="I12" i="19"/>
  <c r="I48" i="20" s="1"/>
  <c r="I20" i="19"/>
  <c r="DI48" i="20" s="1"/>
  <c r="I29" i="19"/>
  <c r="HV48" i="20" s="1"/>
  <c r="I36" i="19"/>
  <c r="J36" i="19" s="1"/>
  <c r="CA49" i="20" s="1"/>
  <c r="I44" i="19"/>
  <c r="FZ49" i="20" s="1"/>
  <c r="I62" i="19"/>
  <c r="E12" i="19"/>
  <c r="E48" i="20" s="1"/>
  <c r="E20" i="19"/>
  <c r="DE48" i="20" s="1"/>
  <c r="E29" i="19"/>
  <c r="HR48" i="20" s="1"/>
  <c r="E36" i="19"/>
  <c r="BV49" i="20" s="1"/>
  <c r="E44" i="19"/>
  <c r="FV49" i="20" s="1"/>
  <c r="E62" i="19"/>
  <c r="EZ50" i="20" s="1"/>
  <c r="G12" i="19"/>
  <c r="G48" i="20" s="1"/>
  <c r="G20" i="19"/>
  <c r="DG48" i="20" s="1"/>
  <c r="G29" i="19"/>
  <c r="G36" i="19"/>
  <c r="BX49" i="20" s="1"/>
  <c r="G44" i="19"/>
  <c r="G62" i="19"/>
  <c r="H62" i="19" s="1"/>
  <c r="FC50" i="20" s="1"/>
  <c r="D6" i="19"/>
  <c r="FM47" i="20" s="1"/>
  <c r="F6" i="19"/>
  <c r="FO47" i="20" s="1"/>
  <c r="H6" i="19"/>
  <c r="FQ47" i="20" s="1"/>
  <c r="J6" i="19"/>
  <c r="FS47" i="20" s="1"/>
  <c r="L6" i="19"/>
  <c r="FU47" i="20" s="1"/>
  <c r="D7" i="19"/>
  <c r="FZ47" i="20" s="1"/>
  <c r="F7" i="19"/>
  <c r="GB47" i="20" s="1"/>
  <c r="H7" i="19"/>
  <c r="GD47" i="20" s="1"/>
  <c r="J7" i="19"/>
  <c r="GF47" i="20" s="1"/>
  <c r="D8" i="19"/>
  <c r="GM47" i="20" s="1"/>
  <c r="F8" i="19"/>
  <c r="GO47" i="20" s="1"/>
  <c r="H8" i="19"/>
  <c r="GQ47" i="20" s="1"/>
  <c r="J8" i="19"/>
  <c r="GS47" i="20" s="1"/>
  <c r="D9" i="19"/>
  <c r="GZ47" i="20" s="1"/>
  <c r="F9" i="19"/>
  <c r="HB47" i="20" s="1"/>
  <c r="H9" i="19"/>
  <c r="HD47" i="20" s="1"/>
  <c r="J9" i="19"/>
  <c r="HF47" i="20" s="1"/>
  <c r="L9" i="19"/>
  <c r="HH47" i="20" s="1"/>
  <c r="D10" i="19"/>
  <c r="HM47" i="20" s="1"/>
  <c r="F10" i="19"/>
  <c r="HO47" i="20" s="1"/>
  <c r="H10" i="19"/>
  <c r="HQ47" i="20" s="1"/>
  <c r="J10" i="19"/>
  <c r="HS47" i="20" s="1"/>
  <c r="D11" i="19"/>
  <c r="HZ47" i="20" s="1"/>
  <c r="F11" i="19"/>
  <c r="IB47" i="20" s="1"/>
  <c r="H11" i="19"/>
  <c r="ID47" i="20" s="1"/>
  <c r="J11" i="19"/>
  <c r="IF47" i="20" s="1"/>
  <c r="L11" i="19"/>
  <c r="IH47" i="20" s="1"/>
  <c r="D15" i="19"/>
  <c r="AD48" i="20" s="1"/>
  <c r="F15" i="19"/>
  <c r="AF48" i="20" s="1"/>
  <c r="H15" i="19"/>
  <c r="AH48" i="20" s="1"/>
  <c r="J15" i="19"/>
  <c r="AJ48" i="20" s="1"/>
  <c r="D16" i="19"/>
  <c r="AQ48" i="20" s="1"/>
  <c r="F16" i="19"/>
  <c r="AS48" i="20" s="1"/>
  <c r="H16" i="19"/>
  <c r="AU48" i="20" s="1"/>
  <c r="J16" i="19"/>
  <c r="AW48" i="20" s="1"/>
  <c r="D17" i="19"/>
  <c r="BD48" i="20" s="1"/>
  <c r="F17" i="19"/>
  <c r="BF48" i="20" s="1"/>
  <c r="H17" i="19"/>
  <c r="BH48" i="20" s="1"/>
  <c r="J17" i="19"/>
  <c r="BJ48" i="20" s="1"/>
  <c r="L17" i="19"/>
  <c r="BL48" i="20" s="1"/>
  <c r="D18" i="19"/>
  <c r="BQ48" i="20" s="1"/>
  <c r="F18" i="19"/>
  <c r="BS48" i="20" s="1"/>
  <c r="H18" i="19"/>
  <c r="BU48" i="20" s="1"/>
  <c r="J18" i="19"/>
  <c r="BW48" i="20" s="1"/>
  <c r="L18" i="19"/>
  <c r="BY48" i="20" s="1"/>
  <c r="D19" i="19"/>
  <c r="CD48" i="20" s="1"/>
  <c r="F19" i="19"/>
  <c r="CF48" i="20" s="1"/>
  <c r="H19" i="19"/>
  <c r="CH48" i="20" s="1"/>
  <c r="J19" i="19"/>
  <c r="CJ48" i="20" s="1"/>
  <c r="F20" i="19"/>
  <c r="DF48" i="20" s="1"/>
  <c r="D23" i="19"/>
  <c r="ED48" i="20" s="1"/>
  <c r="F23" i="19"/>
  <c r="EF48" i="20" s="1"/>
  <c r="H23" i="19"/>
  <c r="EH48" i="20" s="1"/>
  <c r="J23" i="19"/>
  <c r="EJ48" i="20" s="1"/>
  <c r="L23" i="19"/>
  <c r="D24" i="19"/>
  <c r="EQ48" i="20" s="1"/>
  <c r="F24" i="19"/>
  <c r="ES48" i="20" s="1"/>
  <c r="H24" i="19"/>
  <c r="EU48" i="20" s="1"/>
  <c r="J24" i="19"/>
  <c r="EW48" i="20" s="1"/>
  <c r="L24" i="19"/>
  <c r="EY48" i="20" s="1"/>
  <c r="D25" i="19"/>
  <c r="FD48" i="20" s="1"/>
  <c r="F25" i="19"/>
  <c r="FF48" i="20" s="1"/>
  <c r="H25" i="19"/>
  <c r="FH48" i="20" s="1"/>
  <c r="J25" i="19"/>
  <c r="FJ48" i="20" s="1"/>
  <c r="L25" i="19"/>
  <c r="FL48" i="20" s="1"/>
  <c r="D26" i="19"/>
  <c r="FQ48" i="20" s="1"/>
  <c r="F26" i="19"/>
  <c r="FS48" i="20" s="1"/>
  <c r="H26" i="19"/>
  <c r="FU48" i="20" s="1"/>
  <c r="J26" i="19"/>
  <c r="FW48" i="20" s="1"/>
  <c r="D27" i="19"/>
  <c r="GD48" i="20" s="1"/>
  <c r="F27" i="19"/>
  <c r="GF48" i="20" s="1"/>
  <c r="H27" i="19"/>
  <c r="GH48" i="20" s="1"/>
  <c r="J27" i="19"/>
  <c r="GJ48" i="20" s="1"/>
  <c r="L27" i="19"/>
  <c r="GL48" i="20" s="1"/>
  <c r="D28" i="19"/>
  <c r="GQ48" i="20" s="1"/>
  <c r="F28" i="19"/>
  <c r="GS48" i="20" s="1"/>
  <c r="H28" i="19"/>
  <c r="GU48" i="20" s="1"/>
  <c r="J28" i="19"/>
  <c r="GW48" i="20" s="1"/>
  <c r="J29" i="19"/>
  <c r="HW48" i="20" s="1"/>
  <c r="K29" i="19"/>
  <c r="L29" i="19" s="1"/>
  <c r="HY48" i="20" s="1"/>
  <c r="D32" i="19"/>
  <c r="IQ48" i="20" s="1"/>
  <c r="F32" i="19"/>
  <c r="H32" i="19"/>
  <c r="IU48" i="20" s="1"/>
  <c r="J32" i="19"/>
  <c r="A49" i="20" s="1"/>
  <c r="F33" i="19"/>
  <c r="J49" i="20" s="1"/>
  <c r="H33" i="19"/>
  <c r="L49" i="20" s="1"/>
  <c r="J33" i="19"/>
  <c r="D34" i="19"/>
  <c r="U49" i="20" s="1"/>
  <c r="F34" i="19"/>
  <c r="W49" i="20" s="1"/>
  <c r="H34" i="19"/>
  <c r="Y49" i="20" s="1"/>
  <c r="J34" i="19"/>
  <c r="D35" i="19"/>
  <c r="BH49" i="20" s="1"/>
  <c r="F35" i="19"/>
  <c r="BJ49" i="20" s="1"/>
  <c r="H35" i="19"/>
  <c r="BL49" i="20" s="1"/>
  <c r="J35" i="19"/>
  <c r="BN49" i="20" s="1"/>
  <c r="L35" i="19"/>
  <c r="BP49" i="20" s="1"/>
  <c r="D39" i="19"/>
  <c r="CU49" i="20" s="1"/>
  <c r="F39" i="19"/>
  <c r="CW49" i="20" s="1"/>
  <c r="H39" i="19"/>
  <c r="CY49" i="20" s="1"/>
  <c r="J39" i="19"/>
  <c r="DA49" i="20" s="1"/>
  <c r="L39" i="19"/>
  <c r="DC49" i="20" s="1"/>
  <c r="D40" i="19"/>
  <c r="DH49" i="20" s="1"/>
  <c r="F40" i="19"/>
  <c r="DJ49" i="20" s="1"/>
  <c r="H40" i="19"/>
  <c r="DL49" i="20" s="1"/>
  <c r="J40" i="19"/>
  <c r="DN49" i="20" s="1"/>
  <c r="D41" i="19"/>
  <c r="DU49" i="20" s="1"/>
  <c r="F41" i="19"/>
  <c r="DW49" i="20" s="1"/>
  <c r="H41" i="19"/>
  <c r="DY49" i="20" s="1"/>
  <c r="J41" i="19"/>
  <c r="EA49" i="20" s="1"/>
  <c r="D42" i="19"/>
  <c r="F42" i="19"/>
  <c r="EJ49" i="20" s="1"/>
  <c r="H42" i="19"/>
  <c r="EL49" i="20" s="1"/>
  <c r="J42" i="19"/>
  <c r="EN49" i="20" s="1"/>
  <c r="L42" i="19"/>
  <c r="EP49" i="20" s="1"/>
  <c r="D43" i="19"/>
  <c r="FH49" i="20" s="1"/>
  <c r="F43" i="19"/>
  <c r="FJ49" i="20" s="1"/>
  <c r="H43" i="19"/>
  <c r="FL49" i="20" s="1"/>
  <c r="J43" i="19"/>
  <c r="FN49" i="20" s="1"/>
  <c r="D44" i="19"/>
  <c r="FU49" i="20" s="1"/>
  <c r="D47" i="19"/>
  <c r="GU49" i="20" s="1"/>
  <c r="F47" i="19"/>
  <c r="GW49" i="20" s="1"/>
  <c r="H47" i="19"/>
  <c r="GY49" i="20" s="1"/>
  <c r="J47" i="19"/>
  <c r="HA49" i="20" s="1"/>
  <c r="D48" i="19"/>
  <c r="HH49" i="20" s="1"/>
  <c r="F48" i="19"/>
  <c r="H48" i="19"/>
  <c r="HL49" i="20" s="1"/>
  <c r="J48" i="19"/>
  <c r="L48" i="19"/>
  <c r="HP49" i="20" s="1"/>
  <c r="D49" i="19"/>
  <c r="HU49" i="20" s="1"/>
  <c r="F49" i="19"/>
  <c r="HW49" i="20" s="1"/>
  <c r="H49" i="19"/>
  <c r="HY49" i="20" s="1"/>
  <c r="J49" i="19"/>
  <c r="IA49" i="20" s="1"/>
  <c r="D58" i="19"/>
  <c r="BY50" i="20" s="1"/>
  <c r="F58" i="19"/>
  <c r="CA50" i="20" s="1"/>
  <c r="H58" i="19"/>
  <c r="CC50" i="20" s="1"/>
  <c r="J58" i="19"/>
  <c r="L58" i="19"/>
  <c r="CG50" i="20" s="1"/>
  <c r="D59" i="19"/>
  <c r="CL50" i="20" s="1"/>
  <c r="F59" i="19"/>
  <c r="CN50" i="20" s="1"/>
  <c r="H59" i="19"/>
  <c r="CP50" i="20" s="1"/>
  <c r="J59" i="19"/>
  <c r="CR50" i="20" s="1"/>
  <c r="D60" i="19"/>
  <c r="CY50" i="20" s="1"/>
  <c r="F60" i="19"/>
  <c r="DA50" i="20" s="1"/>
  <c r="H60" i="19"/>
  <c r="J60" i="19"/>
  <c r="DE50" i="20" s="1"/>
  <c r="L60" i="19"/>
  <c r="DG50" i="20" s="1"/>
  <c r="D61" i="19"/>
  <c r="DL50" i="20" s="1"/>
  <c r="F61" i="19"/>
  <c r="DN50" i="20" s="1"/>
  <c r="H61" i="19"/>
  <c r="DP50" i="20" s="1"/>
  <c r="J61" i="19"/>
  <c r="DR50" i="20" s="1"/>
  <c r="D62" i="19"/>
  <c r="J62" i="19"/>
  <c r="FE50" i="20" s="1"/>
  <c r="D6" i="18"/>
  <c r="IL44" i="20" s="1"/>
  <c r="F6" i="18"/>
  <c r="IN44" i="20" s="1"/>
  <c r="H6" i="18"/>
  <c r="IV44" i="20" s="1"/>
  <c r="J6" i="18"/>
  <c r="B45" i="20" s="1"/>
  <c r="L6" i="18"/>
  <c r="D45" i="20" s="1"/>
  <c r="D7" i="18"/>
  <c r="I45" i="20" s="1"/>
  <c r="F7" i="18"/>
  <c r="K45" i="20" s="1"/>
  <c r="H7" i="18"/>
  <c r="S45" i="20" s="1"/>
  <c r="J7" i="18"/>
  <c r="U45" i="20" s="1"/>
  <c r="D8" i="18"/>
  <c r="AB45" i="20" s="1"/>
  <c r="F8" i="18"/>
  <c r="AD45" i="20" s="1"/>
  <c r="H8" i="18"/>
  <c r="AL45" i="20" s="1"/>
  <c r="J8" i="18"/>
  <c r="AN45" i="20" s="1"/>
  <c r="L8" i="18"/>
  <c r="AP45" i="20" s="1"/>
  <c r="D9" i="18"/>
  <c r="AU45" i="20" s="1"/>
  <c r="F9" i="18"/>
  <c r="AW45" i="20" s="1"/>
  <c r="H9" i="18"/>
  <c r="BE45" i="20" s="1"/>
  <c r="J9" i="18"/>
  <c r="BG45" i="20" s="1"/>
  <c r="L9" i="18"/>
  <c r="BI45" i="20" s="1"/>
  <c r="D13" i="18"/>
  <c r="CZ45" i="20" s="1"/>
  <c r="F13" i="18"/>
  <c r="DB45" i="20" s="1"/>
  <c r="H13" i="18"/>
  <c r="DJ45" i="20" s="1"/>
  <c r="J13" i="18"/>
  <c r="DL45" i="20" s="1"/>
  <c r="D14" i="18"/>
  <c r="DS45" i="20" s="1"/>
  <c r="F14" i="18"/>
  <c r="DU45" i="20" s="1"/>
  <c r="H14" i="18"/>
  <c r="EC45" i="20" s="1"/>
  <c r="J14" i="18"/>
  <c r="EE45" i="20" s="1"/>
  <c r="D15" i="18"/>
  <c r="EL45" i="20" s="1"/>
  <c r="F15" i="18"/>
  <c r="EN45" i="20" s="1"/>
  <c r="H15" i="18"/>
  <c r="EV45" i="20" s="1"/>
  <c r="J15" i="18"/>
  <c r="EX45" i="20" s="1"/>
  <c r="D19" i="18"/>
  <c r="HJ45" i="20" s="1"/>
  <c r="F19" i="18"/>
  <c r="HL45" i="20" s="1"/>
  <c r="H19" i="18"/>
  <c r="HT45" i="20" s="1"/>
  <c r="J19" i="18"/>
  <c r="HV45" i="20" s="1"/>
  <c r="L19" i="18"/>
  <c r="HX45" i="20" s="1"/>
  <c r="D20" i="18"/>
  <c r="IC45" i="20" s="1"/>
  <c r="F20" i="18"/>
  <c r="IE45" i="20" s="1"/>
  <c r="H20" i="18"/>
  <c r="IM45" i="20" s="1"/>
  <c r="J20" i="18"/>
  <c r="IO45" i="20" s="1"/>
  <c r="L20" i="18"/>
  <c r="IQ45" i="20" s="1"/>
  <c r="D21" i="18"/>
  <c r="IV45" i="20" s="1"/>
  <c r="F21" i="18"/>
  <c r="B46" i="20" s="1"/>
  <c r="H21" i="18"/>
  <c r="J46" i="20" s="1"/>
  <c r="J21" i="18"/>
  <c r="L46" i="20" s="1"/>
  <c r="L21" i="18"/>
  <c r="N46" i="20" s="1"/>
  <c r="D22" i="18"/>
  <c r="S46" i="20" s="1"/>
  <c r="F22" i="18"/>
  <c r="U46" i="20" s="1"/>
  <c r="H22" i="18"/>
  <c r="AC46" i="20" s="1"/>
  <c r="J22" i="18"/>
  <c r="AE46" i="20" s="1"/>
  <c r="D23" i="18"/>
  <c r="AL46" i="20" s="1"/>
  <c r="F23" i="18"/>
  <c r="AN46" i="20" s="1"/>
  <c r="H23" i="18"/>
  <c r="AV46" i="20" s="1"/>
  <c r="J23" i="18"/>
  <c r="AX46" i="20" s="1"/>
  <c r="D27" i="18"/>
  <c r="DJ46" i="20" s="1"/>
  <c r="F27" i="18"/>
  <c r="DL46" i="20" s="1"/>
  <c r="H27" i="18"/>
  <c r="DT46" i="20" s="1"/>
  <c r="J27" i="18"/>
  <c r="DV46" i="20" s="1"/>
  <c r="L27" i="18"/>
  <c r="DX46" i="20" s="1"/>
  <c r="D28" i="18"/>
  <c r="EC46" i="20" s="1"/>
  <c r="F28" i="18"/>
  <c r="EE46" i="20" s="1"/>
  <c r="H28" i="18"/>
  <c r="EM46" i="20" s="1"/>
  <c r="J28" i="18"/>
  <c r="EO46" i="20" s="1"/>
  <c r="D29" i="18"/>
  <c r="EV46" i="20" s="1"/>
  <c r="F29" i="18"/>
  <c r="EX46" i="20" s="1"/>
  <c r="H29" i="18"/>
  <c r="FF46" i="20" s="1"/>
  <c r="J29" i="18"/>
  <c r="FH46" i="20" s="1"/>
  <c r="D33" i="18"/>
  <c r="HA46" i="20" s="1"/>
  <c r="F33" i="18"/>
  <c r="HC46" i="20" s="1"/>
  <c r="H33" i="18"/>
  <c r="HK46" i="20" s="1"/>
  <c r="J33" i="18"/>
  <c r="HM46" i="20" s="1"/>
  <c r="L33" i="18"/>
  <c r="HO46" i="20" s="1"/>
  <c r="D34" i="18"/>
  <c r="HT46" i="20" s="1"/>
  <c r="F34" i="18"/>
  <c r="HV46" i="20" s="1"/>
  <c r="H34" i="18"/>
  <c r="ID46" i="20" s="1"/>
  <c r="J34" i="18"/>
  <c r="IF46" i="20" s="1"/>
  <c r="D35" i="18"/>
  <c r="IM46" i="20" s="1"/>
  <c r="F35" i="18"/>
  <c r="IO46" i="20" s="1"/>
  <c r="H35" i="18"/>
  <c r="A47" i="20" s="1"/>
  <c r="J35" i="18"/>
  <c r="C47" i="20" s="1"/>
  <c r="L35" i="18"/>
  <c r="E47" i="20" s="1"/>
  <c r="D36" i="18"/>
  <c r="J47" i="20" s="1"/>
  <c r="H36" i="18"/>
  <c r="T47" i="20" s="1"/>
  <c r="J36" i="18"/>
  <c r="V47" i="20" s="1"/>
  <c r="L36" i="18"/>
  <c r="X47" i="20" s="1"/>
  <c r="D37" i="18"/>
  <c r="AC47" i="20" s="1"/>
  <c r="F37" i="18"/>
  <c r="AE47" i="20" s="1"/>
  <c r="H37" i="18"/>
  <c r="AM47" i="20" s="1"/>
  <c r="J37" i="18"/>
  <c r="AO47" i="20" s="1"/>
  <c r="C9" i="17"/>
  <c r="EK43" i="20" s="1"/>
  <c r="C19" i="17"/>
  <c r="C26" i="17"/>
  <c r="EJ44" i="20" s="1"/>
  <c r="K9" i="17"/>
  <c r="ES43" i="20" s="1"/>
  <c r="K19" i="17"/>
  <c r="K26" i="17"/>
  <c r="ER44" i="20" s="1"/>
  <c r="E9" i="17"/>
  <c r="EM43" i="20" s="1"/>
  <c r="E19" i="17"/>
  <c r="E26" i="17"/>
  <c r="EL44" i="20" s="1"/>
  <c r="G9" i="17"/>
  <c r="EO43" i="20" s="1"/>
  <c r="G19" i="17"/>
  <c r="AM44" i="20" s="1"/>
  <c r="G26" i="17"/>
  <c r="EN44" i="20" s="1"/>
  <c r="I9" i="17"/>
  <c r="EQ43" i="20" s="1"/>
  <c r="I19" i="17"/>
  <c r="AO44" i="20" s="1"/>
  <c r="I26" i="17"/>
  <c r="D6" i="17"/>
  <c r="CS43" i="20" s="1"/>
  <c r="F6" i="17"/>
  <c r="CU43" i="20" s="1"/>
  <c r="H6" i="17"/>
  <c r="CW43" i="20" s="1"/>
  <c r="J6" i="17"/>
  <c r="CY43" i="20" s="1"/>
  <c r="L6" i="17"/>
  <c r="DA43" i="20" s="1"/>
  <c r="D7" i="17"/>
  <c r="DH43" i="20" s="1"/>
  <c r="F7" i="17"/>
  <c r="DJ43" i="20" s="1"/>
  <c r="H7" i="17"/>
  <c r="DL43" i="20" s="1"/>
  <c r="J7" i="17"/>
  <c r="DN43" i="20" s="1"/>
  <c r="L7" i="17"/>
  <c r="DP43" i="20" s="1"/>
  <c r="N7" i="17"/>
  <c r="DR43" i="20" s="1"/>
  <c r="D8" i="17"/>
  <c r="DW43" i="20" s="1"/>
  <c r="F8" i="17"/>
  <c r="DY43" i="20" s="1"/>
  <c r="H8" i="17"/>
  <c r="EA43" i="20" s="1"/>
  <c r="J8" i="17"/>
  <c r="EC43" i="20" s="1"/>
  <c r="L8" i="17"/>
  <c r="EE43" i="20" s="1"/>
  <c r="N8" i="17"/>
  <c r="EG43" i="20" s="1"/>
  <c r="D9" i="17"/>
  <c r="EL43" i="20" s="1"/>
  <c r="L9" i="17"/>
  <c r="ET43" i="20" s="1"/>
  <c r="D12" i="17"/>
  <c r="GE43" i="20" s="1"/>
  <c r="F12" i="17"/>
  <c r="GG43" i="20" s="1"/>
  <c r="H12" i="17"/>
  <c r="GI43" i="20" s="1"/>
  <c r="J12" i="17"/>
  <c r="GK43" i="20" s="1"/>
  <c r="L12" i="17"/>
  <c r="GM43" i="20" s="1"/>
  <c r="N12" i="17"/>
  <c r="GO43" i="20" s="1"/>
  <c r="D13" i="17"/>
  <c r="GT43" i="20" s="1"/>
  <c r="F13" i="17"/>
  <c r="GV43" i="20" s="1"/>
  <c r="H13" i="17"/>
  <c r="GX43" i="20" s="1"/>
  <c r="J13" i="17"/>
  <c r="GZ43" i="20" s="1"/>
  <c r="L13" i="17"/>
  <c r="HB43" i="20" s="1"/>
  <c r="N13" i="17"/>
  <c r="HD43" i="20" s="1"/>
  <c r="D14" i="17"/>
  <c r="HI43" i="20" s="1"/>
  <c r="F14" i="17"/>
  <c r="HK43" i="20" s="1"/>
  <c r="H14" i="17"/>
  <c r="HM43" i="20" s="1"/>
  <c r="J14" i="17"/>
  <c r="HO43" i="20" s="1"/>
  <c r="L14" i="17"/>
  <c r="HQ43" i="20" s="1"/>
  <c r="N14" i="17"/>
  <c r="HS43" i="20" s="1"/>
  <c r="D15" i="17"/>
  <c r="HX43" i="20" s="1"/>
  <c r="F15" i="17"/>
  <c r="HZ43" i="20" s="1"/>
  <c r="H15" i="17"/>
  <c r="IB43" i="20" s="1"/>
  <c r="J15" i="17"/>
  <c r="ID43" i="20" s="1"/>
  <c r="L15" i="17"/>
  <c r="IF43" i="20" s="1"/>
  <c r="D16" i="17"/>
  <c r="IM43" i="20" s="1"/>
  <c r="F16" i="17"/>
  <c r="IO43" i="20" s="1"/>
  <c r="H16" i="17"/>
  <c r="IQ43" i="20" s="1"/>
  <c r="J16" i="17"/>
  <c r="IS43" i="20" s="1"/>
  <c r="L16" i="17"/>
  <c r="IU43" i="20" s="1"/>
  <c r="D17" i="17"/>
  <c r="F44" i="20" s="1"/>
  <c r="F17" i="17"/>
  <c r="H44" i="20" s="1"/>
  <c r="H17" i="17"/>
  <c r="J44" i="20" s="1"/>
  <c r="J17" i="17"/>
  <c r="L44" i="20" s="1"/>
  <c r="L17" i="17"/>
  <c r="N44" i="20" s="1"/>
  <c r="N17" i="17"/>
  <c r="P44" i="20" s="1"/>
  <c r="D18" i="17"/>
  <c r="U44" i="20" s="1"/>
  <c r="F18" i="17"/>
  <c r="W44" i="20" s="1"/>
  <c r="H18" i="17"/>
  <c r="Y44" i="20" s="1"/>
  <c r="J18" i="17"/>
  <c r="AA44" i="20" s="1"/>
  <c r="L18" i="17"/>
  <c r="AC44" i="20" s="1"/>
  <c r="D22" i="17"/>
  <c r="CC44" i="20" s="1"/>
  <c r="F22" i="17"/>
  <c r="CE44" i="20" s="1"/>
  <c r="H22" i="17"/>
  <c r="CG44" i="20" s="1"/>
  <c r="J22" i="17"/>
  <c r="CI44" i="20" s="1"/>
  <c r="L22" i="17"/>
  <c r="CK44" i="20" s="1"/>
  <c r="D23" i="17"/>
  <c r="CR44" i="20" s="1"/>
  <c r="F23" i="17"/>
  <c r="CT44" i="20" s="1"/>
  <c r="H23" i="17"/>
  <c r="CV44" i="20" s="1"/>
  <c r="J23" i="17"/>
  <c r="CX44" i="20" s="1"/>
  <c r="L23" i="17"/>
  <c r="CZ44" i="20" s="1"/>
  <c r="N23" i="17"/>
  <c r="DB44" i="20" s="1"/>
  <c r="D24" i="17"/>
  <c r="DG44" i="20" s="1"/>
  <c r="F24" i="17"/>
  <c r="DI44" i="20" s="1"/>
  <c r="H24" i="17"/>
  <c r="DK44" i="20" s="1"/>
  <c r="J24" i="17"/>
  <c r="DM44" i="20" s="1"/>
  <c r="L24" i="17"/>
  <c r="DO44" i="20" s="1"/>
  <c r="N24" i="17"/>
  <c r="DQ44" i="20" s="1"/>
  <c r="D25" i="17"/>
  <c r="DV44" i="20" s="1"/>
  <c r="F25" i="17"/>
  <c r="DX44" i="20" s="1"/>
  <c r="H25" i="17"/>
  <c r="DZ44" i="20" s="1"/>
  <c r="J25" i="17"/>
  <c r="EB44" i="20" s="1"/>
  <c r="L25" i="17"/>
  <c r="ED44" i="20" s="1"/>
  <c r="N25" i="17"/>
  <c r="EF44" i="20" s="1"/>
  <c r="C14" i="16"/>
  <c r="EJ41" i="20" s="1"/>
  <c r="C22" i="16"/>
  <c r="T42" i="20" s="1"/>
  <c r="C37" i="16"/>
  <c r="B43" i="20" s="1"/>
  <c r="E14" i="16"/>
  <c r="EL41" i="20" s="1"/>
  <c r="E22" i="16"/>
  <c r="E29" i="16"/>
  <c r="EK42" i="20" s="1"/>
  <c r="E37" i="16"/>
  <c r="D43" i="20" s="1"/>
  <c r="K14" i="16"/>
  <c r="K22" i="16"/>
  <c r="AB42" i="20" s="1"/>
  <c r="K29" i="16"/>
  <c r="EQ42" i="20" s="1"/>
  <c r="K37" i="16"/>
  <c r="J43" i="20" s="1"/>
  <c r="G14" i="16"/>
  <c r="G22" i="16"/>
  <c r="X42" i="20" s="1"/>
  <c r="G29" i="16"/>
  <c r="EM42" i="20" s="1"/>
  <c r="G37" i="16"/>
  <c r="F43" i="20" s="1"/>
  <c r="D6" i="16"/>
  <c r="V41" i="20" s="1"/>
  <c r="F6" i="16"/>
  <c r="X41" i="20" s="1"/>
  <c r="H6" i="16"/>
  <c r="Z41" i="20" s="1"/>
  <c r="J6" i="16"/>
  <c r="AB41" i="20" s="1"/>
  <c r="L6" i="16"/>
  <c r="AD41" i="20" s="1"/>
  <c r="N6" i="16"/>
  <c r="AF41" i="20" s="1"/>
  <c r="P6" i="16"/>
  <c r="AH41" i="20" s="1"/>
  <c r="D9" i="16"/>
  <c r="BD41" i="20" s="1"/>
  <c r="F9" i="16"/>
  <c r="BF41" i="20" s="1"/>
  <c r="H9" i="16"/>
  <c r="BH41" i="20" s="1"/>
  <c r="J9" i="16"/>
  <c r="BJ41" i="20" s="1"/>
  <c r="L9" i="16"/>
  <c r="BL41" i="20" s="1"/>
  <c r="N9" i="16"/>
  <c r="BN41" i="20" s="1"/>
  <c r="P9" i="16"/>
  <c r="BP41" i="20" s="1"/>
  <c r="D10" i="16"/>
  <c r="BU41" i="20" s="1"/>
  <c r="F10" i="16"/>
  <c r="BW41" i="20" s="1"/>
  <c r="H10" i="16"/>
  <c r="BY41" i="20" s="1"/>
  <c r="J10" i="16"/>
  <c r="CA41" i="20" s="1"/>
  <c r="L10" i="16"/>
  <c r="CC41" i="20" s="1"/>
  <c r="N10" i="16"/>
  <c r="CE41" i="20" s="1"/>
  <c r="P10" i="16"/>
  <c r="CG41" i="20" s="1"/>
  <c r="D11" i="16"/>
  <c r="CL41" i="20" s="1"/>
  <c r="F11" i="16"/>
  <c r="CN41" i="20" s="1"/>
  <c r="H11" i="16"/>
  <c r="CP41" i="20" s="1"/>
  <c r="J11" i="16"/>
  <c r="CR41" i="20" s="1"/>
  <c r="L11" i="16"/>
  <c r="CT41" i="20" s="1"/>
  <c r="N11" i="16"/>
  <c r="CV41" i="20" s="1"/>
  <c r="P11" i="16"/>
  <c r="CX41" i="20" s="1"/>
  <c r="D12" i="16"/>
  <c r="DC41" i="20" s="1"/>
  <c r="F12" i="16"/>
  <c r="DE41" i="20" s="1"/>
  <c r="H12" i="16"/>
  <c r="DG41" i="20" s="1"/>
  <c r="J12" i="16"/>
  <c r="DI41" i="20" s="1"/>
  <c r="L12" i="16"/>
  <c r="DK41" i="20" s="1"/>
  <c r="N12" i="16"/>
  <c r="DM41" i="20" s="1"/>
  <c r="D13" i="16"/>
  <c r="DT41" i="20" s="1"/>
  <c r="F13" i="16"/>
  <c r="DV41" i="20" s="1"/>
  <c r="H13" i="16"/>
  <c r="DX41" i="20" s="1"/>
  <c r="J13" i="16"/>
  <c r="DZ41" i="20" s="1"/>
  <c r="L13" i="16"/>
  <c r="EB41" i="20" s="1"/>
  <c r="N13" i="16"/>
  <c r="ED41" i="20" s="1"/>
  <c r="P13" i="16"/>
  <c r="EF41" i="20" s="1"/>
  <c r="D17" i="16"/>
  <c r="FS41" i="20" s="1"/>
  <c r="F17" i="16"/>
  <c r="FU41" i="20" s="1"/>
  <c r="H17" i="16"/>
  <c r="FW41" i="20" s="1"/>
  <c r="J17" i="16"/>
  <c r="FY41" i="20" s="1"/>
  <c r="L17" i="16"/>
  <c r="GA41" i="20" s="1"/>
  <c r="N17" i="16"/>
  <c r="GC41" i="20" s="1"/>
  <c r="D18" i="16"/>
  <c r="GJ41" i="20" s="1"/>
  <c r="F18" i="16"/>
  <c r="GL41" i="20" s="1"/>
  <c r="H18" i="16"/>
  <c r="GN41" i="20" s="1"/>
  <c r="J18" i="16"/>
  <c r="GP41" i="20" s="1"/>
  <c r="L18" i="16"/>
  <c r="GR41" i="20" s="1"/>
  <c r="N18" i="16"/>
  <c r="GT41" i="20" s="1"/>
  <c r="P18" i="16"/>
  <c r="GV41" i="20" s="1"/>
  <c r="D19" i="16"/>
  <c r="HA41" i="20" s="1"/>
  <c r="F19" i="16"/>
  <c r="HC41" i="20" s="1"/>
  <c r="H19" i="16"/>
  <c r="HE41" i="20" s="1"/>
  <c r="J19" i="16"/>
  <c r="HG41" i="20" s="1"/>
  <c r="L19" i="16"/>
  <c r="HI41" i="20" s="1"/>
  <c r="N19" i="16"/>
  <c r="HK41" i="20" s="1"/>
  <c r="P19" i="16"/>
  <c r="HM41" i="20" s="1"/>
  <c r="D20" i="16"/>
  <c r="HR41" i="20" s="1"/>
  <c r="F20" i="16"/>
  <c r="HT41" i="20" s="1"/>
  <c r="H20" i="16"/>
  <c r="HV41" i="20" s="1"/>
  <c r="J20" i="16"/>
  <c r="HX41" i="20" s="1"/>
  <c r="L20" i="16"/>
  <c r="HZ41" i="20" s="1"/>
  <c r="N20" i="16"/>
  <c r="IB41" i="20" s="1"/>
  <c r="P20" i="16"/>
  <c r="ID41" i="20" s="1"/>
  <c r="D21" i="16"/>
  <c r="II41" i="20" s="1"/>
  <c r="F21" i="16"/>
  <c r="IK41" i="20" s="1"/>
  <c r="H21" i="16"/>
  <c r="IM41" i="20" s="1"/>
  <c r="J21" i="16"/>
  <c r="IO41" i="20" s="1"/>
  <c r="L21" i="16"/>
  <c r="IQ41" i="20" s="1"/>
  <c r="N21" i="16"/>
  <c r="IS41" i="20" s="1"/>
  <c r="P21" i="16"/>
  <c r="IU41" i="20" s="1"/>
  <c r="D25" i="16"/>
  <c r="BC42" i="20" s="1"/>
  <c r="F25" i="16"/>
  <c r="BE42" i="20" s="1"/>
  <c r="H25" i="16"/>
  <c r="BG42" i="20" s="1"/>
  <c r="J25" i="16"/>
  <c r="BI42" i="20" s="1"/>
  <c r="L25" i="16"/>
  <c r="BK42" i="20" s="1"/>
  <c r="N25" i="16"/>
  <c r="BM42" i="20" s="1"/>
  <c r="D26" i="16"/>
  <c r="BT42" i="20" s="1"/>
  <c r="F26" i="16"/>
  <c r="BV42" i="20" s="1"/>
  <c r="H26" i="16"/>
  <c r="BX42" i="20" s="1"/>
  <c r="J26" i="16"/>
  <c r="BZ42" i="20" s="1"/>
  <c r="L26" i="16"/>
  <c r="CB42" i="20" s="1"/>
  <c r="N26" i="16"/>
  <c r="CD42" i="20" s="1"/>
  <c r="P26" i="16"/>
  <c r="CF42" i="20" s="1"/>
  <c r="D27" i="16"/>
  <c r="CK42" i="20" s="1"/>
  <c r="F27" i="16"/>
  <c r="CM42" i="20" s="1"/>
  <c r="H27" i="16"/>
  <c r="CO42" i="20" s="1"/>
  <c r="J27" i="16"/>
  <c r="CQ42" i="20" s="1"/>
  <c r="L27" i="16"/>
  <c r="CS42" i="20" s="1"/>
  <c r="N27" i="16"/>
  <c r="CU42" i="20" s="1"/>
  <c r="P27" i="16"/>
  <c r="CW42" i="20" s="1"/>
  <c r="D28" i="16"/>
  <c r="DB42" i="20" s="1"/>
  <c r="F28" i="16"/>
  <c r="DD42" i="20" s="1"/>
  <c r="H28" i="16"/>
  <c r="DF42" i="20" s="1"/>
  <c r="J28" i="16"/>
  <c r="DH42" i="20" s="1"/>
  <c r="L28" i="16"/>
  <c r="DJ42" i="20" s="1"/>
  <c r="N28" i="16"/>
  <c r="DL42" i="20" s="1"/>
  <c r="D32" i="16"/>
  <c r="FR42" i="20" s="1"/>
  <c r="F32" i="16"/>
  <c r="FT42" i="20" s="1"/>
  <c r="H32" i="16"/>
  <c r="FV42" i="20" s="1"/>
  <c r="J32" i="16"/>
  <c r="FX42" i="20" s="1"/>
  <c r="L32" i="16"/>
  <c r="FZ42" i="20" s="1"/>
  <c r="N32" i="16"/>
  <c r="GB42" i="20" s="1"/>
  <c r="D33" i="16"/>
  <c r="GI42" i="20" s="1"/>
  <c r="F33" i="16"/>
  <c r="GK42" i="20" s="1"/>
  <c r="H33" i="16"/>
  <c r="GM42" i="20" s="1"/>
  <c r="J33" i="16"/>
  <c r="GO42" i="20" s="1"/>
  <c r="L33" i="16"/>
  <c r="GQ42" i="20" s="1"/>
  <c r="N33" i="16"/>
  <c r="GS42" i="20" s="1"/>
  <c r="P33" i="16"/>
  <c r="GU42" i="20" s="1"/>
  <c r="D34" i="16"/>
  <c r="GZ42" i="20" s="1"/>
  <c r="F34" i="16"/>
  <c r="HB42" i="20" s="1"/>
  <c r="H34" i="16"/>
  <c r="HD42" i="20" s="1"/>
  <c r="J34" i="16"/>
  <c r="HF42" i="20" s="1"/>
  <c r="L34" i="16"/>
  <c r="HH42" i="20" s="1"/>
  <c r="N34" i="16"/>
  <c r="HJ42" i="20" s="1"/>
  <c r="P34" i="16"/>
  <c r="HL42" i="20" s="1"/>
  <c r="D35" i="16"/>
  <c r="HQ42" i="20" s="1"/>
  <c r="F35" i="16"/>
  <c r="HS42" i="20" s="1"/>
  <c r="H35" i="16"/>
  <c r="HU42" i="20" s="1"/>
  <c r="J35" i="16"/>
  <c r="HW42" i="20" s="1"/>
  <c r="L35" i="16"/>
  <c r="HY42" i="20" s="1"/>
  <c r="N35" i="16"/>
  <c r="IA42" i="20" s="1"/>
  <c r="P35" i="16"/>
  <c r="IC42" i="20" s="1"/>
  <c r="D36" i="16"/>
  <c r="IH42" i="20" s="1"/>
  <c r="F36" i="16"/>
  <c r="IJ42" i="20" s="1"/>
  <c r="H36" i="16"/>
  <c r="IL42" i="20" s="1"/>
  <c r="J36" i="16"/>
  <c r="IN42" i="20" s="1"/>
  <c r="L36" i="16"/>
  <c r="IP42" i="20" s="1"/>
  <c r="N36" i="16"/>
  <c r="IR42" i="20" s="1"/>
  <c r="P36" i="16"/>
  <c r="IT42" i="20" s="1"/>
  <c r="C8" i="15"/>
  <c r="M39" i="20" s="1"/>
  <c r="C15" i="15"/>
  <c r="EC39" i="20" s="1"/>
  <c r="C23" i="15"/>
  <c r="HO39" i="20" s="1"/>
  <c r="C31" i="15"/>
  <c r="BE40" i="20" s="1"/>
  <c r="C38" i="15"/>
  <c r="I15" i="15"/>
  <c r="EK39" i="20" s="1"/>
  <c r="I31" i="15"/>
  <c r="I38" i="15"/>
  <c r="I23" i="15"/>
  <c r="HW39" i="20" s="1"/>
  <c r="E8" i="15"/>
  <c r="O39" i="20" s="1"/>
  <c r="E15" i="15"/>
  <c r="E23" i="15"/>
  <c r="HQ39" i="20" s="1"/>
  <c r="E31" i="15"/>
  <c r="BG40" i="20" s="1"/>
  <c r="E38" i="15"/>
  <c r="FH40" i="20" s="1"/>
  <c r="G8" i="15"/>
  <c r="S39" i="20" s="1"/>
  <c r="G15" i="15"/>
  <c r="EI39" i="20" s="1"/>
  <c r="G23" i="15"/>
  <c r="HU39" i="20" s="1"/>
  <c r="G31" i="15"/>
  <c r="BK40" i="20" s="1"/>
  <c r="G38" i="15"/>
  <c r="FL40" i="20" s="1"/>
  <c r="D6" i="15"/>
  <c r="IF38" i="20" s="1"/>
  <c r="F6" i="15"/>
  <c r="IH38" i="20" s="1"/>
  <c r="H6" i="15"/>
  <c r="IL38" i="20" s="1"/>
  <c r="J6" i="15"/>
  <c r="IN38" i="20" s="1"/>
  <c r="L6" i="15"/>
  <c r="IP38" i="20" s="1"/>
  <c r="D7" i="15"/>
  <c r="IU38" i="20" s="1"/>
  <c r="F7" i="15"/>
  <c r="A39" i="20" s="1"/>
  <c r="H7" i="15"/>
  <c r="E39" i="20" s="1"/>
  <c r="J7" i="15"/>
  <c r="G39" i="20" s="1"/>
  <c r="L7" i="15"/>
  <c r="I39" i="20" s="1"/>
  <c r="D11" i="15"/>
  <c r="AR39" i="20" s="1"/>
  <c r="F11" i="15"/>
  <c r="AT39" i="20" s="1"/>
  <c r="H11" i="15"/>
  <c r="AX39" i="20" s="1"/>
  <c r="J11" i="15"/>
  <c r="AZ39" i="20" s="1"/>
  <c r="L11" i="15"/>
  <c r="BB39" i="20" s="1"/>
  <c r="D12" i="15"/>
  <c r="BG39" i="20" s="1"/>
  <c r="F12" i="15"/>
  <c r="BI39" i="20" s="1"/>
  <c r="H12" i="15"/>
  <c r="BM39" i="20" s="1"/>
  <c r="J12" i="15"/>
  <c r="BO39" i="20" s="1"/>
  <c r="L12" i="15"/>
  <c r="BQ39" i="20" s="1"/>
  <c r="D13" i="15"/>
  <c r="BV39" i="20" s="1"/>
  <c r="F13" i="15"/>
  <c r="BX39" i="20" s="1"/>
  <c r="H13" i="15"/>
  <c r="CB39" i="20" s="1"/>
  <c r="J13" i="15"/>
  <c r="CD39" i="20" s="1"/>
  <c r="L13" i="15"/>
  <c r="CF39" i="20" s="1"/>
  <c r="D14" i="15"/>
  <c r="CK39" i="20" s="1"/>
  <c r="F14" i="15"/>
  <c r="CM39" i="20" s="1"/>
  <c r="H14" i="15"/>
  <c r="CQ39" i="20" s="1"/>
  <c r="J14" i="15"/>
  <c r="CS39" i="20" s="1"/>
  <c r="L14" i="15"/>
  <c r="CU39" i="20" s="1"/>
  <c r="D18" i="15"/>
  <c r="FH39" i="20" s="1"/>
  <c r="F18" i="15"/>
  <c r="FJ39" i="20" s="1"/>
  <c r="H18" i="15"/>
  <c r="FN39" i="20" s="1"/>
  <c r="J18" i="15"/>
  <c r="FP39" i="20" s="1"/>
  <c r="D21" i="15"/>
  <c r="GL39" i="20" s="1"/>
  <c r="F21" i="15"/>
  <c r="GN39" i="20" s="1"/>
  <c r="H21" i="15"/>
  <c r="GR39" i="20" s="1"/>
  <c r="J21" i="15"/>
  <c r="GT39" i="20" s="1"/>
  <c r="L21" i="15"/>
  <c r="GV39" i="20" s="1"/>
  <c r="D22" i="15"/>
  <c r="HA39" i="20" s="1"/>
  <c r="F22" i="15"/>
  <c r="HC39" i="20" s="1"/>
  <c r="H22" i="15"/>
  <c r="HG39" i="20" s="1"/>
  <c r="J22" i="15"/>
  <c r="HI39" i="20" s="1"/>
  <c r="L22" i="15"/>
  <c r="HK39" i="20" s="1"/>
  <c r="D23" i="15"/>
  <c r="HP39" i="20" s="1"/>
  <c r="J23" i="15"/>
  <c r="HX39" i="20" s="1"/>
  <c r="D26" i="15"/>
  <c r="IT39" i="20" s="1"/>
  <c r="F26" i="15"/>
  <c r="IV39" i="20" s="1"/>
  <c r="H26" i="15"/>
  <c r="D40" i="20" s="1"/>
  <c r="J26" i="15"/>
  <c r="F40" i="20" s="1"/>
  <c r="D27" i="15"/>
  <c r="M40" i="20" s="1"/>
  <c r="F27" i="15"/>
  <c r="O40" i="20" s="1"/>
  <c r="H27" i="15"/>
  <c r="S40" i="20" s="1"/>
  <c r="J27" i="15"/>
  <c r="U40" i="20" s="1"/>
  <c r="L27" i="15"/>
  <c r="W40" i="20" s="1"/>
  <c r="D28" i="15"/>
  <c r="AB40" i="20" s="1"/>
  <c r="F28" i="15"/>
  <c r="AD40" i="20" s="1"/>
  <c r="H28" i="15"/>
  <c r="AH40" i="20" s="1"/>
  <c r="J28" i="15"/>
  <c r="AJ40" i="20" s="1"/>
  <c r="L28" i="15"/>
  <c r="AL40" i="20" s="1"/>
  <c r="D30" i="15"/>
  <c r="AQ40" i="20" s="1"/>
  <c r="F30" i="15"/>
  <c r="AS40" i="20" s="1"/>
  <c r="H30" i="15"/>
  <c r="AW40" i="20" s="1"/>
  <c r="J30" i="15"/>
  <c r="AY40" i="20" s="1"/>
  <c r="L30" i="15"/>
  <c r="BA40" i="20" s="1"/>
  <c r="F31" i="15"/>
  <c r="BH40" i="20" s="1"/>
  <c r="H31" i="15"/>
  <c r="BL40" i="20" s="1"/>
  <c r="D34" i="15"/>
  <c r="CJ40" i="20" s="1"/>
  <c r="F34" i="15"/>
  <c r="CL40" i="20" s="1"/>
  <c r="H34" i="15"/>
  <c r="CP40" i="20" s="1"/>
  <c r="J34" i="15"/>
  <c r="CR40" i="20" s="1"/>
  <c r="D35" i="15"/>
  <c r="CY40" i="20" s="1"/>
  <c r="F35" i="15"/>
  <c r="DA40" i="20" s="1"/>
  <c r="H35" i="15"/>
  <c r="DE40" i="20" s="1"/>
  <c r="J35" i="15"/>
  <c r="DG40" i="20" s="1"/>
  <c r="D36" i="15"/>
  <c r="DN40" i="20" s="1"/>
  <c r="F36" i="15"/>
  <c r="DP40" i="20" s="1"/>
  <c r="H36" i="15"/>
  <c r="DT40" i="20" s="1"/>
  <c r="J36" i="15"/>
  <c r="DV40" i="20" s="1"/>
  <c r="L36" i="15"/>
  <c r="DX40" i="20" s="1"/>
  <c r="D37" i="15"/>
  <c r="EC40" i="20" s="1"/>
  <c r="F37" i="15"/>
  <c r="EE40" i="20" s="1"/>
  <c r="H37" i="15"/>
  <c r="EI40" i="20" s="1"/>
  <c r="J37" i="15"/>
  <c r="EK40" i="20" s="1"/>
  <c r="L37" i="15"/>
  <c r="EM40" i="20" s="1"/>
  <c r="F38" i="15"/>
  <c r="FI40" i="20" s="1"/>
  <c r="C17" i="14"/>
  <c r="C24" i="14"/>
  <c r="BK38" i="20" s="1"/>
  <c r="C31" i="14"/>
  <c r="EX38" i="20" s="1"/>
  <c r="E17" i="14"/>
  <c r="II37" i="20" s="1"/>
  <c r="E24" i="14"/>
  <c r="BM38" i="20" s="1"/>
  <c r="E31" i="14"/>
  <c r="EZ38" i="20" s="1"/>
  <c r="G17" i="14"/>
  <c r="IK37" i="20" s="1"/>
  <c r="G24" i="14"/>
  <c r="BO38" i="20" s="1"/>
  <c r="G31" i="14"/>
  <c r="FB38" i="20" s="1"/>
  <c r="D6" i="14"/>
  <c r="DH37" i="20" s="1"/>
  <c r="F6" i="14"/>
  <c r="DJ37" i="20" s="1"/>
  <c r="H6" i="14"/>
  <c r="DL37" i="20" s="1"/>
  <c r="J6" i="14"/>
  <c r="DN37" i="20" s="1"/>
  <c r="L6" i="14"/>
  <c r="DP37" i="20" s="1"/>
  <c r="D9" i="14"/>
  <c r="EH37" i="20" s="1"/>
  <c r="F9" i="14"/>
  <c r="EJ37" i="20" s="1"/>
  <c r="H9" i="14"/>
  <c r="EL37" i="20" s="1"/>
  <c r="J9" i="14"/>
  <c r="EN37" i="20" s="1"/>
  <c r="L9" i="14"/>
  <c r="EP37" i="20" s="1"/>
  <c r="D10" i="14"/>
  <c r="EU37" i="20" s="1"/>
  <c r="F10" i="14"/>
  <c r="EW37" i="20" s="1"/>
  <c r="H10" i="14"/>
  <c r="EY37" i="20" s="1"/>
  <c r="J10" i="14"/>
  <c r="FA37" i="20" s="1"/>
  <c r="L10" i="14"/>
  <c r="FC37" i="20" s="1"/>
  <c r="D11" i="14"/>
  <c r="FH37" i="20" s="1"/>
  <c r="F11" i="14"/>
  <c r="FJ37" i="20" s="1"/>
  <c r="H11" i="14"/>
  <c r="FL37" i="20" s="1"/>
  <c r="J11" i="14"/>
  <c r="FN37" i="20" s="1"/>
  <c r="L11" i="14"/>
  <c r="FP37" i="20" s="1"/>
  <c r="D12" i="14"/>
  <c r="FU37" i="20" s="1"/>
  <c r="F12" i="14"/>
  <c r="FW37" i="20" s="1"/>
  <c r="H12" i="14"/>
  <c r="FY37" i="20" s="1"/>
  <c r="J12" i="14"/>
  <c r="GA37" i="20" s="1"/>
  <c r="L12" i="14"/>
  <c r="GC37" i="20" s="1"/>
  <c r="D13" i="14"/>
  <c r="GH37" i="20" s="1"/>
  <c r="F13" i="14"/>
  <c r="GJ37" i="20" s="1"/>
  <c r="H13" i="14"/>
  <c r="GL37" i="20" s="1"/>
  <c r="J13" i="14"/>
  <c r="GN37" i="20" s="1"/>
  <c r="L13" i="14"/>
  <c r="GP37" i="20" s="1"/>
  <c r="D14" i="14"/>
  <c r="GU37" i="20" s="1"/>
  <c r="F14" i="14"/>
  <c r="GW37" i="20" s="1"/>
  <c r="H14" i="14"/>
  <c r="GY37" i="20" s="1"/>
  <c r="J14" i="14"/>
  <c r="HA37" i="20" s="1"/>
  <c r="L14" i="14"/>
  <c r="HC37" i="20" s="1"/>
  <c r="D15" i="14"/>
  <c r="HH37" i="20" s="1"/>
  <c r="F15" i="14"/>
  <c r="HJ37" i="20" s="1"/>
  <c r="H15" i="14"/>
  <c r="HL37" i="20" s="1"/>
  <c r="J15" i="14"/>
  <c r="HN37" i="20" s="1"/>
  <c r="L15" i="14"/>
  <c r="HP37" i="20" s="1"/>
  <c r="D16" i="14"/>
  <c r="HU37" i="20" s="1"/>
  <c r="F16" i="14"/>
  <c r="HW37" i="20" s="1"/>
  <c r="H16" i="14"/>
  <c r="HY37" i="20" s="1"/>
  <c r="J16" i="14"/>
  <c r="IA37" i="20" s="1"/>
  <c r="D20" i="14"/>
  <c r="L38" i="20" s="1"/>
  <c r="F20" i="14"/>
  <c r="N38" i="20" s="1"/>
  <c r="J20" i="14"/>
  <c r="R38" i="20" s="1"/>
  <c r="D21" i="14"/>
  <c r="Y38" i="20" s="1"/>
  <c r="F21" i="14"/>
  <c r="AA38" i="20" s="1"/>
  <c r="H21" i="14"/>
  <c r="AC38" i="20" s="1"/>
  <c r="J21" i="14"/>
  <c r="AE38" i="20" s="1"/>
  <c r="L21" i="14"/>
  <c r="AG38" i="20" s="1"/>
  <c r="D22" i="14"/>
  <c r="AL38" i="20" s="1"/>
  <c r="F22" i="14"/>
  <c r="AN38" i="20" s="1"/>
  <c r="H22" i="14"/>
  <c r="AP38" i="20" s="1"/>
  <c r="J22" i="14"/>
  <c r="AR38" i="20" s="1"/>
  <c r="L22" i="14"/>
  <c r="AT38" i="20" s="1"/>
  <c r="D23" i="14"/>
  <c r="AY38" i="20" s="1"/>
  <c r="F23" i="14"/>
  <c r="BA38" i="20" s="1"/>
  <c r="H23" i="14"/>
  <c r="BC38" i="20" s="1"/>
  <c r="J23" i="14"/>
  <c r="BE38" i="20" s="1"/>
  <c r="L23" i="14"/>
  <c r="BG38" i="20" s="1"/>
  <c r="D27" i="14"/>
  <c r="CL38" i="20" s="1"/>
  <c r="F27" i="14"/>
  <c r="CN38" i="20" s="1"/>
  <c r="H27" i="14"/>
  <c r="CP38" i="20" s="1"/>
  <c r="J27" i="14"/>
  <c r="CR38" i="20" s="1"/>
  <c r="L27" i="14"/>
  <c r="CT38" i="20" s="1"/>
  <c r="D28" i="14"/>
  <c r="CY38" i="20" s="1"/>
  <c r="F28" i="14"/>
  <c r="DA38" i="20" s="1"/>
  <c r="H28" i="14"/>
  <c r="DC38" i="20" s="1"/>
  <c r="J28" i="14"/>
  <c r="DE38" i="20" s="1"/>
  <c r="D29" i="14"/>
  <c r="DL38" i="20" s="1"/>
  <c r="F29" i="14"/>
  <c r="DN38" i="20" s="1"/>
  <c r="H29" i="14"/>
  <c r="DP38" i="20" s="1"/>
  <c r="J29" i="14"/>
  <c r="DR38" i="20" s="1"/>
  <c r="D30" i="14"/>
  <c r="EL38" i="20" s="1"/>
  <c r="F30" i="14"/>
  <c r="EN38" i="20" s="1"/>
  <c r="H30" i="14"/>
  <c r="EP38" i="20" s="1"/>
  <c r="J30" i="14"/>
  <c r="ER38" i="20" s="1"/>
  <c r="L30" i="14"/>
  <c r="ET38" i="20" s="1"/>
  <c r="C12" i="13"/>
  <c r="EV35" i="20" s="1"/>
  <c r="C20" i="13"/>
  <c r="P36" i="20" s="1"/>
  <c r="C31" i="13"/>
  <c r="C38" i="13"/>
  <c r="E12" i="13"/>
  <c r="EX35" i="20" s="1"/>
  <c r="E31" i="13"/>
  <c r="E38" i="13"/>
  <c r="AF37" i="20" s="1"/>
  <c r="G12" i="13"/>
  <c r="FB35" i="20" s="1"/>
  <c r="G20" i="13"/>
  <c r="V36" i="20" s="1"/>
  <c r="G31" i="13"/>
  <c r="G38" i="13"/>
  <c r="D6" i="13"/>
  <c r="BK35" i="20" s="1"/>
  <c r="F6" i="13"/>
  <c r="BM35" i="20" s="1"/>
  <c r="J6" i="13"/>
  <c r="BS35" i="20" s="1"/>
  <c r="L6" i="13"/>
  <c r="BU35" i="20" s="1"/>
  <c r="D7" i="13"/>
  <c r="BZ35" i="20" s="1"/>
  <c r="F7" i="13"/>
  <c r="CB35" i="20" s="1"/>
  <c r="H7" i="13"/>
  <c r="CF35" i="20" s="1"/>
  <c r="J7" i="13"/>
  <c r="CH35" i="20" s="1"/>
  <c r="L7" i="13"/>
  <c r="CJ35" i="20" s="1"/>
  <c r="D8" i="13"/>
  <c r="CO35" i="20" s="1"/>
  <c r="F8" i="13"/>
  <c r="CQ35" i="20" s="1"/>
  <c r="H8" i="13"/>
  <c r="CU35" i="20" s="1"/>
  <c r="J8" i="13"/>
  <c r="CW35" i="20" s="1"/>
  <c r="L8" i="13"/>
  <c r="CY35" i="20" s="1"/>
  <c r="D9" i="13"/>
  <c r="DD35" i="20" s="1"/>
  <c r="F9" i="13"/>
  <c r="DF35" i="20" s="1"/>
  <c r="H9" i="13"/>
  <c r="DJ35" i="20" s="1"/>
  <c r="J9" i="13"/>
  <c r="DL35" i="20" s="1"/>
  <c r="L9" i="13"/>
  <c r="DN35" i="20" s="1"/>
  <c r="D10" i="13"/>
  <c r="DS35" i="20" s="1"/>
  <c r="F10" i="13"/>
  <c r="DU35" i="20" s="1"/>
  <c r="H10" i="13"/>
  <c r="DY35" i="20" s="1"/>
  <c r="J10" i="13"/>
  <c r="EA35" i="20" s="1"/>
  <c r="L10" i="13"/>
  <c r="EC35" i="20" s="1"/>
  <c r="D11" i="13"/>
  <c r="EH35" i="20" s="1"/>
  <c r="F11" i="13"/>
  <c r="EJ35" i="20" s="1"/>
  <c r="H11" i="13"/>
  <c r="EN35" i="20" s="1"/>
  <c r="J11" i="13"/>
  <c r="EP35" i="20" s="1"/>
  <c r="L11" i="13"/>
  <c r="ER35" i="20" s="1"/>
  <c r="D15" i="13"/>
  <c r="GP35" i="20" s="1"/>
  <c r="F15" i="13"/>
  <c r="GR35" i="20" s="1"/>
  <c r="H15" i="13"/>
  <c r="GV35" i="20" s="1"/>
  <c r="J15" i="13"/>
  <c r="GX35" i="20" s="1"/>
  <c r="L15" i="13"/>
  <c r="GZ35" i="20" s="1"/>
  <c r="D16" i="13"/>
  <c r="HE35" i="20" s="1"/>
  <c r="F16" i="13"/>
  <c r="HG35" i="20" s="1"/>
  <c r="H16" i="13"/>
  <c r="HK35" i="20" s="1"/>
  <c r="J16" i="13"/>
  <c r="HM35" i="20" s="1"/>
  <c r="D17" i="13"/>
  <c r="HT35" i="20" s="1"/>
  <c r="F17" i="13"/>
  <c r="HV35" i="20" s="1"/>
  <c r="H17" i="13"/>
  <c r="HZ35" i="20" s="1"/>
  <c r="J17" i="13"/>
  <c r="IB35" i="20" s="1"/>
  <c r="L17" i="13"/>
  <c r="ID35" i="20" s="1"/>
  <c r="D18" i="13"/>
  <c r="II35" i="20" s="1"/>
  <c r="F18" i="13"/>
  <c r="IK35" i="20" s="1"/>
  <c r="H18" i="13"/>
  <c r="IO35" i="20" s="1"/>
  <c r="J18" i="13"/>
  <c r="IQ35" i="20" s="1"/>
  <c r="D19" i="13"/>
  <c r="B36" i="20" s="1"/>
  <c r="F19" i="13"/>
  <c r="D36" i="20" s="1"/>
  <c r="H19" i="13"/>
  <c r="H36" i="20" s="1"/>
  <c r="J19" i="13"/>
  <c r="J36" i="20" s="1"/>
  <c r="L19" i="13"/>
  <c r="L36" i="20" s="1"/>
  <c r="F20" i="13"/>
  <c r="S36" i="20" s="1"/>
  <c r="H20" i="13"/>
  <c r="W36" i="20" s="1"/>
  <c r="J20" i="13"/>
  <c r="Y36" i="20" s="1"/>
  <c r="D23" i="13"/>
  <c r="AU36" i="20" s="1"/>
  <c r="F23" i="13"/>
  <c r="AW36" i="20" s="1"/>
  <c r="H23" i="13"/>
  <c r="BA36" i="20" s="1"/>
  <c r="J23" i="13"/>
  <c r="BC36" i="20" s="1"/>
  <c r="L23" i="13"/>
  <c r="BE36" i="20" s="1"/>
  <c r="D24" i="13"/>
  <c r="BJ36" i="20" s="1"/>
  <c r="F24" i="13"/>
  <c r="BL36" i="20" s="1"/>
  <c r="H24" i="13"/>
  <c r="BP36" i="20" s="1"/>
  <c r="J24" i="13"/>
  <c r="BR36" i="20" s="1"/>
  <c r="L24" i="13"/>
  <c r="BT36" i="20" s="1"/>
  <c r="D25" i="13"/>
  <c r="BY36" i="20" s="1"/>
  <c r="F25" i="13"/>
  <c r="CA36" i="20" s="1"/>
  <c r="H25" i="13"/>
  <c r="CE36" i="20" s="1"/>
  <c r="J25" i="13"/>
  <c r="CG36" i="20" s="1"/>
  <c r="L25" i="13"/>
  <c r="CI36" i="20" s="1"/>
  <c r="D26" i="13"/>
  <c r="CN36" i="20" s="1"/>
  <c r="F26" i="13"/>
  <c r="CP36" i="20" s="1"/>
  <c r="H26" i="13"/>
  <c r="CT36" i="20" s="1"/>
  <c r="J26" i="13"/>
  <c r="CV36" i="20" s="1"/>
  <c r="L26" i="13"/>
  <c r="CX36" i="20" s="1"/>
  <c r="D27" i="13"/>
  <c r="DC36" i="20" s="1"/>
  <c r="F27" i="13"/>
  <c r="DE36" i="20" s="1"/>
  <c r="H27" i="13"/>
  <c r="DI36" i="20" s="1"/>
  <c r="J27" i="13"/>
  <c r="DK36" i="20" s="1"/>
  <c r="L27" i="13"/>
  <c r="DM36" i="20" s="1"/>
  <c r="D28" i="13"/>
  <c r="DR36" i="20" s="1"/>
  <c r="F28" i="13"/>
  <c r="DT36" i="20" s="1"/>
  <c r="H28" i="13"/>
  <c r="DX36" i="20" s="1"/>
  <c r="J28" i="13"/>
  <c r="DZ36" i="20" s="1"/>
  <c r="L28" i="13"/>
  <c r="EB36" i="20" s="1"/>
  <c r="D29" i="13"/>
  <c r="EG36" i="20" s="1"/>
  <c r="F29" i="13"/>
  <c r="EI36" i="20" s="1"/>
  <c r="H29" i="13"/>
  <c r="EM36" i="20" s="1"/>
  <c r="J29" i="13"/>
  <c r="EO36" i="20" s="1"/>
  <c r="L29" i="13"/>
  <c r="EQ36" i="20" s="1"/>
  <c r="D30" i="13"/>
  <c r="EV36" i="20" s="1"/>
  <c r="F30" i="13"/>
  <c r="EX36" i="20" s="1"/>
  <c r="H30" i="13"/>
  <c r="FB36" i="20" s="1"/>
  <c r="J30" i="13"/>
  <c r="FD36" i="20" s="1"/>
  <c r="L30" i="13"/>
  <c r="FF36" i="20" s="1"/>
  <c r="J31" i="13"/>
  <c r="FS36" i="20" s="1"/>
  <c r="D34" i="13"/>
  <c r="HD36" i="20" s="1"/>
  <c r="F34" i="13"/>
  <c r="HF36" i="20" s="1"/>
  <c r="H34" i="13"/>
  <c r="HJ36" i="20" s="1"/>
  <c r="J34" i="13"/>
  <c r="HL36" i="20" s="1"/>
  <c r="L34" i="13"/>
  <c r="HN36" i="20" s="1"/>
  <c r="D35" i="13"/>
  <c r="HS36" i="20" s="1"/>
  <c r="F35" i="13"/>
  <c r="HU36" i="20" s="1"/>
  <c r="H35" i="13"/>
  <c r="HY36" i="20" s="1"/>
  <c r="J35" i="13"/>
  <c r="IA36" i="20" s="1"/>
  <c r="L35" i="13"/>
  <c r="IC36" i="20" s="1"/>
  <c r="D36" i="13"/>
  <c r="IH36" i="20" s="1"/>
  <c r="F36" i="13"/>
  <c r="IJ36" i="20" s="1"/>
  <c r="H36" i="13"/>
  <c r="IN36" i="20" s="1"/>
  <c r="J36" i="13"/>
  <c r="IP36" i="20" s="1"/>
  <c r="F38" i="13"/>
  <c r="AG37" i="20" s="1"/>
  <c r="J38" i="13"/>
  <c r="AM37" i="20" s="1"/>
  <c r="C12" i="12"/>
  <c r="DS33" i="20" s="1"/>
  <c r="C20" i="12"/>
  <c r="J34" i="20" s="1"/>
  <c r="C26" i="12"/>
  <c r="C31" i="12"/>
  <c r="FJ34" i="20" s="1"/>
  <c r="I12" i="12"/>
  <c r="I20" i="12"/>
  <c r="I26" i="12"/>
  <c r="CP34" i="20" s="1"/>
  <c r="I31" i="12"/>
  <c r="FP34" i="20" s="1"/>
  <c r="E12" i="12"/>
  <c r="DU33" i="20" s="1"/>
  <c r="E20" i="12"/>
  <c r="E26" i="12"/>
  <c r="CL34" i="20" s="1"/>
  <c r="E31" i="12"/>
  <c r="G12" i="12"/>
  <c r="DW33" i="20" s="1"/>
  <c r="G26" i="12"/>
  <c r="CN34" i="20" s="1"/>
  <c r="G31" i="12"/>
  <c r="FN34" i="20" s="1"/>
  <c r="D6" i="12"/>
  <c r="AT33" i="20" s="1"/>
  <c r="F6" i="12"/>
  <c r="AV33" i="20" s="1"/>
  <c r="H6" i="12"/>
  <c r="AX33" i="20" s="1"/>
  <c r="J6" i="12"/>
  <c r="AZ33" i="20" s="1"/>
  <c r="L6" i="12"/>
  <c r="BB33" i="20" s="1"/>
  <c r="D7" i="12"/>
  <c r="BG33" i="20" s="1"/>
  <c r="F7" i="12"/>
  <c r="BI33" i="20" s="1"/>
  <c r="H7" i="12"/>
  <c r="BK33" i="20" s="1"/>
  <c r="J7" i="12"/>
  <c r="BM33" i="20" s="1"/>
  <c r="L7" i="12"/>
  <c r="BO33" i="20" s="1"/>
  <c r="D8" i="12"/>
  <c r="BT33" i="20" s="1"/>
  <c r="F8" i="12"/>
  <c r="BV33" i="20" s="1"/>
  <c r="H8" i="12"/>
  <c r="BX33" i="20" s="1"/>
  <c r="J8" i="12"/>
  <c r="BZ33" i="20" s="1"/>
  <c r="D9" i="12"/>
  <c r="CG33" i="20" s="1"/>
  <c r="F9" i="12"/>
  <c r="CI33" i="20" s="1"/>
  <c r="H9" i="12"/>
  <c r="CK33" i="20" s="1"/>
  <c r="J9" i="12"/>
  <c r="CM33" i="20" s="1"/>
  <c r="L9" i="12"/>
  <c r="CO33" i="20" s="1"/>
  <c r="D10" i="12"/>
  <c r="CT33" i="20" s="1"/>
  <c r="F10" i="12"/>
  <c r="CV33" i="20" s="1"/>
  <c r="H10" i="12"/>
  <c r="CX33" i="20" s="1"/>
  <c r="J10" i="12"/>
  <c r="CZ33" i="20" s="1"/>
  <c r="L10" i="12"/>
  <c r="DB33" i="20" s="1"/>
  <c r="D11" i="12"/>
  <c r="DG33" i="20" s="1"/>
  <c r="F11" i="12"/>
  <c r="DI33" i="20" s="1"/>
  <c r="H11" i="12"/>
  <c r="DK33" i="20" s="1"/>
  <c r="J11" i="12"/>
  <c r="DM33" i="20" s="1"/>
  <c r="L11" i="12"/>
  <c r="DO33" i="20" s="1"/>
  <c r="D15" i="12"/>
  <c r="FT33" i="20" s="1"/>
  <c r="F15" i="12"/>
  <c r="FV33" i="20" s="1"/>
  <c r="H15" i="12"/>
  <c r="FX33" i="20" s="1"/>
  <c r="J15" i="12"/>
  <c r="FZ33" i="20" s="1"/>
  <c r="L15" i="12"/>
  <c r="GB33" i="20" s="1"/>
  <c r="D16" i="12"/>
  <c r="GG33" i="20" s="1"/>
  <c r="F16" i="12"/>
  <c r="GI33" i="20" s="1"/>
  <c r="H16" i="12"/>
  <c r="GK33" i="20" s="1"/>
  <c r="J16" i="12"/>
  <c r="GM33" i="20" s="1"/>
  <c r="D17" i="12"/>
  <c r="GT33" i="20" s="1"/>
  <c r="F17" i="12"/>
  <c r="GV33" i="20" s="1"/>
  <c r="H17" i="12"/>
  <c r="GX33" i="20" s="1"/>
  <c r="J17" i="12"/>
  <c r="GZ33" i="20" s="1"/>
  <c r="L17" i="12"/>
  <c r="HB33" i="20" s="1"/>
  <c r="F18" i="12"/>
  <c r="HI33" i="20" s="1"/>
  <c r="H18" i="12"/>
  <c r="HK33" i="20" s="1"/>
  <c r="J18" i="12"/>
  <c r="HM33" i="20" s="1"/>
  <c r="D19" i="12"/>
  <c r="HT33" i="20" s="1"/>
  <c r="F19" i="12"/>
  <c r="HV33" i="20" s="1"/>
  <c r="H19" i="12"/>
  <c r="HX33" i="20" s="1"/>
  <c r="J19" i="12"/>
  <c r="HZ33" i="20" s="1"/>
  <c r="L19" i="12"/>
  <c r="IB33" i="20" s="1"/>
  <c r="D23" i="12"/>
  <c r="AX34" i="20" s="1"/>
  <c r="F23" i="12"/>
  <c r="AZ34" i="20" s="1"/>
  <c r="H23" i="12"/>
  <c r="BB34" i="20" s="1"/>
  <c r="J23" i="12"/>
  <c r="BD34" i="20" s="1"/>
  <c r="L23" i="12"/>
  <c r="BF34" i="20" s="1"/>
  <c r="D24" i="12"/>
  <c r="BK34" i="20" s="1"/>
  <c r="F24" i="12"/>
  <c r="BM34" i="20" s="1"/>
  <c r="H24" i="12"/>
  <c r="BO34" i="20" s="1"/>
  <c r="J24" i="12"/>
  <c r="BQ34" i="20" s="1"/>
  <c r="L24" i="12"/>
  <c r="BS34" i="20" s="1"/>
  <c r="D25" i="12"/>
  <c r="BX34" i="20" s="1"/>
  <c r="F25" i="12"/>
  <c r="BZ34" i="20" s="1"/>
  <c r="H25" i="12"/>
  <c r="CB34" i="20" s="1"/>
  <c r="J25" i="12"/>
  <c r="CD34" i="20" s="1"/>
  <c r="L25" i="12"/>
  <c r="CF34" i="20" s="1"/>
  <c r="J26" i="12"/>
  <c r="CQ34" i="20" s="1"/>
  <c r="D29" i="12"/>
  <c r="DX34" i="20" s="1"/>
  <c r="F29" i="12"/>
  <c r="DZ34" i="20" s="1"/>
  <c r="H29" i="12"/>
  <c r="EB34" i="20" s="1"/>
  <c r="J29" i="12"/>
  <c r="ED34" i="20" s="1"/>
  <c r="L29" i="12"/>
  <c r="EF34" i="20" s="1"/>
  <c r="D30" i="12"/>
  <c r="EK34" i="20" s="1"/>
  <c r="F30" i="12"/>
  <c r="EM34" i="20" s="1"/>
  <c r="H30" i="12"/>
  <c r="EO34" i="20" s="1"/>
  <c r="J30" i="12"/>
  <c r="EQ34" i="20" s="1"/>
  <c r="L30" i="12"/>
  <c r="ES34" i="20" s="1"/>
  <c r="D35" i="12"/>
  <c r="GX34" i="20" s="1"/>
  <c r="F35" i="12"/>
  <c r="GZ34" i="20" s="1"/>
  <c r="H35" i="12"/>
  <c r="HB34" i="20" s="1"/>
  <c r="J35" i="12"/>
  <c r="HD34" i="20" s="1"/>
  <c r="L35" i="12"/>
  <c r="HF34" i="20" s="1"/>
  <c r="C23" i="11"/>
  <c r="EL31" i="20" s="1"/>
  <c r="C10" i="11"/>
  <c r="IH30" i="20" s="1"/>
  <c r="C16" i="11"/>
  <c r="BL31" i="20" s="1"/>
  <c r="C28" i="11"/>
  <c r="GY31" i="20" s="1"/>
  <c r="C34" i="11"/>
  <c r="P32" i="20" s="1"/>
  <c r="C43" i="11"/>
  <c r="DC32" i="20" s="1"/>
  <c r="C49" i="11"/>
  <c r="FP32" i="20" s="1"/>
  <c r="C54" i="11"/>
  <c r="HP32" i="20" s="1"/>
  <c r="I23" i="11"/>
  <c r="I10" i="11"/>
  <c r="IN30" i="20" s="1"/>
  <c r="I16" i="11"/>
  <c r="I28" i="11"/>
  <c r="I34" i="11"/>
  <c r="I43" i="11"/>
  <c r="DI32" i="20" s="1"/>
  <c r="I49" i="11"/>
  <c r="FV32" i="20" s="1"/>
  <c r="I54" i="11"/>
  <c r="HV32" i="20" s="1"/>
  <c r="E23" i="11"/>
  <c r="E10" i="11"/>
  <c r="E16" i="11"/>
  <c r="BN31" i="20" s="1"/>
  <c r="E28" i="11"/>
  <c r="HA31" i="20" s="1"/>
  <c r="E34" i="11"/>
  <c r="R32" i="20" s="1"/>
  <c r="E43" i="11"/>
  <c r="DE32" i="20" s="1"/>
  <c r="E49" i="11"/>
  <c r="FR32" i="20" s="1"/>
  <c r="E54" i="11"/>
  <c r="HR32" i="20" s="1"/>
  <c r="G23" i="11"/>
  <c r="EP31" i="20" s="1"/>
  <c r="G10" i="11"/>
  <c r="IL30" i="20" s="1"/>
  <c r="G16" i="11"/>
  <c r="BP31" i="20" s="1"/>
  <c r="G28" i="11"/>
  <c r="HC31" i="20" s="1"/>
  <c r="G34" i="11"/>
  <c r="T32" i="20" s="1"/>
  <c r="G43" i="11"/>
  <c r="G49" i="11"/>
  <c r="FT32" i="20" s="1"/>
  <c r="G54" i="11"/>
  <c r="D6" i="11"/>
  <c r="GI30" i="20" s="1"/>
  <c r="F6" i="11"/>
  <c r="GK30" i="20" s="1"/>
  <c r="H6" i="11"/>
  <c r="GM30" i="20" s="1"/>
  <c r="J6" i="11"/>
  <c r="GO30" i="20" s="1"/>
  <c r="L6" i="11"/>
  <c r="GQ30" i="20" s="1"/>
  <c r="D7" i="11"/>
  <c r="GV30" i="20" s="1"/>
  <c r="F7" i="11"/>
  <c r="GX30" i="20" s="1"/>
  <c r="H7" i="11"/>
  <c r="GZ30" i="20" s="1"/>
  <c r="J7" i="11"/>
  <c r="HB30" i="20" s="1"/>
  <c r="L7" i="11"/>
  <c r="HD30" i="20" s="1"/>
  <c r="D8" i="11"/>
  <c r="HI30" i="20" s="1"/>
  <c r="F8" i="11"/>
  <c r="HK30" i="20" s="1"/>
  <c r="H8" i="11"/>
  <c r="HM30" i="20" s="1"/>
  <c r="J8" i="11"/>
  <c r="HO30" i="20" s="1"/>
  <c r="L8" i="11"/>
  <c r="HQ30" i="20" s="1"/>
  <c r="D9" i="11"/>
  <c r="HV30" i="20" s="1"/>
  <c r="F9" i="11"/>
  <c r="HX30" i="20" s="1"/>
  <c r="H9" i="11"/>
  <c r="HZ30" i="20" s="1"/>
  <c r="J9" i="11"/>
  <c r="IB30" i="20" s="1"/>
  <c r="D13" i="11"/>
  <c r="Z31" i="20" s="1"/>
  <c r="F13" i="11"/>
  <c r="AB31" i="20" s="1"/>
  <c r="H13" i="11"/>
  <c r="AD31" i="20" s="1"/>
  <c r="J13" i="11"/>
  <c r="AF31" i="20" s="1"/>
  <c r="L13" i="11"/>
  <c r="AH31" i="20" s="1"/>
  <c r="D14" i="11"/>
  <c r="AM31" i="20" s="1"/>
  <c r="F14" i="11"/>
  <c r="AO31" i="20" s="1"/>
  <c r="H14" i="11"/>
  <c r="AQ31" i="20" s="1"/>
  <c r="J14" i="11"/>
  <c r="AS31" i="20" s="1"/>
  <c r="L14" i="11"/>
  <c r="AU31" i="20" s="1"/>
  <c r="D15" i="11"/>
  <c r="AZ31" i="20" s="1"/>
  <c r="F15" i="11"/>
  <c r="BB31" i="20" s="1"/>
  <c r="H15" i="11"/>
  <c r="BD31" i="20" s="1"/>
  <c r="J15" i="11"/>
  <c r="BF31" i="20" s="1"/>
  <c r="L15" i="11"/>
  <c r="BH31" i="20" s="1"/>
  <c r="D19" i="11"/>
  <c r="CM31" i="20" s="1"/>
  <c r="F19" i="11"/>
  <c r="CO31" i="20" s="1"/>
  <c r="H19" i="11"/>
  <c r="CQ31" i="20" s="1"/>
  <c r="J19" i="11"/>
  <c r="CS31" i="20" s="1"/>
  <c r="L19" i="11"/>
  <c r="CU31" i="20" s="1"/>
  <c r="D20" i="11"/>
  <c r="CZ31" i="20" s="1"/>
  <c r="F20" i="11"/>
  <c r="DB31" i="20" s="1"/>
  <c r="H20" i="11"/>
  <c r="DD31" i="20" s="1"/>
  <c r="J20" i="11"/>
  <c r="DF31" i="20" s="1"/>
  <c r="L20" i="11"/>
  <c r="DH31" i="20" s="1"/>
  <c r="D21" i="11"/>
  <c r="DM31" i="20" s="1"/>
  <c r="F21" i="11"/>
  <c r="DO31" i="20" s="1"/>
  <c r="H21" i="11"/>
  <c r="DQ31" i="20" s="1"/>
  <c r="J21" i="11"/>
  <c r="DS31" i="20" s="1"/>
  <c r="L21" i="11"/>
  <c r="DU31" i="20" s="1"/>
  <c r="D22" i="11"/>
  <c r="DZ31" i="20" s="1"/>
  <c r="F22" i="11"/>
  <c r="EB31" i="20" s="1"/>
  <c r="H22" i="11"/>
  <c r="ED31" i="20" s="1"/>
  <c r="J22" i="11"/>
  <c r="EF31" i="20" s="1"/>
  <c r="L22" i="11"/>
  <c r="EH31" i="20" s="1"/>
  <c r="D26" i="11"/>
  <c r="FM31" i="20" s="1"/>
  <c r="F26" i="11"/>
  <c r="FO31" i="20" s="1"/>
  <c r="H26" i="11"/>
  <c r="FQ31" i="20" s="1"/>
  <c r="J26" i="11"/>
  <c r="FS31" i="20" s="1"/>
  <c r="L26" i="11"/>
  <c r="FU31" i="20" s="1"/>
  <c r="D27" i="11"/>
  <c r="FZ31" i="20" s="1"/>
  <c r="F27" i="11"/>
  <c r="GB31" i="20" s="1"/>
  <c r="H27" i="11"/>
  <c r="GD31" i="20" s="1"/>
  <c r="J27" i="11"/>
  <c r="GF31" i="20" s="1"/>
  <c r="D28" i="11"/>
  <c r="GZ31" i="20" s="1"/>
  <c r="D31" i="11"/>
  <c r="HZ31" i="20" s="1"/>
  <c r="F31" i="11"/>
  <c r="IB31" i="20" s="1"/>
  <c r="H31" i="11"/>
  <c r="ID31" i="20" s="1"/>
  <c r="J31" i="11"/>
  <c r="IF31" i="20" s="1"/>
  <c r="L31" i="11"/>
  <c r="IH31" i="20" s="1"/>
  <c r="D33" i="11"/>
  <c r="D32" i="20" s="1"/>
  <c r="F33" i="11"/>
  <c r="F32" i="20" s="1"/>
  <c r="H33" i="11"/>
  <c r="H32" i="20" s="1"/>
  <c r="J33" i="11"/>
  <c r="J32" i="20" s="1"/>
  <c r="L33" i="11"/>
  <c r="L32" i="20" s="1"/>
  <c r="D34" i="11"/>
  <c r="Q32" i="20" s="1"/>
  <c r="H34" i="11"/>
  <c r="U32" i="20" s="1"/>
  <c r="D40" i="11"/>
  <c r="BQ32" i="20" s="1"/>
  <c r="F40" i="11"/>
  <c r="BS32" i="20" s="1"/>
  <c r="H40" i="11"/>
  <c r="BU32" i="20" s="1"/>
  <c r="J40" i="11"/>
  <c r="BW32" i="20" s="1"/>
  <c r="D41" i="11"/>
  <c r="CD32" i="20" s="1"/>
  <c r="F41" i="11"/>
  <c r="CF32" i="20" s="1"/>
  <c r="H41" i="11"/>
  <c r="CH32" i="20" s="1"/>
  <c r="J41" i="11"/>
  <c r="CJ32" i="20" s="1"/>
  <c r="L41" i="11"/>
  <c r="CL32" i="20" s="1"/>
  <c r="D42" i="11"/>
  <c r="CQ32" i="20" s="1"/>
  <c r="F42" i="11"/>
  <c r="CS32" i="20" s="1"/>
  <c r="H42" i="11"/>
  <c r="CU32" i="20" s="1"/>
  <c r="J42" i="11"/>
  <c r="CW32" i="20" s="1"/>
  <c r="K43" i="11"/>
  <c r="DK32" i="20" s="1"/>
  <c r="D46" i="11"/>
  <c r="ED32" i="20" s="1"/>
  <c r="F46" i="11"/>
  <c r="EF32" i="20" s="1"/>
  <c r="H46" i="11"/>
  <c r="EH32" i="20" s="1"/>
  <c r="J46" i="11"/>
  <c r="EJ32" i="20" s="1"/>
  <c r="L46" i="11"/>
  <c r="EL32" i="20" s="1"/>
  <c r="D47" i="11"/>
  <c r="EQ32" i="20" s="1"/>
  <c r="F47" i="11"/>
  <c r="ES32" i="20" s="1"/>
  <c r="H47" i="11"/>
  <c r="EU32" i="20" s="1"/>
  <c r="J47" i="11"/>
  <c r="EW32" i="20" s="1"/>
  <c r="D48" i="11"/>
  <c r="FD32" i="20" s="1"/>
  <c r="F48" i="11"/>
  <c r="FF32" i="20" s="1"/>
  <c r="H48" i="11"/>
  <c r="FH32" i="20" s="1"/>
  <c r="J48" i="11"/>
  <c r="FJ32" i="20" s="1"/>
  <c r="L48" i="11"/>
  <c r="FL32" i="20" s="1"/>
  <c r="D52" i="11"/>
  <c r="GQ32" i="20" s="1"/>
  <c r="F52" i="11"/>
  <c r="GS32" i="20" s="1"/>
  <c r="H52" i="11"/>
  <c r="GU32" i="20" s="1"/>
  <c r="J52" i="11"/>
  <c r="GW32" i="20" s="1"/>
  <c r="D53" i="11"/>
  <c r="HD32" i="20" s="1"/>
  <c r="F53" i="11"/>
  <c r="HF32" i="20" s="1"/>
  <c r="H53" i="11"/>
  <c r="HH32" i="20" s="1"/>
  <c r="J53" i="11"/>
  <c r="HJ32" i="20" s="1"/>
  <c r="L53" i="11"/>
  <c r="HL32" i="20" s="1"/>
  <c r="J54" i="11"/>
  <c r="HW32" i="20" s="1"/>
  <c r="K54" i="11"/>
  <c r="C13" i="10"/>
  <c r="DG28" i="20" s="1"/>
  <c r="C21" i="10"/>
  <c r="HV28" i="20" s="1"/>
  <c r="C27" i="10"/>
  <c r="BX29" i="20" s="1"/>
  <c r="C32" i="10"/>
  <c r="C40" i="10"/>
  <c r="X30" i="20" s="1"/>
  <c r="C45" i="10"/>
  <c r="CN30" i="20" s="1"/>
  <c r="E13" i="10"/>
  <c r="DI28" i="20" s="1"/>
  <c r="E21" i="10"/>
  <c r="HX28" i="20" s="1"/>
  <c r="E27" i="10"/>
  <c r="BZ29" i="20" s="1"/>
  <c r="E32" i="10"/>
  <c r="FX29" i="20" s="1"/>
  <c r="E40" i="10"/>
  <c r="Z30" i="20" s="1"/>
  <c r="E45" i="10"/>
  <c r="CP30" i="20" s="1"/>
  <c r="G13" i="10"/>
  <c r="G21" i="10"/>
  <c r="HZ28" i="20" s="1"/>
  <c r="G27" i="10"/>
  <c r="CB29" i="20" s="1"/>
  <c r="G32" i="10"/>
  <c r="FZ29" i="20" s="1"/>
  <c r="G40" i="10"/>
  <c r="AB30" i="20" s="1"/>
  <c r="G45" i="10"/>
  <c r="CR30" i="20" s="1"/>
  <c r="I13" i="10"/>
  <c r="DO28" i="20" s="1"/>
  <c r="I21" i="10"/>
  <c r="ID28" i="20" s="1"/>
  <c r="I27" i="10"/>
  <c r="I32" i="10"/>
  <c r="GD29" i="20" s="1"/>
  <c r="I40" i="10"/>
  <c r="AF30" i="20" s="1"/>
  <c r="I45" i="10"/>
  <c r="CV30" i="20" s="1"/>
  <c r="M27" i="10"/>
  <c r="M32" i="10"/>
  <c r="GH29" i="20" s="1"/>
  <c r="M40" i="10"/>
  <c r="M45" i="10"/>
  <c r="D6" i="10"/>
  <c r="IO27" i="20" s="1"/>
  <c r="F6" i="10"/>
  <c r="IQ27" i="20" s="1"/>
  <c r="H6" i="10"/>
  <c r="IS27" i="20" s="1"/>
  <c r="J6" i="10"/>
  <c r="A28" i="20" s="1"/>
  <c r="L6" i="10"/>
  <c r="C28" i="20" s="1"/>
  <c r="N6" i="10"/>
  <c r="E28" i="20" s="1"/>
  <c r="D7" i="10"/>
  <c r="J28" i="20" s="1"/>
  <c r="H7" i="10"/>
  <c r="N28" i="20" s="1"/>
  <c r="J7" i="10"/>
  <c r="R28" i="20" s="1"/>
  <c r="L7" i="10"/>
  <c r="T28" i="20" s="1"/>
  <c r="D8" i="10"/>
  <c r="AA28" i="20" s="1"/>
  <c r="F8" i="10"/>
  <c r="AC28" i="20" s="1"/>
  <c r="H8" i="10"/>
  <c r="AE28" i="20" s="1"/>
  <c r="J8" i="10"/>
  <c r="AI28" i="20" s="1"/>
  <c r="L8" i="10"/>
  <c r="AK28" i="20" s="1"/>
  <c r="N8" i="10"/>
  <c r="AM28" i="20" s="1"/>
  <c r="D9" i="10"/>
  <c r="AR28" i="20" s="1"/>
  <c r="F9" i="10"/>
  <c r="AT28" i="20" s="1"/>
  <c r="H9" i="10"/>
  <c r="AV28" i="20" s="1"/>
  <c r="J9" i="10"/>
  <c r="AZ28" i="20" s="1"/>
  <c r="L9" i="10"/>
  <c r="BB28" i="20" s="1"/>
  <c r="N9" i="10"/>
  <c r="BD28" i="20" s="1"/>
  <c r="D10" i="10"/>
  <c r="BI28" i="20" s="1"/>
  <c r="F10" i="10"/>
  <c r="BK28" i="20" s="1"/>
  <c r="H10" i="10"/>
  <c r="BM28" i="20" s="1"/>
  <c r="J10" i="10"/>
  <c r="BQ28" i="20" s="1"/>
  <c r="L10" i="10"/>
  <c r="BS28" i="20" s="1"/>
  <c r="N10" i="10"/>
  <c r="BU28" i="20" s="1"/>
  <c r="D11" i="10"/>
  <c r="BZ28" i="20" s="1"/>
  <c r="F11" i="10"/>
  <c r="CB28" i="20" s="1"/>
  <c r="H11" i="10"/>
  <c r="CD28" i="20" s="1"/>
  <c r="J11" i="10"/>
  <c r="CH28" i="20" s="1"/>
  <c r="L11" i="10"/>
  <c r="CJ28" i="20" s="1"/>
  <c r="N11" i="10"/>
  <c r="CL28" i="20" s="1"/>
  <c r="D12" i="10"/>
  <c r="CQ28" i="20" s="1"/>
  <c r="F12" i="10"/>
  <c r="CS28" i="20" s="1"/>
  <c r="H12" i="10"/>
  <c r="CU28" i="20" s="1"/>
  <c r="J12" i="10"/>
  <c r="CY28" i="20" s="1"/>
  <c r="L12" i="10"/>
  <c r="DA28" i="20" s="1"/>
  <c r="N12" i="10"/>
  <c r="DC28" i="20" s="1"/>
  <c r="K13" i="10"/>
  <c r="D16" i="10"/>
  <c r="FG28" i="20" s="1"/>
  <c r="F16" i="10"/>
  <c r="FI28" i="20" s="1"/>
  <c r="H16" i="10"/>
  <c r="FK28" i="20" s="1"/>
  <c r="J16" i="10"/>
  <c r="FO28" i="20" s="1"/>
  <c r="L16" i="10"/>
  <c r="FQ28" i="20" s="1"/>
  <c r="N16" i="10"/>
  <c r="FS28" i="20" s="1"/>
  <c r="D17" i="10"/>
  <c r="FX28" i="20" s="1"/>
  <c r="F17" i="10"/>
  <c r="FZ28" i="20" s="1"/>
  <c r="H17" i="10"/>
  <c r="GB28" i="20" s="1"/>
  <c r="J17" i="10"/>
  <c r="GF28" i="20" s="1"/>
  <c r="L17" i="10"/>
  <c r="GH28" i="20" s="1"/>
  <c r="D18" i="10"/>
  <c r="GO28" i="20" s="1"/>
  <c r="F18" i="10"/>
  <c r="GQ28" i="20" s="1"/>
  <c r="H18" i="10"/>
  <c r="GS28" i="20" s="1"/>
  <c r="J18" i="10"/>
  <c r="GW28" i="20" s="1"/>
  <c r="L18" i="10"/>
  <c r="GY28" i="20" s="1"/>
  <c r="N18" i="10"/>
  <c r="HA28" i="20" s="1"/>
  <c r="N19" i="10"/>
  <c r="D20" i="10"/>
  <c r="HF28" i="20" s="1"/>
  <c r="F20" i="10"/>
  <c r="HH28" i="20" s="1"/>
  <c r="H20" i="10"/>
  <c r="HJ28" i="20" s="1"/>
  <c r="J20" i="10"/>
  <c r="HN28" i="20" s="1"/>
  <c r="L20" i="10"/>
  <c r="HP28" i="20" s="1"/>
  <c r="D24" i="10"/>
  <c r="Z29" i="20" s="1"/>
  <c r="F24" i="10"/>
  <c r="AB29" i="20" s="1"/>
  <c r="H24" i="10"/>
  <c r="AD29" i="20" s="1"/>
  <c r="J24" i="10"/>
  <c r="AH29" i="20" s="1"/>
  <c r="L24" i="10"/>
  <c r="AJ29" i="20" s="1"/>
  <c r="N24" i="10"/>
  <c r="AL29" i="20" s="1"/>
  <c r="D25" i="10"/>
  <c r="AQ29" i="20" s="1"/>
  <c r="F25" i="10"/>
  <c r="AS29" i="20" s="1"/>
  <c r="H25" i="10"/>
  <c r="AU29" i="20" s="1"/>
  <c r="J25" i="10"/>
  <c r="AY29" i="20" s="1"/>
  <c r="L25" i="10"/>
  <c r="BA29" i="20" s="1"/>
  <c r="N25" i="10"/>
  <c r="BC29" i="20" s="1"/>
  <c r="D26" i="10"/>
  <c r="BH29" i="20" s="1"/>
  <c r="F26" i="10"/>
  <c r="BJ29" i="20" s="1"/>
  <c r="H26" i="10"/>
  <c r="BL29" i="20" s="1"/>
  <c r="J26" i="10"/>
  <c r="BP29" i="20" s="1"/>
  <c r="L26" i="10"/>
  <c r="BR29" i="20" s="1"/>
  <c r="N26" i="10"/>
  <c r="BT29" i="20" s="1"/>
  <c r="D31" i="10"/>
  <c r="EO29" i="20" s="1"/>
  <c r="F31" i="10"/>
  <c r="EQ29" i="20" s="1"/>
  <c r="H31" i="10"/>
  <c r="ES29" i="20" s="1"/>
  <c r="J31" i="10"/>
  <c r="EW29" i="20" s="1"/>
  <c r="L31" i="10"/>
  <c r="EY29" i="20" s="1"/>
  <c r="N31" i="10"/>
  <c r="FA29" i="20" s="1"/>
  <c r="N32" i="10"/>
  <c r="GI29" i="20" s="1"/>
  <c r="D35" i="10"/>
  <c r="HE29" i="20" s="1"/>
  <c r="F35" i="10"/>
  <c r="HG29" i="20" s="1"/>
  <c r="H35" i="10"/>
  <c r="HI29" i="20" s="1"/>
  <c r="J35" i="10"/>
  <c r="HM29" i="20" s="1"/>
  <c r="L35" i="10"/>
  <c r="HO29" i="20" s="1"/>
  <c r="N35" i="10"/>
  <c r="HQ29" i="20" s="1"/>
  <c r="D38" i="10"/>
  <c r="IM29" i="20" s="1"/>
  <c r="F38" i="10"/>
  <c r="IO29" i="20" s="1"/>
  <c r="H38" i="10"/>
  <c r="IQ29" i="20" s="1"/>
  <c r="J38" i="10"/>
  <c r="IU29" i="20" s="1"/>
  <c r="L38" i="10"/>
  <c r="A30" i="20" s="1"/>
  <c r="N38" i="10"/>
  <c r="C30" i="20" s="1"/>
  <c r="F39" i="10"/>
  <c r="J30" i="20" s="1"/>
  <c r="H39" i="10"/>
  <c r="L30" i="20" s="1"/>
  <c r="J39" i="10"/>
  <c r="P30" i="20" s="1"/>
  <c r="L39" i="10"/>
  <c r="R30" i="20" s="1"/>
  <c r="N39" i="10"/>
  <c r="T30" i="20" s="1"/>
  <c r="D43" i="10"/>
  <c r="BG30" i="20" s="1"/>
  <c r="F43" i="10"/>
  <c r="BI30" i="20" s="1"/>
  <c r="H43" i="10"/>
  <c r="BK30" i="20" s="1"/>
  <c r="J43" i="10"/>
  <c r="BO30" i="20" s="1"/>
  <c r="L43" i="10"/>
  <c r="BQ30" i="20" s="1"/>
  <c r="N43" i="10"/>
  <c r="BS30" i="20" s="1"/>
  <c r="D44" i="10"/>
  <c r="BX30" i="20" s="1"/>
  <c r="F44" i="10"/>
  <c r="BZ30" i="20" s="1"/>
  <c r="H44" i="10"/>
  <c r="CB30" i="20" s="1"/>
  <c r="J44" i="10"/>
  <c r="CF30" i="20" s="1"/>
  <c r="L44" i="10"/>
  <c r="CH30" i="20" s="1"/>
  <c r="N44" i="10"/>
  <c r="CJ30" i="20" s="1"/>
  <c r="G4" i="9"/>
  <c r="D6" i="9"/>
  <c r="L25" i="20" s="1"/>
  <c r="F6" i="9"/>
  <c r="N25" i="20" s="1"/>
  <c r="J6" i="9"/>
  <c r="X25" i="20" s="1"/>
  <c r="L6" i="9"/>
  <c r="Z25" i="20" s="1"/>
  <c r="D7" i="9"/>
  <c r="AE25" i="20" s="1"/>
  <c r="F7" i="9"/>
  <c r="AG25" i="20" s="1"/>
  <c r="H7" i="9"/>
  <c r="AO25" i="20" s="1"/>
  <c r="J7" i="9"/>
  <c r="AQ25" i="20" s="1"/>
  <c r="D8" i="9"/>
  <c r="AX25" i="20" s="1"/>
  <c r="F8" i="9"/>
  <c r="AZ25" i="20" s="1"/>
  <c r="H8" i="9"/>
  <c r="BH25" i="20" s="1"/>
  <c r="J8" i="9"/>
  <c r="BJ25" i="20" s="1"/>
  <c r="L8" i="9"/>
  <c r="BL25" i="20" s="1"/>
  <c r="D9" i="9"/>
  <c r="BQ25" i="20" s="1"/>
  <c r="F9" i="9"/>
  <c r="BS25" i="20" s="1"/>
  <c r="H9" i="9"/>
  <c r="CA25" i="20" s="1"/>
  <c r="J9" i="9"/>
  <c r="CC25" i="20" s="1"/>
  <c r="L9" i="9"/>
  <c r="CE25" i="20" s="1"/>
  <c r="D10" i="9"/>
  <c r="CJ25" i="20" s="1"/>
  <c r="F10" i="9"/>
  <c r="CL25" i="20" s="1"/>
  <c r="H10" i="9"/>
  <c r="CT25" i="20" s="1"/>
  <c r="J10" i="9"/>
  <c r="CV25" i="20" s="1"/>
  <c r="L10" i="9"/>
  <c r="CX25" i="20" s="1"/>
  <c r="D11" i="9"/>
  <c r="DC25" i="20" s="1"/>
  <c r="F11" i="9"/>
  <c r="DE25" i="20" s="1"/>
  <c r="H11" i="9"/>
  <c r="DM25" i="20" s="1"/>
  <c r="J11" i="9"/>
  <c r="DO25" i="20" s="1"/>
  <c r="D15" i="9"/>
  <c r="FH25" i="20" s="1"/>
  <c r="F15" i="9"/>
  <c r="FJ25" i="20" s="1"/>
  <c r="H15" i="9"/>
  <c r="FR25" i="20" s="1"/>
  <c r="J15" i="9"/>
  <c r="FT25" i="20" s="1"/>
  <c r="L15" i="9"/>
  <c r="FV25" i="20" s="1"/>
  <c r="D16" i="9"/>
  <c r="GA25" i="20" s="1"/>
  <c r="F16" i="9"/>
  <c r="GC25" i="20" s="1"/>
  <c r="H16" i="9"/>
  <c r="GK25" i="20" s="1"/>
  <c r="J16" i="9"/>
  <c r="GM25" i="20" s="1"/>
  <c r="L16" i="9"/>
  <c r="GO25" i="20" s="1"/>
  <c r="D17" i="9"/>
  <c r="GT25" i="20" s="1"/>
  <c r="F17" i="9"/>
  <c r="GV25" i="20" s="1"/>
  <c r="H17" i="9"/>
  <c r="HD25" i="20" s="1"/>
  <c r="J17" i="9"/>
  <c r="HF25" i="20" s="1"/>
  <c r="L17" i="9"/>
  <c r="HH25" i="20" s="1"/>
  <c r="D18" i="9"/>
  <c r="C26" i="20" s="1"/>
  <c r="F18" i="9"/>
  <c r="E26" i="20" s="1"/>
  <c r="H18" i="9"/>
  <c r="M26" i="20" s="1"/>
  <c r="J18" i="9"/>
  <c r="O26" i="20" s="1"/>
  <c r="D21" i="9"/>
  <c r="AO26" i="20" s="1"/>
  <c r="F21" i="9"/>
  <c r="AQ26" i="20" s="1"/>
  <c r="H21" i="9"/>
  <c r="AY26" i="20" s="1"/>
  <c r="J21" i="9"/>
  <c r="BA26" i="20" s="1"/>
  <c r="L21" i="9"/>
  <c r="BC26" i="20" s="1"/>
  <c r="D22" i="9"/>
  <c r="BH26" i="20" s="1"/>
  <c r="F22" i="9"/>
  <c r="BJ26" i="20" s="1"/>
  <c r="H22" i="9"/>
  <c r="BR26" i="20" s="1"/>
  <c r="J22" i="9"/>
  <c r="BT26" i="20" s="1"/>
  <c r="L22" i="9"/>
  <c r="BV26" i="20" s="1"/>
  <c r="F23" i="9"/>
  <c r="CC26" i="20" s="1"/>
  <c r="J23" i="9"/>
  <c r="CM26" i="20" s="1"/>
  <c r="D26" i="9"/>
  <c r="DM26" i="20" s="1"/>
  <c r="F26" i="9"/>
  <c r="DO26" i="20" s="1"/>
  <c r="H26" i="9"/>
  <c r="DW26" i="20" s="1"/>
  <c r="J26" i="9"/>
  <c r="DY26" i="20" s="1"/>
  <c r="D28" i="9"/>
  <c r="EY26" i="20" s="1"/>
  <c r="F28" i="9"/>
  <c r="FA26" i="20" s="1"/>
  <c r="H28" i="9"/>
  <c r="FI26" i="20" s="1"/>
  <c r="J28" i="9"/>
  <c r="FK26" i="20" s="1"/>
  <c r="L28" i="9"/>
  <c r="FM26" i="20" s="1"/>
  <c r="D29" i="9"/>
  <c r="FR26" i="20" s="1"/>
  <c r="F29" i="9"/>
  <c r="FT26" i="20" s="1"/>
  <c r="H29" i="9"/>
  <c r="GB26" i="20" s="1"/>
  <c r="J29" i="9"/>
  <c r="GD26" i="20" s="1"/>
  <c r="L29" i="9"/>
  <c r="GF26" i="20" s="1"/>
  <c r="D30" i="9"/>
  <c r="GK26" i="20" s="1"/>
  <c r="F30" i="9"/>
  <c r="GM26" i="20" s="1"/>
  <c r="H30" i="9"/>
  <c r="GU26" i="20" s="1"/>
  <c r="J30" i="9"/>
  <c r="GW26" i="20" s="1"/>
  <c r="D31" i="9"/>
  <c r="HW26" i="20" s="1"/>
  <c r="F31" i="9"/>
  <c r="HY26" i="20" s="1"/>
  <c r="H31" i="9"/>
  <c r="IG26" i="20" s="1"/>
  <c r="J31" i="9"/>
  <c r="II26" i="20" s="1"/>
  <c r="L31" i="9"/>
  <c r="IK26" i="20" s="1"/>
  <c r="D35" i="9"/>
  <c r="AF27" i="20" s="1"/>
  <c r="F35" i="9"/>
  <c r="AH27" i="20" s="1"/>
  <c r="H35" i="9"/>
  <c r="AP27" i="20" s="1"/>
  <c r="J35" i="9"/>
  <c r="AR27" i="20" s="1"/>
  <c r="D36" i="9"/>
  <c r="AY27" i="20" s="1"/>
  <c r="F36" i="9"/>
  <c r="BA27" i="20" s="1"/>
  <c r="H36" i="9"/>
  <c r="BI27" i="20" s="1"/>
  <c r="J36" i="9"/>
  <c r="BK27" i="20" s="1"/>
  <c r="L36" i="9"/>
  <c r="BM27" i="20" s="1"/>
  <c r="D37" i="9"/>
  <c r="BR27" i="20" s="1"/>
  <c r="F37" i="9"/>
  <c r="BT27" i="20" s="1"/>
  <c r="H37" i="9"/>
  <c r="CB27" i="20" s="1"/>
  <c r="J37" i="9"/>
  <c r="CD27" i="20" s="1"/>
  <c r="D38" i="9"/>
  <c r="CK27" i="20" s="1"/>
  <c r="F38" i="9"/>
  <c r="CM27" i="20" s="1"/>
  <c r="H38" i="9"/>
  <c r="CU27" i="20" s="1"/>
  <c r="J38" i="9"/>
  <c r="CW27" i="20" s="1"/>
  <c r="L38" i="9"/>
  <c r="CY27" i="20" s="1"/>
  <c r="L39" i="9"/>
  <c r="D40" i="9"/>
  <c r="DD27" i="20" s="1"/>
  <c r="F40" i="9"/>
  <c r="DF27" i="20" s="1"/>
  <c r="H40" i="9"/>
  <c r="DN27" i="20" s="1"/>
  <c r="J40" i="9"/>
  <c r="DP27" i="20" s="1"/>
  <c r="C13" i="8"/>
  <c r="EZ23" i="20" s="1"/>
  <c r="C25" i="8"/>
  <c r="C33" i="8"/>
  <c r="EQ24" i="20" s="1"/>
  <c r="I13" i="8"/>
  <c r="FF23" i="20" s="1"/>
  <c r="I25" i="8"/>
  <c r="I33" i="8"/>
  <c r="E13" i="8"/>
  <c r="E25" i="8"/>
  <c r="BF24" i="20" s="1"/>
  <c r="E33" i="8"/>
  <c r="ES24" i="20" s="1"/>
  <c r="G13" i="8"/>
  <c r="FD23" i="20" s="1"/>
  <c r="G25" i="8"/>
  <c r="G33" i="8"/>
  <c r="EU24" i="20" s="1"/>
  <c r="K13" i="8"/>
  <c r="K25" i="8"/>
  <c r="D6" i="8"/>
  <c r="BA23" i="20" s="1"/>
  <c r="F6" i="8"/>
  <c r="BC23" i="20" s="1"/>
  <c r="H6" i="8"/>
  <c r="BE23" i="20" s="1"/>
  <c r="J6" i="8"/>
  <c r="BG23" i="20" s="1"/>
  <c r="D7" i="8"/>
  <c r="BN23" i="20" s="1"/>
  <c r="F7" i="8"/>
  <c r="BP23" i="20" s="1"/>
  <c r="H7" i="8"/>
  <c r="BR23" i="20" s="1"/>
  <c r="J7" i="8"/>
  <c r="BT23" i="20" s="1"/>
  <c r="D8" i="8"/>
  <c r="CA23" i="20" s="1"/>
  <c r="F8" i="8"/>
  <c r="CC23" i="20" s="1"/>
  <c r="H8" i="8"/>
  <c r="CE23" i="20" s="1"/>
  <c r="J8" i="8"/>
  <c r="CG23" i="20" s="1"/>
  <c r="L8" i="8"/>
  <c r="CI23" i="20" s="1"/>
  <c r="D9" i="8"/>
  <c r="CN23" i="20" s="1"/>
  <c r="F9" i="8"/>
  <c r="CP23" i="20" s="1"/>
  <c r="H9" i="8"/>
  <c r="CR23" i="20" s="1"/>
  <c r="J9" i="8"/>
  <c r="CT23" i="20" s="1"/>
  <c r="L9" i="8"/>
  <c r="CV23" i="20" s="1"/>
  <c r="D10" i="8"/>
  <c r="DA23" i="20" s="1"/>
  <c r="F10" i="8"/>
  <c r="DC23" i="20" s="1"/>
  <c r="H10" i="8"/>
  <c r="DE23" i="20" s="1"/>
  <c r="J10" i="8"/>
  <c r="DG23" i="20" s="1"/>
  <c r="L10" i="8"/>
  <c r="DI23" i="20" s="1"/>
  <c r="D11" i="8"/>
  <c r="DN23" i="20" s="1"/>
  <c r="F11" i="8"/>
  <c r="DP23" i="20" s="1"/>
  <c r="H11" i="8"/>
  <c r="DR23" i="20" s="1"/>
  <c r="J11" i="8"/>
  <c r="DT23" i="20" s="1"/>
  <c r="L11" i="8"/>
  <c r="DV23" i="20" s="1"/>
  <c r="D12" i="8"/>
  <c r="EA23" i="20" s="1"/>
  <c r="F12" i="8"/>
  <c r="EC23" i="20" s="1"/>
  <c r="H12" i="8"/>
  <c r="EE23" i="20" s="1"/>
  <c r="J12" i="8"/>
  <c r="EG23" i="20" s="1"/>
  <c r="L12" i="8"/>
  <c r="EI23" i="20" s="1"/>
  <c r="H13" i="8"/>
  <c r="FE23" i="20" s="1"/>
  <c r="D16" i="8"/>
  <c r="GA23" i="20" s="1"/>
  <c r="F16" i="8"/>
  <c r="GC23" i="20" s="1"/>
  <c r="H16" i="8"/>
  <c r="GE23" i="20" s="1"/>
  <c r="J16" i="8"/>
  <c r="GG23" i="20" s="1"/>
  <c r="L16" i="8"/>
  <c r="GI23" i="20" s="1"/>
  <c r="D17" i="8"/>
  <c r="GN23" i="20" s="1"/>
  <c r="F17" i="8"/>
  <c r="GP23" i="20" s="1"/>
  <c r="H17" i="8"/>
  <c r="GR23" i="20" s="1"/>
  <c r="J17" i="8"/>
  <c r="GT23" i="20" s="1"/>
  <c r="D18" i="8"/>
  <c r="HA23" i="20" s="1"/>
  <c r="F18" i="8"/>
  <c r="HC23" i="20" s="1"/>
  <c r="H18" i="8"/>
  <c r="HE23" i="20" s="1"/>
  <c r="J18" i="8"/>
  <c r="HG23" i="20" s="1"/>
  <c r="L18" i="8"/>
  <c r="HI23" i="20" s="1"/>
  <c r="D19" i="8"/>
  <c r="HN23" i="20" s="1"/>
  <c r="F19" i="8"/>
  <c r="HP23" i="20" s="1"/>
  <c r="H19" i="8"/>
  <c r="HR23" i="20" s="1"/>
  <c r="J19" i="8"/>
  <c r="HT23" i="20" s="1"/>
  <c r="L19" i="8"/>
  <c r="HV23" i="20" s="1"/>
  <c r="D20" i="8"/>
  <c r="IA23" i="20" s="1"/>
  <c r="F20" i="8"/>
  <c r="IC23" i="20" s="1"/>
  <c r="H20" i="8"/>
  <c r="IE23" i="20" s="1"/>
  <c r="J20" i="8"/>
  <c r="IG23" i="20" s="1"/>
  <c r="L20" i="8"/>
  <c r="II23" i="20" s="1"/>
  <c r="D21" i="8"/>
  <c r="IN23" i="20" s="1"/>
  <c r="F21" i="8"/>
  <c r="IP23" i="20" s="1"/>
  <c r="H21" i="8"/>
  <c r="IR23" i="20" s="1"/>
  <c r="J21" i="8"/>
  <c r="IT23" i="20" s="1"/>
  <c r="L21" i="8"/>
  <c r="IV23" i="20" s="1"/>
  <c r="D22" i="8"/>
  <c r="E24" i="20" s="1"/>
  <c r="F22" i="8"/>
  <c r="G24" i="20" s="1"/>
  <c r="H22" i="8"/>
  <c r="I24" i="20" s="1"/>
  <c r="J22" i="8"/>
  <c r="K24" i="20" s="1"/>
  <c r="L22" i="8"/>
  <c r="M24" i="20" s="1"/>
  <c r="D23" i="8"/>
  <c r="R24" i="20" s="1"/>
  <c r="F23" i="8"/>
  <c r="T24" i="20" s="1"/>
  <c r="H23" i="8"/>
  <c r="V24" i="20" s="1"/>
  <c r="J23" i="8"/>
  <c r="X24" i="20" s="1"/>
  <c r="L23" i="8"/>
  <c r="Z24" i="20" s="1"/>
  <c r="D25" i="8"/>
  <c r="BE24" i="20" s="1"/>
  <c r="F25" i="8"/>
  <c r="BG24" i="20" s="1"/>
  <c r="D28" i="8"/>
  <c r="CE24" i="20" s="1"/>
  <c r="F28" i="8"/>
  <c r="CG24" i="20" s="1"/>
  <c r="H28" i="8"/>
  <c r="CI24" i="20" s="1"/>
  <c r="J28" i="8"/>
  <c r="CK24" i="20" s="1"/>
  <c r="L28" i="8"/>
  <c r="CM24" i="20" s="1"/>
  <c r="D29" i="8"/>
  <c r="CR24" i="20" s="1"/>
  <c r="F29" i="8"/>
  <c r="CT24" i="20" s="1"/>
  <c r="H29" i="8"/>
  <c r="CV24" i="20" s="1"/>
  <c r="J29" i="8"/>
  <c r="CX24" i="20" s="1"/>
  <c r="L29" i="8"/>
  <c r="CZ24" i="20" s="1"/>
  <c r="D30" i="8"/>
  <c r="DE24" i="20" s="1"/>
  <c r="F30" i="8"/>
  <c r="DG24" i="20" s="1"/>
  <c r="H30" i="8"/>
  <c r="DI24" i="20" s="1"/>
  <c r="J30" i="8"/>
  <c r="DK24" i="20" s="1"/>
  <c r="L30" i="8"/>
  <c r="DM24" i="20" s="1"/>
  <c r="D31" i="8"/>
  <c r="DR24" i="20" s="1"/>
  <c r="F31" i="8"/>
  <c r="DT24" i="20" s="1"/>
  <c r="H31" i="8"/>
  <c r="DV24" i="20" s="1"/>
  <c r="J31" i="8"/>
  <c r="DX24" i="20" s="1"/>
  <c r="L31" i="8"/>
  <c r="DZ24" i="20" s="1"/>
  <c r="D32" i="8"/>
  <c r="EE24" i="20" s="1"/>
  <c r="F32" i="8"/>
  <c r="EG24" i="20" s="1"/>
  <c r="H32" i="8"/>
  <c r="EI24" i="20" s="1"/>
  <c r="J32" i="8"/>
  <c r="EK24" i="20" s="1"/>
  <c r="L32" i="8"/>
  <c r="EM24" i="20" s="1"/>
  <c r="M16" i="7"/>
  <c r="M23" i="7"/>
  <c r="FD20" i="20" s="1"/>
  <c r="M43" i="7"/>
  <c r="M50" i="7"/>
  <c r="CL22" i="20" s="1"/>
  <c r="D6" i="7"/>
  <c r="AV19" i="20" s="1"/>
  <c r="F6" i="7"/>
  <c r="AX19" i="20" s="1"/>
  <c r="H6" i="7"/>
  <c r="AZ19" i="20" s="1"/>
  <c r="J6" i="7"/>
  <c r="BD19" i="20" s="1"/>
  <c r="L6" i="7"/>
  <c r="BF19" i="20" s="1"/>
  <c r="N6" i="7"/>
  <c r="BH19" i="20" s="1"/>
  <c r="D7" i="7"/>
  <c r="BM19" i="20" s="1"/>
  <c r="F7" i="7"/>
  <c r="BO19" i="20" s="1"/>
  <c r="H7" i="7"/>
  <c r="BQ19" i="20" s="1"/>
  <c r="J7" i="7"/>
  <c r="BU19" i="20" s="1"/>
  <c r="L7" i="7"/>
  <c r="BW19" i="20" s="1"/>
  <c r="D8" i="7"/>
  <c r="CD19" i="20" s="1"/>
  <c r="F8" i="7"/>
  <c r="CF19" i="20" s="1"/>
  <c r="H8" i="7"/>
  <c r="CH19" i="20" s="1"/>
  <c r="J8" i="7"/>
  <c r="CL19" i="20" s="1"/>
  <c r="L8" i="7"/>
  <c r="CN19" i="20" s="1"/>
  <c r="N8" i="7"/>
  <c r="CP19" i="20" s="1"/>
  <c r="K9" i="7"/>
  <c r="DU19" i="20" s="1"/>
  <c r="D12" i="7"/>
  <c r="GB19" i="20" s="1"/>
  <c r="F12" i="7"/>
  <c r="GD19" i="20" s="1"/>
  <c r="H12" i="7"/>
  <c r="GF19" i="20" s="1"/>
  <c r="J12" i="7"/>
  <c r="GJ19" i="20" s="1"/>
  <c r="L12" i="7"/>
  <c r="GL19" i="20" s="1"/>
  <c r="N12" i="7"/>
  <c r="GN19" i="20" s="1"/>
  <c r="D13" i="7"/>
  <c r="GS19" i="20" s="1"/>
  <c r="F13" i="7"/>
  <c r="GU19" i="20" s="1"/>
  <c r="H13" i="7"/>
  <c r="GW19" i="20" s="1"/>
  <c r="J13" i="7"/>
  <c r="HA19" i="20" s="1"/>
  <c r="L13" i="7"/>
  <c r="HC19" i="20" s="1"/>
  <c r="N13" i="7"/>
  <c r="HE19" i="20" s="1"/>
  <c r="D14" i="7"/>
  <c r="HJ19" i="20" s="1"/>
  <c r="F14" i="7"/>
  <c r="HL19" i="20" s="1"/>
  <c r="H14" i="7"/>
  <c r="HN19" i="20" s="1"/>
  <c r="J14" i="7"/>
  <c r="HR19" i="20" s="1"/>
  <c r="L14" i="7"/>
  <c r="HT19" i="20" s="1"/>
  <c r="D15" i="7"/>
  <c r="IA19" i="20" s="1"/>
  <c r="F15" i="7"/>
  <c r="IC19" i="20" s="1"/>
  <c r="H15" i="7"/>
  <c r="IE19" i="20" s="1"/>
  <c r="J15" i="7"/>
  <c r="II19" i="20" s="1"/>
  <c r="L15" i="7"/>
  <c r="IK19" i="20" s="1"/>
  <c r="N15" i="7"/>
  <c r="IM19" i="20" s="1"/>
  <c r="K16" i="7"/>
  <c r="D19" i="7"/>
  <c r="CT20" i="20" s="1"/>
  <c r="F19" i="7"/>
  <c r="CV20" i="20" s="1"/>
  <c r="H19" i="7"/>
  <c r="CX20" i="20" s="1"/>
  <c r="J19" i="7"/>
  <c r="DB20" i="20" s="1"/>
  <c r="L19" i="7"/>
  <c r="DD20" i="20" s="1"/>
  <c r="N19" i="7"/>
  <c r="DF20" i="20" s="1"/>
  <c r="D20" i="7"/>
  <c r="DK20" i="20" s="1"/>
  <c r="F20" i="7"/>
  <c r="DM20" i="20" s="1"/>
  <c r="H20" i="7"/>
  <c r="DO20" i="20" s="1"/>
  <c r="J20" i="7"/>
  <c r="DS20" i="20" s="1"/>
  <c r="L20" i="7"/>
  <c r="DU20" i="20" s="1"/>
  <c r="N20" i="7"/>
  <c r="DW20" i="20" s="1"/>
  <c r="D21" i="7"/>
  <c r="EB20" i="20" s="1"/>
  <c r="F21" i="7"/>
  <c r="ED20" i="20" s="1"/>
  <c r="H21" i="7"/>
  <c r="EF20" i="20" s="1"/>
  <c r="J21" i="7"/>
  <c r="EJ20" i="20" s="1"/>
  <c r="L21" i="7"/>
  <c r="EL20" i="20" s="1"/>
  <c r="N21" i="7"/>
  <c r="EN20" i="20" s="1"/>
  <c r="K23" i="7"/>
  <c r="FB20" i="20" s="1"/>
  <c r="N23" i="7"/>
  <c r="FE20" i="20" s="1"/>
  <c r="D26" i="7"/>
  <c r="GA20" i="20" s="1"/>
  <c r="F26" i="7"/>
  <c r="GC20" i="20" s="1"/>
  <c r="H26" i="7"/>
  <c r="GE20" i="20" s="1"/>
  <c r="J26" i="7"/>
  <c r="GI20" i="20" s="1"/>
  <c r="L26" i="7"/>
  <c r="GK20" i="20" s="1"/>
  <c r="D27" i="7"/>
  <c r="F27" i="7"/>
  <c r="H27" i="7"/>
  <c r="J27" i="7"/>
  <c r="L27" i="7"/>
  <c r="N27" i="7"/>
  <c r="D28" i="7"/>
  <c r="F28" i="7"/>
  <c r="H28" i="7"/>
  <c r="J28" i="7"/>
  <c r="L28" i="7"/>
  <c r="N28" i="7"/>
  <c r="D29" i="7"/>
  <c r="F29" i="7"/>
  <c r="H29" i="7"/>
  <c r="J29" i="7"/>
  <c r="L29" i="7"/>
  <c r="N29" i="7"/>
  <c r="D30" i="7"/>
  <c r="GR20" i="20" s="1"/>
  <c r="F30" i="7"/>
  <c r="GT20" i="20" s="1"/>
  <c r="H30" i="7"/>
  <c r="GV20" i="20" s="1"/>
  <c r="J30" i="7"/>
  <c r="GZ20" i="20" s="1"/>
  <c r="L30" i="7"/>
  <c r="HB20" i="20" s="1"/>
  <c r="N30" i="7"/>
  <c r="HD20" i="20" s="1"/>
  <c r="F31" i="7"/>
  <c r="HK20" i="20" s="1"/>
  <c r="H31" i="7"/>
  <c r="HM20" i="20" s="1"/>
  <c r="D34" i="7"/>
  <c r="IQ20" i="20" s="1"/>
  <c r="F34" i="7"/>
  <c r="IS20" i="20" s="1"/>
  <c r="H34" i="7"/>
  <c r="IU20" i="20" s="1"/>
  <c r="J34" i="7"/>
  <c r="C21" i="20" s="1"/>
  <c r="L34" i="7"/>
  <c r="E21" i="20" s="1"/>
  <c r="N34" i="7"/>
  <c r="G21" i="20" s="1"/>
  <c r="D35" i="7"/>
  <c r="L21" i="20" s="1"/>
  <c r="F35" i="7"/>
  <c r="N21" i="20" s="1"/>
  <c r="J35" i="7"/>
  <c r="T21" i="20" s="1"/>
  <c r="L35" i="7"/>
  <c r="V21" i="20" s="1"/>
  <c r="N35" i="7"/>
  <c r="X21" i="20" s="1"/>
  <c r="D36" i="7"/>
  <c r="AC21" i="20" s="1"/>
  <c r="F36" i="7"/>
  <c r="AE21" i="20" s="1"/>
  <c r="H36" i="7"/>
  <c r="AG21" i="20" s="1"/>
  <c r="J36" i="7"/>
  <c r="AK21" i="20" s="1"/>
  <c r="L36" i="7"/>
  <c r="AM21" i="20" s="1"/>
  <c r="N36" i="7"/>
  <c r="AO21" i="20" s="1"/>
  <c r="D37" i="7"/>
  <c r="AT21" i="20" s="1"/>
  <c r="F37" i="7"/>
  <c r="AV21" i="20" s="1"/>
  <c r="H37" i="7"/>
  <c r="AX21" i="20" s="1"/>
  <c r="J37" i="7"/>
  <c r="BB21" i="20" s="1"/>
  <c r="L37" i="7"/>
  <c r="BD21" i="20" s="1"/>
  <c r="N37" i="7"/>
  <c r="BF21" i="20" s="1"/>
  <c r="D40" i="7"/>
  <c r="ER21" i="20" s="1"/>
  <c r="F40" i="7"/>
  <c r="ET21" i="20" s="1"/>
  <c r="H40" i="7"/>
  <c r="EV21" i="20" s="1"/>
  <c r="J40" i="7"/>
  <c r="EZ21" i="20" s="1"/>
  <c r="L40" i="7"/>
  <c r="FB21" i="20" s="1"/>
  <c r="N40" i="7"/>
  <c r="FD21" i="20" s="1"/>
  <c r="D41" i="7"/>
  <c r="FI21" i="20" s="1"/>
  <c r="F41" i="7"/>
  <c r="FK21" i="20" s="1"/>
  <c r="H41" i="7"/>
  <c r="FM21" i="20" s="1"/>
  <c r="J41" i="7"/>
  <c r="FQ21" i="20" s="1"/>
  <c r="L41" i="7"/>
  <c r="FS21" i="20" s="1"/>
  <c r="N41" i="7"/>
  <c r="FU21" i="20" s="1"/>
  <c r="D42" i="7"/>
  <c r="FZ21" i="20" s="1"/>
  <c r="F42" i="7"/>
  <c r="GB21" i="20" s="1"/>
  <c r="H42" i="7"/>
  <c r="GD21" i="20" s="1"/>
  <c r="J42" i="7"/>
  <c r="GH21" i="20" s="1"/>
  <c r="L42" i="7"/>
  <c r="GJ21" i="20" s="1"/>
  <c r="N42" i="7"/>
  <c r="GL21" i="20" s="1"/>
  <c r="D46" i="7"/>
  <c r="AB22" i="20" s="1"/>
  <c r="F46" i="7"/>
  <c r="AD22" i="20" s="1"/>
  <c r="H46" i="7"/>
  <c r="AF22" i="20" s="1"/>
  <c r="J46" i="7"/>
  <c r="AJ22" i="20" s="1"/>
  <c r="L46" i="7"/>
  <c r="AL22" i="20" s="1"/>
  <c r="N46" i="7"/>
  <c r="AN22" i="20" s="1"/>
  <c r="D47" i="7"/>
  <c r="AS22" i="20" s="1"/>
  <c r="F47" i="7"/>
  <c r="AU22" i="20" s="1"/>
  <c r="H47" i="7"/>
  <c r="AW22" i="20" s="1"/>
  <c r="J47" i="7"/>
  <c r="BA22" i="20" s="1"/>
  <c r="L47" i="7"/>
  <c r="BC22" i="20" s="1"/>
  <c r="N47" i="7"/>
  <c r="BE22" i="20" s="1"/>
  <c r="D48" i="7"/>
  <c r="F48" i="7"/>
  <c r="H48" i="7"/>
  <c r="J48" i="7"/>
  <c r="L48" i="7"/>
  <c r="D49" i="7"/>
  <c r="F49" i="7"/>
  <c r="H49" i="7"/>
  <c r="J49" i="7"/>
  <c r="L49" i="7"/>
  <c r="N50" i="7"/>
  <c r="CM22" i="20" s="1"/>
  <c r="H51" i="7"/>
  <c r="IB22" i="20" s="1"/>
  <c r="E9" i="6"/>
  <c r="BV16" i="20" s="1"/>
  <c r="E21" i="6"/>
  <c r="E26" i="6"/>
  <c r="AM17" i="20" s="1"/>
  <c r="E39" i="6"/>
  <c r="E45" i="6"/>
  <c r="HZ17" i="20" s="1"/>
  <c r="E50" i="6"/>
  <c r="E56" i="6"/>
  <c r="G56" i="6"/>
  <c r="G9" i="6"/>
  <c r="G21" i="6"/>
  <c r="IK16" i="20" s="1"/>
  <c r="G39" i="6"/>
  <c r="FO17" i="20" s="1"/>
  <c r="G45" i="6"/>
  <c r="IB17" i="20" s="1"/>
  <c r="G50" i="6"/>
  <c r="K21" i="6"/>
  <c r="K26" i="6"/>
  <c r="K45" i="6"/>
  <c r="K50" i="6"/>
  <c r="CJ18" i="20" s="1"/>
  <c r="K56" i="6"/>
  <c r="HJ18" i="20" s="1"/>
  <c r="D6" i="6"/>
  <c r="AH16" i="20" s="1"/>
  <c r="F6" i="6"/>
  <c r="AJ16" i="20" s="1"/>
  <c r="H6" i="6"/>
  <c r="AL16" i="20" s="1"/>
  <c r="J6" i="6"/>
  <c r="AN16" i="20" s="1"/>
  <c r="L6" i="6"/>
  <c r="AP16" i="20" s="1"/>
  <c r="D7" i="6"/>
  <c r="AU16" i="20" s="1"/>
  <c r="F7" i="6"/>
  <c r="AW16" i="20" s="1"/>
  <c r="H7" i="6"/>
  <c r="AY16" i="20" s="1"/>
  <c r="J7" i="6"/>
  <c r="BA16" i="20" s="1"/>
  <c r="L7" i="6"/>
  <c r="BC16" i="20" s="1"/>
  <c r="D8" i="6"/>
  <c r="BH16" i="20" s="1"/>
  <c r="F8" i="6"/>
  <c r="BJ16" i="20" s="1"/>
  <c r="H8" i="6"/>
  <c r="BL16" i="20" s="1"/>
  <c r="J8" i="6"/>
  <c r="BN16" i="20" s="1"/>
  <c r="D9" i="6"/>
  <c r="BU16" i="20" s="1"/>
  <c r="J9" i="6"/>
  <c r="CA16" i="20" s="1"/>
  <c r="D12" i="6"/>
  <c r="CU16" i="20" s="1"/>
  <c r="F12" i="6"/>
  <c r="CW16" i="20" s="1"/>
  <c r="H12" i="6"/>
  <c r="CY16" i="20" s="1"/>
  <c r="J12" i="6"/>
  <c r="DA16" i="20" s="1"/>
  <c r="L12" i="6"/>
  <c r="DC16" i="20" s="1"/>
  <c r="D13" i="6"/>
  <c r="DH16" i="20" s="1"/>
  <c r="F13" i="6"/>
  <c r="DJ16" i="20" s="1"/>
  <c r="H13" i="6"/>
  <c r="DL16" i="20" s="1"/>
  <c r="J13" i="6"/>
  <c r="DN16" i="20" s="1"/>
  <c r="L13" i="6"/>
  <c r="DP16" i="20" s="1"/>
  <c r="D14" i="6"/>
  <c r="DU16" i="20" s="1"/>
  <c r="F14" i="6"/>
  <c r="DW16" i="20" s="1"/>
  <c r="H14" i="6"/>
  <c r="DY16" i="20" s="1"/>
  <c r="J14" i="6"/>
  <c r="EA16" i="20" s="1"/>
  <c r="L14" i="6"/>
  <c r="EC16" i="20" s="1"/>
  <c r="D15" i="6"/>
  <c r="EH16" i="20" s="1"/>
  <c r="F15" i="6"/>
  <c r="EJ16" i="20" s="1"/>
  <c r="H15" i="6"/>
  <c r="EL16" i="20" s="1"/>
  <c r="J15" i="6"/>
  <c r="EN16" i="20" s="1"/>
  <c r="L15" i="6"/>
  <c r="EP16" i="20" s="1"/>
  <c r="D16" i="6"/>
  <c r="EU16" i="20" s="1"/>
  <c r="F16" i="6"/>
  <c r="EW16" i="20" s="1"/>
  <c r="H16" i="6"/>
  <c r="EY16" i="20" s="1"/>
  <c r="J16" i="6"/>
  <c r="FA16" i="20" s="1"/>
  <c r="L16" i="6"/>
  <c r="FC16" i="20" s="1"/>
  <c r="D17" i="6"/>
  <c r="FH16" i="20" s="1"/>
  <c r="F17" i="6"/>
  <c r="FJ16" i="20" s="1"/>
  <c r="H17" i="6"/>
  <c r="FL16" i="20" s="1"/>
  <c r="J17" i="6"/>
  <c r="FN16" i="20" s="1"/>
  <c r="L17" i="6"/>
  <c r="FP16" i="20" s="1"/>
  <c r="D19" i="6"/>
  <c r="GH16" i="20" s="1"/>
  <c r="F19" i="6"/>
  <c r="GJ16" i="20" s="1"/>
  <c r="H19" i="6"/>
  <c r="GL16" i="20" s="1"/>
  <c r="J19" i="6"/>
  <c r="GN16" i="20" s="1"/>
  <c r="L19" i="6"/>
  <c r="GP16" i="20" s="1"/>
  <c r="D20" i="6"/>
  <c r="GU16" i="20" s="1"/>
  <c r="F20" i="6"/>
  <c r="GW16" i="20" s="1"/>
  <c r="H20" i="6"/>
  <c r="GY16" i="20" s="1"/>
  <c r="J20" i="6"/>
  <c r="HA16" i="20" s="1"/>
  <c r="L20" i="6"/>
  <c r="HC16" i="20" s="1"/>
  <c r="D21" i="6"/>
  <c r="IH16" i="20" s="1"/>
  <c r="H21" i="6"/>
  <c r="IL16" i="20" s="1"/>
  <c r="J21" i="6"/>
  <c r="IN16" i="20" s="1"/>
  <c r="D24" i="6"/>
  <c r="L17" i="20" s="1"/>
  <c r="F24" i="6"/>
  <c r="N17" i="20" s="1"/>
  <c r="J24" i="6"/>
  <c r="R17" i="20" s="1"/>
  <c r="L24" i="6"/>
  <c r="T17" i="20" s="1"/>
  <c r="D25" i="6"/>
  <c r="Y17" i="20" s="1"/>
  <c r="F25" i="6"/>
  <c r="AA17" i="20" s="1"/>
  <c r="H25" i="6"/>
  <c r="AC17" i="20" s="1"/>
  <c r="J25" i="6"/>
  <c r="AE17" i="20" s="1"/>
  <c r="L25" i="6"/>
  <c r="AG17" i="20" s="1"/>
  <c r="D29" i="6"/>
  <c r="BY17" i="20" s="1"/>
  <c r="F29" i="6"/>
  <c r="CA17" i="20" s="1"/>
  <c r="H29" i="6"/>
  <c r="CC17" i="20" s="1"/>
  <c r="J29" i="6"/>
  <c r="CE17" i="20" s="1"/>
  <c r="L29" i="6"/>
  <c r="CG17" i="20" s="1"/>
  <c r="D30" i="6"/>
  <c r="CL17" i="20" s="1"/>
  <c r="F30" i="6"/>
  <c r="CN17" i="20" s="1"/>
  <c r="H30" i="6"/>
  <c r="CP17" i="20" s="1"/>
  <c r="J30" i="6"/>
  <c r="CR17" i="20" s="1"/>
  <c r="L30" i="6"/>
  <c r="CT17" i="20" s="1"/>
  <c r="D31" i="6"/>
  <c r="CY17" i="20" s="1"/>
  <c r="F31" i="6"/>
  <c r="DA17" i="20" s="1"/>
  <c r="H31" i="6"/>
  <c r="DC17" i="20" s="1"/>
  <c r="J31" i="6"/>
  <c r="DE17" i="20" s="1"/>
  <c r="D32" i="6"/>
  <c r="DL17" i="20" s="1"/>
  <c r="F32" i="6"/>
  <c r="DN17" i="20" s="1"/>
  <c r="H32" i="6"/>
  <c r="DP17" i="20" s="1"/>
  <c r="J32" i="6"/>
  <c r="DR17" i="20" s="1"/>
  <c r="L32" i="6"/>
  <c r="DT17" i="20" s="1"/>
  <c r="D33" i="6"/>
  <c r="DY17" i="20" s="1"/>
  <c r="F33" i="6"/>
  <c r="EA17" i="20" s="1"/>
  <c r="H33" i="6"/>
  <c r="EC17" i="20" s="1"/>
  <c r="J33" i="6"/>
  <c r="EE17" i="20" s="1"/>
  <c r="D34" i="6"/>
  <c r="EL17" i="20" s="1"/>
  <c r="F34" i="6"/>
  <c r="EN17" i="20" s="1"/>
  <c r="H34" i="6"/>
  <c r="EP17" i="20" s="1"/>
  <c r="J34" i="6"/>
  <c r="ER17" i="20" s="1"/>
  <c r="L34" i="6"/>
  <c r="ET17" i="20" s="1"/>
  <c r="D35" i="6"/>
  <c r="EY17" i="20" s="1"/>
  <c r="F35" i="6"/>
  <c r="FA17" i="20" s="1"/>
  <c r="H35" i="6"/>
  <c r="FC17" i="20" s="1"/>
  <c r="J35" i="6"/>
  <c r="FE17" i="20" s="1"/>
  <c r="D36" i="6"/>
  <c r="F36" i="6"/>
  <c r="H36" i="6"/>
  <c r="J36" i="6"/>
  <c r="L36" i="6"/>
  <c r="D37" i="6"/>
  <c r="F37" i="6"/>
  <c r="H37" i="6"/>
  <c r="J37" i="6"/>
  <c r="L37" i="6"/>
  <c r="D38" i="6"/>
  <c r="F38" i="6"/>
  <c r="H38" i="6"/>
  <c r="J38" i="6"/>
  <c r="L38" i="6"/>
  <c r="D39" i="6"/>
  <c r="FL17" i="20" s="1"/>
  <c r="J39" i="6"/>
  <c r="FR17" i="20" s="1"/>
  <c r="D42" i="6"/>
  <c r="GL17" i="20" s="1"/>
  <c r="F42" i="6"/>
  <c r="GN17" i="20" s="1"/>
  <c r="H42" i="6"/>
  <c r="GP17" i="20" s="1"/>
  <c r="J42" i="6"/>
  <c r="GR17" i="20" s="1"/>
  <c r="L42" i="6"/>
  <c r="GT17" i="20" s="1"/>
  <c r="D43" i="6"/>
  <c r="GY17" i="20" s="1"/>
  <c r="F43" i="6"/>
  <c r="HA17" i="20" s="1"/>
  <c r="H43" i="6"/>
  <c r="HC17" i="20" s="1"/>
  <c r="J43" i="6"/>
  <c r="HE17" i="20" s="1"/>
  <c r="L43" i="6"/>
  <c r="HG17" i="20" s="1"/>
  <c r="D44" i="6"/>
  <c r="HL17" i="20" s="1"/>
  <c r="F44" i="6"/>
  <c r="HN17" i="20" s="1"/>
  <c r="H44" i="6"/>
  <c r="HP17" i="20" s="1"/>
  <c r="J44" i="6"/>
  <c r="HR17" i="20" s="1"/>
  <c r="L44" i="6"/>
  <c r="HT17" i="20" s="1"/>
  <c r="D45" i="6"/>
  <c r="HY17" i="20" s="1"/>
  <c r="F45" i="6"/>
  <c r="IA17" i="20" s="1"/>
  <c r="D47" i="6"/>
  <c r="P18" i="20" s="1"/>
  <c r="F47" i="6"/>
  <c r="R18" i="20" s="1"/>
  <c r="H47" i="6"/>
  <c r="T18" i="20" s="1"/>
  <c r="J47" i="6"/>
  <c r="V18" i="20" s="1"/>
  <c r="D48" i="6"/>
  <c r="AC18" i="20" s="1"/>
  <c r="F48" i="6"/>
  <c r="AE18" i="20" s="1"/>
  <c r="H48" i="6"/>
  <c r="AG18" i="20" s="1"/>
  <c r="J48" i="6"/>
  <c r="AI18" i="20" s="1"/>
  <c r="L48" i="6"/>
  <c r="AK18" i="20" s="1"/>
  <c r="D49" i="6"/>
  <c r="AP18" i="20" s="1"/>
  <c r="F49" i="6"/>
  <c r="AR18" i="20" s="1"/>
  <c r="H49" i="6"/>
  <c r="AT18" i="20" s="1"/>
  <c r="J49" i="6"/>
  <c r="AV18" i="20" s="1"/>
  <c r="L49" i="6"/>
  <c r="AX18" i="20" s="1"/>
  <c r="D50" i="6"/>
  <c r="CC18" i="20" s="1"/>
  <c r="J50" i="6"/>
  <c r="CI18" i="20" s="1"/>
  <c r="L50" i="6"/>
  <c r="CK18" i="20" s="1"/>
  <c r="D53" i="6"/>
  <c r="FP18" i="20" s="1"/>
  <c r="F53" i="6"/>
  <c r="FR18" i="20" s="1"/>
  <c r="H53" i="6"/>
  <c r="FT18" i="20" s="1"/>
  <c r="J53" i="6"/>
  <c r="FV18" i="20" s="1"/>
  <c r="L53" i="6"/>
  <c r="FX18" i="20" s="1"/>
  <c r="D54" i="6"/>
  <c r="GC18" i="20" s="1"/>
  <c r="F54" i="6"/>
  <c r="GE18" i="20" s="1"/>
  <c r="H54" i="6"/>
  <c r="GG18" i="20" s="1"/>
  <c r="J54" i="6"/>
  <c r="GI18" i="20" s="1"/>
  <c r="L54" i="6"/>
  <c r="GK18" i="20" s="1"/>
  <c r="D55" i="6"/>
  <c r="GP18" i="20" s="1"/>
  <c r="F55" i="6"/>
  <c r="GR18" i="20" s="1"/>
  <c r="H55" i="6"/>
  <c r="GT18" i="20" s="1"/>
  <c r="J55" i="6"/>
  <c r="GV18" i="20" s="1"/>
  <c r="L55" i="6"/>
  <c r="GX18" i="20" s="1"/>
  <c r="D56" i="6"/>
  <c r="HC18" i="20" s="1"/>
  <c r="J56" i="6"/>
  <c r="HI18" i="20" s="1"/>
  <c r="L56" i="6"/>
  <c r="HK18" i="20" s="1"/>
  <c r="C12" i="5"/>
  <c r="IF13" i="20" s="1"/>
  <c r="C23" i="5"/>
  <c r="C30" i="5"/>
  <c r="IE14" i="20" s="1"/>
  <c r="C40" i="5"/>
  <c r="EC15" i="20" s="1"/>
  <c r="C46" i="5"/>
  <c r="GZ15" i="20" s="1"/>
  <c r="I12" i="5"/>
  <c r="IN13" i="20" s="1"/>
  <c r="I23" i="5"/>
  <c r="FA14" i="20" s="1"/>
  <c r="I30" i="5"/>
  <c r="I40" i="5"/>
  <c r="I46" i="5"/>
  <c r="E12" i="5"/>
  <c r="E23" i="5"/>
  <c r="EU14" i="20" s="1"/>
  <c r="E30" i="5"/>
  <c r="IG14" i="20" s="1"/>
  <c r="E40" i="5"/>
  <c r="EE15" i="20" s="1"/>
  <c r="E46" i="5"/>
  <c r="HB15" i="20" s="1"/>
  <c r="G12" i="5"/>
  <c r="G23" i="5"/>
  <c r="EY14" i="20" s="1"/>
  <c r="G30" i="5"/>
  <c r="IK14" i="20" s="1"/>
  <c r="G40" i="5"/>
  <c r="EI15" i="20" s="1"/>
  <c r="G46" i="5"/>
  <c r="HF15" i="20" s="1"/>
  <c r="K12" i="5"/>
  <c r="IP13" i="20" s="1"/>
  <c r="K30" i="5"/>
  <c r="IO14" i="20" s="1"/>
  <c r="K40" i="5"/>
  <c r="K46" i="5"/>
  <c r="D6" i="5"/>
  <c r="EF13" i="20" s="1"/>
  <c r="F6" i="5"/>
  <c r="EH13" i="20" s="1"/>
  <c r="H6" i="5"/>
  <c r="EL13" i="20" s="1"/>
  <c r="J6" i="5"/>
  <c r="EN13" i="20" s="1"/>
  <c r="L6" i="5"/>
  <c r="EP13" i="20" s="1"/>
  <c r="D7" i="5"/>
  <c r="EU13" i="20" s="1"/>
  <c r="F7" i="5"/>
  <c r="EW13" i="20" s="1"/>
  <c r="H7" i="5"/>
  <c r="FA13" i="20" s="1"/>
  <c r="J7" i="5"/>
  <c r="FC13" i="20" s="1"/>
  <c r="L7" i="5"/>
  <c r="FE13" i="20" s="1"/>
  <c r="D8" i="5"/>
  <c r="FJ13" i="20" s="1"/>
  <c r="F8" i="5"/>
  <c r="FL13" i="20" s="1"/>
  <c r="H8" i="5"/>
  <c r="FP13" i="20" s="1"/>
  <c r="J8" i="5"/>
  <c r="FR13" i="20" s="1"/>
  <c r="L8" i="5"/>
  <c r="FT13" i="20" s="1"/>
  <c r="D9" i="5"/>
  <c r="FY13" i="20" s="1"/>
  <c r="F9" i="5"/>
  <c r="GA13" i="20" s="1"/>
  <c r="H9" i="5"/>
  <c r="GE13" i="20" s="1"/>
  <c r="J9" i="5"/>
  <c r="GG13" i="20" s="1"/>
  <c r="L9" i="5"/>
  <c r="GI13" i="20" s="1"/>
  <c r="D10" i="5"/>
  <c r="GN13" i="20" s="1"/>
  <c r="F10" i="5"/>
  <c r="GP13" i="20" s="1"/>
  <c r="H10" i="5"/>
  <c r="GT13" i="20" s="1"/>
  <c r="J10" i="5"/>
  <c r="GV13" i="20" s="1"/>
  <c r="L10" i="5"/>
  <c r="GX13" i="20" s="1"/>
  <c r="D11" i="5"/>
  <c r="HC13" i="20" s="1"/>
  <c r="F11" i="5"/>
  <c r="HE13" i="20" s="1"/>
  <c r="H11" i="5"/>
  <c r="HI13" i="20" s="1"/>
  <c r="J11" i="5"/>
  <c r="HK13" i="20" s="1"/>
  <c r="L11" i="5"/>
  <c r="HM13" i="20" s="1"/>
  <c r="D16" i="5"/>
  <c r="AD14" i="20" s="1"/>
  <c r="F16" i="5"/>
  <c r="AF14" i="20" s="1"/>
  <c r="H16" i="5"/>
  <c r="AJ14" i="20" s="1"/>
  <c r="J16" i="5"/>
  <c r="AL14" i="20" s="1"/>
  <c r="L16" i="5"/>
  <c r="AN14" i="20" s="1"/>
  <c r="D17" i="5"/>
  <c r="AS14" i="20" s="1"/>
  <c r="F17" i="5"/>
  <c r="AU14" i="20" s="1"/>
  <c r="H17" i="5"/>
  <c r="AY14" i="20" s="1"/>
  <c r="J17" i="5"/>
  <c r="BA14" i="20" s="1"/>
  <c r="L17" i="5"/>
  <c r="BC14" i="20" s="1"/>
  <c r="D18" i="5"/>
  <c r="BH14" i="20" s="1"/>
  <c r="F18" i="5"/>
  <c r="BJ14" i="20" s="1"/>
  <c r="H18" i="5"/>
  <c r="BN14" i="20" s="1"/>
  <c r="J18" i="5"/>
  <c r="BP14" i="20" s="1"/>
  <c r="L18" i="5"/>
  <c r="BR14" i="20" s="1"/>
  <c r="D19" i="5"/>
  <c r="BW14" i="20" s="1"/>
  <c r="F19" i="5"/>
  <c r="BY14" i="20" s="1"/>
  <c r="H19" i="5"/>
  <c r="CC14" i="20" s="1"/>
  <c r="J19" i="5"/>
  <c r="CE14" i="20" s="1"/>
  <c r="L19" i="5"/>
  <c r="CG14" i="20" s="1"/>
  <c r="D20" i="5"/>
  <c r="CL14" i="20" s="1"/>
  <c r="F20" i="5"/>
  <c r="CN14" i="20" s="1"/>
  <c r="H20" i="5"/>
  <c r="CR14" i="20" s="1"/>
  <c r="J20" i="5"/>
  <c r="CT14" i="20" s="1"/>
  <c r="L20" i="5"/>
  <c r="CV14" i="20" s="1"/>
  <c r="D21" i="5"/>
  <c r="DA14" i="20" s="1"/>
  <c r="F21" i="5"/>
  <c r="DC14" i="20" s="1"/>
  <c r="H21" i="5"/>
  <c r="DG14" i="20" s="1"/>
  <c r="J21" i="5"/>
  <c r="DI14" i="20" s="1"/>
  <c r="L21" i="5"/>
  <c r="DK14" i="20" s="1"/>
  <c r="D22" i="5"/>
  <c r="DP14" i="20" s="1"/>
  <c r="F22" i="5"/>
  <c r="DR14" i="20" s="1"/>
  <c r="H22" i="5"/>
  <c r="DV14" i="20" s="1"/>
  <c r="J22" i="5"/>
  <c r="DX14" i="20" s="1"/>
  <c r="L22" i="5"/>
  <c r="DZ14" i="20" s="1"/>
  <c r="F23" i="5"/>
  <c r="EV14" i="20" s="1"/>
  <c r="J23" i="5"/>
  <c r="FB14" i="20" s="1"/>
  <c r="D26" i="5"/>
  <c r="FX14" i="20" s="1"/>
  <c r="F26" i="5"/>
  <c r="FZ14" i="20" s="1"/>
  <c r="H26" i="5"/>
  <c r="GD14" i="20" s="1"/>
  <c r="J26" i="5"/>
  <c r="GF14" i="20" s="1"/>
  <c r="L26" i="5"/>
  <c r="GH14" i="20" s="1"/>
  <c r="D27" i="5"/>
  <c r="GM14" i="20" s="1"/>
  <c r="F27" i="5"/>
  <c r="GO14" i="20" s="1"/>
  <c r="H27" i="5"/>
  <c r="GS14" i="20" s="1"/>
  <c r="J27" i="5"/>
  <c r="GU14" i="20" s="1"/>
  <c r="L27" i="5"/>
  <c r="GW14" i="20" s="1"/>
  <c r="D28" i="5"/>
  <c r="HB14" i="20" s="1"/>
  <c r="F28" i="5"/>
  <c r="HD14" i="20" s="1"/>
  <c r="H28" i="5"/>
  <c r="HH14" i="20" s="1"/>
  <c r="J28" i="5"/>
  <c r="HJ14" i="20" s="1"/>
  <c r="L28" i="5"/>
  <c r="HL14" i="20" s="1"/>
  <c r="D29" i="5"/>
  <c r="HQ14" i="20" s="1"/>
  <c r="F29" i="5"/>
  <c r="HS14" i="20" s="1"/>
  <c r="H29" i="5"/>
  <c r="HW14" i="20" s="1"/>
  <c r="J29" i="5"/>
  <c r="HY14" i="20" s="1"/>
  <c r="L29" i="5"/>
  <c r="IA14" i="20" s="1"/>
  <c r="D33" i="5"/>
  <c r="N15" i="20" s="1"/>
  <c r="F33" i="5"/>
  <c r="P15" i="20" s="1"/>
  <c r="H33" i="5"/>
  <c r="T15" i="20" s="1"/>
  <c r="L33" i="5"/>
  <c r="X15" i="20" s="1"/>
  <c r="D34" i="5"/>
  <c r="AC15" i="20" s="1"/>
  <c r="F34" i="5"/>
  <c r="AE15" i="20" s="1"/>
  <c r="H34" i="5"/>
  <c r="AI15" i="20" s="1"/>
  <c r="J34" i="5"/>
  <c r="AK15" i="20" s="1"/>
  <c r="L34" i="5"/>
  <c r="AM15" i="20" s="1"/>
  <c r="D35" i="5"/>
  <c r="AR15" i="20" s="1"/>
  <c r="F35" i="5"/>
  <c r="AT15" i="20" s="1"/>
  <c r="H35" i="5"/>
  <c r="AX15" i="20" s="1"/>
  <c r="J35" i="5"/>
  <c r="AZ15" i="20" s="1"/>
  <c r="L35" i="5"/>
  <c r="BB15" i="20" s="1"/>
  <c r="D36" i="5"/>
  <c r="BG15" i="20" s="1"/>
  <c r="F36" i="5"/>
  <c r="BI15" i="20" s="1"/>
  <c r="H36" i="5"/>
  <c r="BM15" i="20" s="1"/>
  <c r="J36" i="5"/>
  <c r="BO15" i="20" s="1"/>
  <c r="L36" i="5"/>
  <c r="BQ15" i="20" s="1"/>
  <c r="D37" i="5"/>
  <c r="BV15" i="20" s="1"/>
  <c r="F37" i="5"/>
  <c r="BX15" i="20" s="1"/>
  <c r="H37" i="5"/>
  <c r="CB15" i="20" s="1"/>
  <c r="J37" i="5"/>
  <c r="CD15" i="20" s="1"/>
  <c r="L37" i="5"/>
  <c r="CF15" i="20" s="1"/>
  <c r="D38" i="5"/>
  <c r="CK15" i="20" s="1"/>
  <c r="F38" i="5"/>
  <c r="CM15" i="20" s="1"/>
  <c r="H38" i="5"/>
  <c r="CQ15" i="20" s="1"/>
  <c r="J38" i="5"/>
  <c r="CS15" i="20" s="1"/>
  <c r="L38" i="5"/>
  <c r="CU15" i="20" s="1"/>
  <c r="D39" i="5"/>
  <c r="CZ15" i="20" s="1"/>
  <c r="F39" i="5"/>
  <c r="DB15" i="20" s="1"/>
  <c r="H39" i="5"/>
  <c r="DF15" i="20" s="1"/>
  <c r="J39" i="5"/>
  <c r="DH15" i="20" s="1"/>
  <c r="L39" i="5"/>
  <c r="DJ15" i="20" s="1"/>
  <c r="H40" i="5"/>
  <c r="EJ15" i="20" s="1"/>
  <c r="D43" i="5"/>
  <c r="FH15" i="20" s="1"/>
  <c r="F43" i="5"/>
  <c r="FJ15" i="20" s="1"/>
  <c r="H43" i="5"/>
  <c r="FN15" i="20" s="1"/>
  <c r="J43" i="5"/>
  <c r="FP15" i="20" s="1"/>
  <c r="L43" i="5"/>
  <c r="FR15" i="20" s="1"/>
  <c r="D44" i="5"/>
  <c r="FW15" i="20" s="1"/>
  <c r="F44" i="5"/>
  <c r="FY15" i="20" s="1"/>
  <c r="H44" i="5"/>
  <c r="GC15" i="20" s="1"/>
  <c r="J44" i="5"/>
  <c r="GE15" i="20" s="1"/>
  <c r="L44" i="5"/>
  <c r="GG15" i="20" s="1"/>
  <c r="D45" i="5"/>
  <c r="GL15" i="20" s="1"/>
  <c r="F45" i="5"/>
  <c r="GN15" i="20" s="1"/>
  <c r="H45" i="5"/>
  <c r="GR15" i="20" s="1"/>
  <c r="J45" i="5"/>
  <c r="GT15" i="20" s="1"/>
  <c r="L45" i="5"/>
  <c r="GV15" i="20" s="1"/>
  <c r="C10" i="4"/>
  <c r="HY10" i="20" s="1"/>
  <c r="C15" i="4"/>
  <c r="C27" i="4"/>
  <c r="HC11" i="20" s="1"/>
  <c r="C42" i="4"/>
  <c r="C55" i="4"/>
  <c r="AX13" i="20" s="1"/>
  <c r="C61" i="4"/>
  <c r="E48" i="4"/>
  <c r="FV12" i="20" s="1"/>
  <c r="G48" i="4"/>
  <c r="FX12" i="20" s="1"/>
  <c r="E10" i="4"/>
  <c r="IA10" i="20" s="1"/>
  <c r="G10" i="4"/>
  <c r="E15" i="4"/>
  <c r="AE11" i="20" s="1"/>
  <c r="G15" i="4"/>
  <c r="AG11" i="20" s="1"/>
  <c r="E27" i="4"/>
  <c r="HE11" i="20" s="1"/>
  <c r="G27" i="4"/>
  <c r="HG11" i="20" s="1"/>
  <c r="E42" i="4"/>
  <c r="DV12" i="20" s="1"/>
  <c r="G42" i="4"/>
  <c r="DX12" i="20" s="1"/>
  <c r="E55" i="4"/>
  <c r="AZ13" i="20" s="1"/>
  <c r="G55" i="4"/>
  <c r="BB13" i="20" s="1"/>
  <c r="E61" i="4"/>
  <c r="G61" i="4"/>
  <c r="K10" i="4"/>
  <c r="K15" i="4"/>
  <c r="AK11" i="20" s="1"/>
  <c r="K32" i="4"/>
  <c r="K42" i="4"/>
  <c r="K48" i="4"/>
  <c r="K55" i="4"/>
  <c r="K61" i="4"/>
  <c r="D6" i="4"/>
  <c r="FM10" i="20" s="1"/>
  <c r="F6" i="4"/>
  <c r="FO10" i="20" s="1"/>
  <c r="H6" i="4"/>
  <c r="FQ10" i="20" s="1"/>
  <c r="J6" i="4"/>
  <c r="FS10" i="20" s="1"/>
  <c r="L6" i="4"/>
  <c r="FU10" i="20" s="1"/>
  <c r="D7" i="4"/>
  <c r="FZ10" i="20" s="1"/>
  <c r="F7" i="4"/>
  <c r="GB10" i="20" s="1"/>
  <c r="H7" i="4"/>
  <c r="GD10" i="20" s="1"/>
  <c r="J7" i="4"/>
  <c r="GF10" i="20" s="1"/>
  <c r="L7" i="4"/>
  <c r="GH10" i="20" s="1"/>
  <c r="D8" i="4"/>
  <c r="GM10" i="20" s="1"/>
  <c r="F8" i="4"/>
  <c r="GO10" i="20" s="1"/>
  <c r="H8" i="4"/>
  <c r="GQ10" i="20" s="1"/>
  <c r="J8" i="4"/>
  <c r="GS10" i="20" s="1"/>
  <c r="L8" i="4"/>
  <c r="GU10" i="20" s="1"/>
  <c r="D9" i="4"/>
  <c r="GZ10" i="20" s="1"/>
  <c r="F9" i="4"/>
  <c r="HB10" i="20" s="1"/>
  <c r="H9" i="4"/>
  <c r="HD10" i="20" s="1"/>
  <c r="J9" i="4"/>
  <c r="HF10" i="20" s="1"/>
  <c r="L9" i="4"/>
  <c r="HH10" i="20" s="1"/>
  <c r="D14" i="4"/>
  <c r="Q11" i="20" s="1"/>
  <c r="F14" i="4"/>
  <c r="S11" i="20" s="1"/>
  <c r="H14" i="4"/>
  <c r="U11" i="20" s="1"/>
  <c r="J14" i="4"/>
  <c r="W11" i="20" s="1"/>
  <c r="L14" i="4"/>
  <c r="Y11" i="20" s="1"/>
  <c r="D18" i="4"/>
  <c r="BQ11" i="20" s="1"/>
  <c r="F18" i="4"/>
  <c r="BS11" i="20" s="1"/>
  <c r="H18" i="4"/>
  <c r="BU11" i="20" s="1"/>
  <c r="J18" i="4"/>
  <c r="BW11" i="20" s="1"/>
  <c r="L18" i="4"/>
  <c r="BY11" i="20" s="1"/>
  <c r="D19" i="4"/>
  <c r="CD11" i="20" s="1"/>
  <c r="F19" i="4"/>
  <c r="CF11" i="20" s="1"/>
  <c r="H19" i="4"/>
  <c r="CH11" i="20" s="1"/>
  <c r="J19" i="4"/>
  <c r="CJ11" i="20" s="1"/>
  <c r="L19" i="4"/>
  <c r="CL11" i="20" s="1"/>
  <c r="D20" i="4"/>
  <c r="CQ11" i="20" s="1"/>
  <c r="F20" i="4"/>
  <c r="CS11" i="20" s="1"/>
  <c r="H20" i="4"/>
  <c r="CU11" i="20" s="1"/>
  <c r="J20" i="4"/>
  <c r="CW11" i="20" s="1"/>
  <c r="L20" i="4"/>
  <c r="CY11" i="20" s="1"/>
  <c r="D21" i="4"/>
  <c r="DD11" i="20" s="1"/>
  <c r="F21" i="4"/>
  <c r="DF11" i="20" s="1"/>
  <c r="H21" i="4"/>
  <c r="DH11" i="20" s="1"/>
  <c r="J21" i="4"/>
  <c r="DJ11" i="20" s="1"/>
  <c r="L21" i="4"/>
  <c r="DL11" i="20" s="1"/>
  <c r="D24" i="4"/>
  <c r="FQ11" i="20" s="1"/>
  <c r="F24" i="4"/>
  <c r="FS11" i="20" s="1"/>
  <c r="H24" i="4"/>
  <c r="FU11" i="20" s="1"/>
  <c r="J24" i="4"/>
  <c r="FW11" i="20" s="1"/>
  <c r="D25" i="4"/>
  <c r="GD11" i="20" s="1"/>
  <c r="F25" i="4"/>
  <c r="GF11" i="20" s="1"/>
  <c r="H25" i="4"/>
  <c r="GH11" i="20" s="1"/>
  <c r="J25" i="4"/>
  <c r="GJ11" i="20" s="1"/>
  <c r="L25" i="4"/>
  <c r="GL11" i="20" s="1"/>
  <c r="D26" i="4"/>
  <c r="GQ11" i="20" s="1"/>
  <c r="F26" i="4"/>
  <c r="GS11" i="20" s="1"/>
  <c r="H26" i="4"/>
  <c r="GU11" i="20" s="1"/>
  <c r="J26" i="4"/>
  <c r="GW11" i="20" s="1"/>
  <c r="L26" i="4"/>
  <c r="GY11" i="20" s="1"/>
  <c r="D30" i="4"/>
  <c r="ID11" i="20" s="1"/>
  <c r="F30" i="4"/>
  <c r="IF11" i="20" s="1"/>
  <c r="H30" i="4"/>
  <c r="IH11" i="20" s="1"/>
  <c r="J30" i="4"/>
  <c r="IJ11" i="20" s="1"/>
  <c r="L30" i="4"/>
  <c r="IL11" i="20" s="1"/>
  <c r="D31" i="4"/>
  <c r="IQ11" i="20" s="1"/>
  <c r="F31" i="4"/>
  <c r="IS11" i="20" s="1"/>
  <c r="H31" i="4"/>
  <c r="IU11" i="20" s="1"/>
  <c r="J31" i="4"/>
  <c r="A12" i="20" s="1"/>
  <c r="L31" i="4"/>
  <c r="C12" i="20" s="1"/>
  <c r="D35" i="4"/>
  <c r="AH12" i="20" s="1"/>
  <c r="F35" i="4"/>
  <c r="AJ12" i="20" s="1"/>
  <c r="H35" i="4"/>
  <c r="AL12" i="20" s="1"/>
  <c r="J35" i="4"/>
  <c r="AN12" i="20" s="1"/>
  <c r="L35" i="4"/>
  <c r="AP12" i="20" s="1"/>
  <c r="D37" i="4"/>
  <c r="BH12" i="20" s="1"/>
  <c r="F37" i="4"/>
  <c r="BJ12" i="20" s="1"/>
  <c r="H37" i="4"/>
  <c r="BL12" i="20" s="1"/>
  <c r="J37" i="4"/>
  <c r="BN12" i="20" s="1"/>
  <c r="L37" i="4"/>
  <c r="BP12" i="20" s="1"/>
  <c r="D38" i="4"/>
  <c r="BU12" i="20" s="1"/>
  <c r="F38" i="4"/>
  <c r="BW12" i="20" s="1"/>
  <c r="H38" i="4"/>
  <c r="BY12" i="20" s="1"/>
  <c r="J38" i="4"/>
  <c r="CA12" i="20" s="1"/>
  <c r="L38" i="4"/>
  <c r="CC12" i="20" s="1"/>
  <c r="D39" i="4"/>
  <c r="CH12" i="20" s="1"/>
  <c r="F39" i="4"/>
  <c r="CJ12" i="20" s="1"/>
  <c r="H39" i="4"/>
  <c r="CL12" i="20" s="1"/>
  <c r="J39" i="4"/>
  <c r="CN12" i="20" s="1"/>
  <c r="L39" i="4"/>
  <c r="CP12" i="20" s="1"/>
  <c r="D40" i="4"/>
  <c r="CU12" i="20" s="1"/>
  <c r="F40" i="4"/>
  <c r="CW12" i="20" s="1"/>
  <c r="H40" i="4"/>
  <c r="CY12" i="20" s="1"/>
  <c r="J40" i="4"/>
  <c r="DA12" i="20" s="1"/>
  <c r="L40" i="4"/>
  <c r="DC12" i="20" s="1"/>
  <c r="D41" i="4"/>
  <c r="DH12" i="20" s="1"/>
  <c r="F41" i="4"/>
  <c r="DJ12" i="20" s="1"/>
  <c r="H41" i="4"/>
  <c r="DL12" i="20" s="1"/>
  <c r="J41" i="4"/>
  <c r="DN12" i="20" s="1"/>
  <c r="L41" i="4"/>
  <c r="DP12" i="20" s="1"/>
  <c r="D45" i="4"/>
  <c r="EU12" i="20" s="1"/>
  <c r="F45" i="4"/>
  <c r="EW12" i="20" s="1"/>
  <c r="H45" i="4"/>
  <c r="EY12" i="20" s="1"/>
  <c r="J45" i="4"/>
  <c r="FA12" i="20" s="1"/>
  <c r="L45" i="4"/>
  <c r="FC12" i="20" s="1"/>
  <c r="D46" i="4"/>
  <c r="FH12" i="20" s="1"/>
  <c r="F46" i="4"/>
  <c r="FJ12" i="20" s="1"/>
  <c r="H46" i="4"/>
  <c r="FL12" i="20" s="1"/>
  <c r="J46" i="4"/>
  <c r="FN12" i="20" s="1"/>
  <c r="L46" i="4"/>
  <c r="FP12" i="20" s="1"/>
  <c r="F47" i="4"/>
  <c r="H47" i="4"/>
  <c r="J47" i="4"/>
  <c r="L47" i="4"/>
  <c r="D51" i="4"/>
  <c r="GU12" i="20" s="1"/>
  <c r="F51" i="4"/>
  <c r="GW12" i="20" s="1"/>
  <c r="H51" i="4"/>
  <c r="GY12" i="20" s="1"/>
  <c r="J51" i="4"/>
  <c r="HA12" i="20" s="1"/>
  <c r="L51" i="4"/>
  <c r="HC12" i="20" s="1"/>
  <c r="D52" i="4"/>
  <c r="HH12" i="20" s="1"/>
  <c r="F52" i="4"/>
  <c r="HJ12" i="20" s="1"/>
  <c r="H52" i="4"/>
  <c r="HL12" i="20" s="1"/>
  <c r="J52" i="4"/>
  <c r="HN12" i="20" s="1"/>
  <c r="L52" i="4"/>
  <c r="HP12" i="20" s="1"/>
  <c r="D53" i="4"/>
  <c r="Y13" i="20" s="1"/>
  <c r="F53" i="4"/>
  <c r="AA13" i="20" s="1"/>
  <c r="H53" i="4"/>
  <c r="AC13" i="20" s="1"/>
  <c r="J53" i="4"/>
  <c r="AE13" i="20" s="1"/>
  <c r="L53" i="4"/>
  <c r="AG13" i="20" s="1"/>
  <c r="D54" i="4"/>
  <c r="AL13" i="20" s="1"/>
  <c r="F54" i="4"/>
  <c r="AN13" i="20" s="1"/>
  <c r="H54" i="4"/>
  <c r="AP13" i="20" s="1"/>
  <c r="J54" i="4"/>
  <c r="AR13" i="20" s="1"/>
  <c r="L54" i="4"/>
  <c r="AT13" i="20" s="1"/>
  <c r="D57" i="4"/>
  <c r="F57" i="4"/>
  <c r="H57" i="4"/>
  <c r="J57" i="4"/>
  <c r="L57" i="4"/>
  <c r="D58" i="4"/>
  <c r="F58" i="4"/>
  <c r="H58" i="4"/>
  <c r="J58" i="4"/>
  <c r="L58" i="4"/>
  <c r="D59" i="4"/>
  <c r="F59" i="4"/>
  <c r="H59" i="4"/>
  <c r="J59" i="4"/>
  <c r="L59" i="4"/>
  <c r="D60" i="4"/>
  <c r="F60" i="4"/>
  <c r="H60" i="4"/>
  <c r="J60" i="4"/>
  <c r="L60" i="4"/>
  <c r="L61" i="4"/>
  <c r="D6" i="3"/>
  <c r="HP5" i="20" s="1"/>
  <c r="F6" i="3"/>
  <c r="HR5" i="20" s="1"/>
  <c r="H6" i="3"/>
  <c r="HT5" i="20" s="1"/>
  <c r="J6" i="3"/>
  <c r="HZ5" i="20" s="1"/>
  <c r="L6" i="3"/>
  <c r="IB5" i="20" s="1"/>
  <c r="N6" i="3"/>
  <c r="D7" i="3"/>
  <c r="IG5" i="20" s="1"/>
  <c r="F7" i="3"/>
  <c r="II5" i="20" s="1"/>
  <c r="H7" i="3"/>
  <c r="IK5" i="20" s="1"/>
  <c r="J7" i="3"/>
  <c r="IQ5" i="20" s="1"/>
  <c r="L7" i="3"/>
  <c r="IS5" i="20" s="1"/>
  <c r="N7" i="3"/>
  <c r="D8" i="3"/>
  <c r="B6" i="20" s="1"/>
  <c r="F8" i="3"/>
  <c r="D6" i="20" s="1"/>
  <c r="H8" i="3"/>
  <c r="F6" i="20" s="1"/>
  <c r="J8" i="3"/>
  <c r="L6" i="20" s="1"/>
  <c r="L8" i="3"/>
  <c r="N6" i="20" s="1"/>
  <c r="N8" i="3"/>
  <c r="D9" i="3"/>
  <c r="S6" i="20" s="1"/>
  <c r="F9" i="3"/>
  <c r="U6" i="20" s="1"/>
  <c r="H9" i="3"/>
  <c r="W6" i="20" s="1"/>
  <c r="J9" i="3"/>
  <c r="AC6" i="20" s="1"/>
  <c r="L9" i="3"/>
  <c r="AE6" i="20" s="1"/>
  <c r="N9" i="3"/>
  <c r="N10" i="3"/>
  <c r="D11" i="3"/>
  <c r="BA6" i="20" s="1"/>
  <c r="F11" i="3"/>
  <c r="BC6" i="20" s="1"/>
  <c r="H11" i="3"/>
  <c r="BE6" i="20" s="1"/>
  <c r="J11" i="3"/>
  <c r="BK6" i="20" s="1"/>
  <c r="L11" i="3"/>
  <c r="BM6" i="20" s="1"/>
  <c r="N11" i="3"/>
  <c r="D12" i="3"/>
  <c r="EH6" i="20" s="1"/>
  <c r="F12" i="3"/>
  <c r="EJ6" i="20" s="1"/>
  <c r="H12" i="3"/>
  <c r="EL6" i="20" s="1"/>
  <c r="J12" i="3"/>
  <c r="ER6" i="20" s="1"/>
  <c r="L12" i="3"/>
  <c r="ET6" i="20" s="1"/>
  <c r="N12" i="3"/>
  <c r="K13" i="3"/>
  <c r="FJ6" i="20" s="1"/>
  <c r="D13" i="3"/>
  <c r="EY6" i="20" s="1"/>
  <c r="H13" i="3"/>
  <c r="FC6" i="20" s="1"/>
  <c r="D16" i="3"/>
  <c r="GG6" i="20" s="1"/>
  <c r="F16" i="3"/>
  <c r="GI6" i="20" s="1"/>
  <c r="H16" i="3"/>
  <c r="GK6" i="20" s="1"/>
  <c r="J16" i="3"/>
  <c r="GQ6" i="20" s="1"/>
  <c r="L16" i="3"/>
  <c r="GS6" i="20" s="1"/>
  <c r="N16" i="3"/>
  <c r="D17" i="3"/>
  <c r="GX6" i="20" s="1"/>
  <c r="F17" i="3"/>
  <c r="GZ6" i="20" s="1"/>
  <c r="H17" i="3"/>
  <c r="HB6" i="20" s="1"/>
  <c r="J17" i="3"/>
  <c r="HH6" i="20" s="1"/>
  <c r="L17" i="3"/>
  <c r="HJ6" i="20" s="1"/>
  <c r="N17" i="3"/>
  <c r="D18" i="3"/>
  <c r="HO6" i="20" s="1"/>
  <c r="F18" i="3"/>
  <c r="HQ6" i="20" s="1"/>
  <c r="H18" i="3"/>
  <c r="HS6" i="20" s="1"/>
  <c r="J18" i="3"/>
  <c r="HY6" i="20" s="1"/>
  <c r="L18" i="3"/>
  <c r="IA6" i="20" s="1"/>
  <c r="N18" i="3"/>
  <c r="D19" i="3"/>
  <c r="IF6" i="20" s="1"/>
  <c r="F19" i="3"/>
  <c r="IH6" i="20" s="1"/>
  <c r="H19" i="3"/>
  <c r="IJ6" i="20" s="1"/>
  <c r="J19" i="3"/>
  <c r="IP6" i="20" s="1"/>
  <c r="L19" i="3"/>
  <c r="IR6" i="20" s="1"/>
  <c r="N19" i="3"/>
  <c r="D20" i="3"/>
  <c r="A7" i="20" s="1"/>
  <c r="F20" i="3"/>
  <c r="C7" i="20" s="1"/>
  <c r="H20" i="3"/>
  <c r="E7" i="20" s="1"/>
  <c r="J20" i="3"/>
  <c r="K7" i="20" s="1"/>
  <c r="L20" i="3"/>
  <c r="M7" i="20" s="1"/>
  <c r="N20" i="3"/>
  <c r="D21" i="3"/>
  <c r="R7" i="20" s="1"/>
  <c r="F21" i="3"/>
  <c r="T7" i="20" s="1"/>
  <c r="H21" i="3"/>
  <c r="V7" i="20" s="1"/>
  <c r="J21" i="3"/>
  <c r="AB7" i="20" s="1"/>
  <c r="L21" i="3"/>
  <c r="AD7" i="20" s="1"/>
  <c r="D22" i="3"/>
  <c r="AI7" i="20" s="1"/>
  <c r="F22" i="3"/>
  <c r="AK7" i="20" s="1"/>
  <c r="H22" i="3"/>
  <c r="AM7" i="20" s="1"/>
  <c r="J22" i="3"/>
  <c r="AS7" i="20" s="1"/>
  <c r="L22" i="3"/>
  <c r="AU7" i="20" s="1"/>
  <c r="N22" i="3"/>
  <c r="D23" i="3"/>
  <c r="AZ7" i="20" s="1"/>
  <c r="F23" i="3"/>
  <c r="BB7" i="20" s="1"/>
  <c r="H23" i="3"/>
  <c r="BD7" i="20" s="1"/>
  <c r="J23" i="3"/>
  <c r="BJ7" i="20" s="1"/>
  <c r="L23" i="3"/>
  <c r="BL7" i="20" s="1"/>
  <c r="N23" i="3"/>
  <c r="K24" i="3"/>
  <c r="F24" i="3" s="1"/>
  <c r="BS7" i="20" s="1"/>
  <c r="H24" i="3"/>
  <c r="BU7" i="20" s="1"/>
  <c r="D27" i="3"/>
  <c r="CY7" i="20" s="1"/>
  <c r="F27" i="3"/>
  <c r="DA7" i="20" s="1"/>
  <c r="H27" i="3"/>
  <c r="DC7" i="20" s="1"/>
  <c r="J27" i="3"/>
  <c r="DI7" i="20" s="1"/>
  <c r="L27" i="3"/>
  <c r="DK7" i="20" s="1"/>
  <c r="N27" i="3"/>
  <c r="D28" i="3"/>
  <c r="DP7" i="20" s="1"/>
  <c r="F28" i="3"/>
  <c r="DR7" i="20" s="1"/>
  <c r="H28" i="3"/>
  <c r="DT7" i="20" s="1"/>
  <c r="J28" i="3"/>
  <c r="DZ7" i="20" s="1"/>
  <c r="L28" i="3"/>
  <c r="EB7" i="20" s="1"/>
  <c r="N28" i="3"/>
  <c r="D29" i="3"/>
  <c r="EX7" i="20" s="1"/>
  <c r="F29" i="3"/>
  <c r="EZ7" i="20" s="1"/>
  <c r="H29" i="3"/>
  <c r="FB7" i="20" s="1"/>
  <c r="J29" i="3"/>
  <c r="FH7" i="20" s="1"/>
  <c r="L29" i="3"/>
  <c r="FJ7" i="20" s="1"/>
  <c r="N29" i="3"/>
  <c r="D30" i="3"/>
  <c r="FO7" i="20" s="1"/>
  <c r="F30" i="3"/>
  <c r="FQ7" i="20" s="1"/>
  <c r="H30" i="3"/>
  <c r="FS7" i="20" s="1"/>
  <c r="J30" i="3"/>
  <c r="FY7" i="20" s="1"/>
  <c r="L30" i="3"/>
  <c r="GA7" i="20" s="1"/>
  <c r="N30" i="3"/>
  <c r="K31" i="3"/>
  <c r="D34" i="3"/>
  <c r="IE7" i="20" s="1"/>
  <c r="F34" i="3"/>
  <c r="IG7" i="20" s="1"/>
  <c r="H34" i="3"/>
  <c r="II7" i="20" s="1"/>
  <c r="J34" i="3"/>
  <c r="IO7" i="20" s="1"/>
  <c r="L34" i="3"/>
  <c r="IQ7" i="20" s="1"/>
  <c r="D37" i="3"/>
  <c r="Q8" i="20" s="1"/>
  <c r="F37" i="3"/>
  <c r="S8" i="20" s="1"/>
  <c r="H37" i="3"/>
  <c r="U8" i="20" s="1"/>
  <c r="J37" i="3"/>
  <c r="AA8" i="20" s="1"/>
  <c r="L37" i="3"/>
  <c r="AC8" i="20" s="1"/>
  <c r="N37" i="3"/>
  <c r="D38" i="3"/>
  <c r="AH8" i="20" s="1"/>
  <c r="F38" i="3"/>
  <c r="AJ8" i="20" s="1"/>
  <c r="H38" i="3"/>
  <c r="AL8" i="20" s="1"/>
  <c r="J38" i="3"/>
  <c r="AR8" i="20" s="1"/>
  <c r="L38" i="3"/>
  <c r="AT8" i="20" s="1"/>
  <c r="N38" i="3"/>
  <c r="D39" i="3"/>
  <c r="F39" i="3"/>
  <c r="H39" i="3"/>
  <c r="J39" i="3"/>
  <c r="L39" i="3"/>
  <c r="N39" i="3"/>
  <c r="D40" i="3"/>
  <c r="AY8" i="20" s="1"/>
  <c r="F40" i="3"/>
  <c r="BA8" i="20" s="1"/>
  <c r="H40" i="3"/>
  <c r="BC8" i="20" s="1"/>
  <c r="J40" i="3"/>
  <c r="BI8" i="20" s="1"/>
  <c r="L40" i="3"/>
  <c r="BK8" i="20" s="1"/>
  <c r="N40" i="3"/>
  <c r="D41" i="3"/>
  <c r="BP8" i="20" s="1"/>
  <c r="F41" i="3"/>
  <c r="BR8" i="20" s="1"/>
  <c r="H41" i="3"/>
  <c r="BT8" i="20" s="1"/>
  <c r="J41" i="3"/>
  <c r="BZ8" i="20" s="1"/>
  <c r="L41" i="3"/>
  <c r="CB8" i="20" s="1"/>
  <c r="N41" i="3"/>
  <c r="D42" i="3"/>
  <c r="F42" i="3"/>
  <c r="H42" i="3"/>
  <c r="J42" i="3"/>
  <c r="L42" i="3"/>
  <c r="N42" i="3"/>
  <c r="K43" i="3"/>
  <c r="D46" i="3"/>
  <c r="DO8" i="20" s="1"/>
  <c r="F46" i="3"/>
  <c r="DQ8" i="20" s="1"/>
  <c r="H46" i="3"/>
  <c r="DS8" i="20" s="1"/>
  <c r="J46" i="3"/>
  <c r="DY8" i="20" s="1"/>
  <c r="L46" i="3"/>
  <c r="EA8" i="20" s="1"/>
  <c r="N46" i="3"/>
  <c r="D47" i="3"/>
  <c r="EF8" i="20" s="1"/>
  <c r="F47" i="3"/>
  <c r="EH8" i="20" s="1"/>
  <c r="H47" i="3"/>
  <c r="EJ8" i="20" s="1"/>
  <c r="J47" i="3"/>
  <c r="EP8" i="20" s="1"/>
  <c r="L47" i="3"/>
  <c r="ER8" i="20" s="1"/>
  <c r="N47" i="3"/>
  <c r="D48" i="3"/>
  <c r="EW8" i="20" s="1"/>
  <c r="F48" i="3"/>
  <c r="EY8" i="20" s="1"/>
  <c r="H48" i="3"/>
  <c r="FA8" i="20" s="1"/>
  <c r="J48" i="3"/>
  <c r="FG8" i="20" s="1"/>
  <c r="L48" i="3"/>
  <c r="FI8" i="20" s="1"/>
  <c r="N48" i="3"/>
  <c r="D49" i="3"/>
  <c r="FN8" i="20" s="1"/>
  <c r="F49" i="3"/>
  <c r="FP8" i="20" s="1"/>
  <c r="H49" i="3"/>
  <c r="FR8" i="20" s="1"/>
  <c r="J49" i="3"/>
  <c r="FX8" i="20" s="1"/>
  <c r="L49" i="3"/>
  <c r="FZ8" i="20" s="1"/>
  <c r="D50" i="3"/>
  <c r="GE8" i="20" s="1"/>
  <c r="F50" i="3"/>
  <c r="GG8" i="20" s="1"/>
  <c r="H50" i="3"/>
  <c r="GI8" i="20" s="1"/>
  <c r="J50" i="3"/>
  <c r="GO8" i="20" s="1"/>
  <c r="L50" i="3"/>
  <c r="GQ8" i="20" s="1"/>
  <c r="N50" i="3"/>
  <c r="K51" i="3"/>
  <c r="H51" i="3" s="1"/>
  <c r="GZ8" i="20" s="1"/>
  <c r="D54" i="3"/>
  <c r="ID8" i="20" s="1"/>
  <c r="F54" i="3"/>
  <c r="IF8" i="20" s="1"/>
  <c r="H54" i="3"/>
  <c r="IH8" i="20" s="1"/>
  <c r="J54" i="3"/>
  <c r="IN8" i="20" s="1"/>
  <c r="L54" i="3"/>
  <c r="IP8" i="20" s="1"/>
  <c r="N54" i="3"/>
  <c r="D55" i="3"/>
  <c r="IU8" i="20" s="1"/>
  <c r="F55" i="3"/>
  <c r="A9" i="20" s="1"/>
  <c r="H55" i="3"/>
  <c r="C9" i="20" s="1"/>
  <c r="J55" i="3"/>
  <c r="I9" i="20" s="1"/>
  <c r="L55" i="3"/>
  <c r="K9" i="20" s="1"/>
  <c r="N55" i="3"/>
  <c r="F56" i="3"/>
  <c r="R9" i="20" s="1"/>
  <c r="H56" i="3"/>
  <c r="T9" i="20" s="1"/>
  <c r="J56" i="3"/>
  <c r="Z9" i="20" s="1"/>
  <c r="N56" i="3"/>
  <c r="D57" i="3"/>
  <c r="AG9" i="20" s="1"/>
  <c r="F57" i="3"/>
  <c r="AI9" i="20" s="1"/>
  <c r="H57" i="3"/>
  <c r="AK9" i="20" s="1"/>
  <c r="J57" i="3"/>
  <c r="AQ9" i="20" s="1"/>
  <c r="L57" i="3"/>
  <c r="AS9" i="20" s="1"/>
  <c r="N57" i="3"/>
  <c r="D58" i="3"/>
  <c r="AX9" i="20" s="1"/>
  <c r="F58" i="3"/>
  <c r="AZ9" i="20" s="1"/>
  <c r="H58" i="3"/>
  <c r="BB9" i="20" s="1"/>
  <c r="J58" i="3"/>
  <c r="BH9" i="20" s="1"/>
  <c r="L58" i="3"/>
  <c r="BJ9" i="20" s="1"/>
  <c r="N58" i="3"/>
  <c r="D59" i="3"/>
  <c r="BO9" i="20" s="1"/>
  <c r="F59" i="3"/>
  <c r="BQ9" i="20" s="1"/>
  <c r="H59" i="3"/>
  <c r="BS9" i="20" s="1"/>
  <c r="J59" i="3"/>
  <c r="BY9" i="20" s="1"/>
  <c r="L59" i="3"/>
  <c r="CA9" i="20" s="1"/>
  <c r="N59" i="3"/>
  <c r="D60" i="3"/>
  <c r="F60" i="3"/>
  <c r="H60" i="3"/>
  <c r="J60" i="3"/>
  <c r="L60" i="3"/>
  <c r="N60" i="3"/>
  <c r="D61" i="3"/>
  <c r="F61" i="3"/>
  <c r="H61" i="3"/>
  <c r="J61" i="3"/>
  <c r="L61" i="3"/>
  <c r="N61" i="3"/>
  <c r="D62" i="3"/>
  <c r="CF9" i="20" s="1"/>
  <c r="F62" i="3"/>
  <c r="CH9" i="20" s="1"/>
  <c r="H62" i="3"/>
  <c r="CJ9" i="20" s="1"/>
  <c r="J62" i="3"/>
  <c r="CP9" i="20" s="1"/>
  <c r="L62" i="3"/>
  <c r="CR9" i="20" s="1"/>
  <c r="N62" i="3"/>
  <c r="D63" i="3"/>
  <c r="F63" i="3"/>
  <c r="H63" i="3"/>
  <c r="J63" i="3"/>
  <c r="L63" i="3"/>
  <c r="N63" i="3"/>
  <c r="D64" i="3"/>
  <c r="F64" i="3"/>
  <c r="H64" i="3"/>
  <c r="J64" i="3"/>
  <c r="L64" i="3"/>
  <c r="N64" i="3"/>
  <c r="K65" i="3"/>
  <c r="D65" i="3"/>
  <c r="CW9" i="20" s="1"/>
  <c r="D68" i="3"/>
  <c r="EE9" i="20" s="1"/>
  <c r="F68" i="3"/>
  <c r="EG9" i="20" s="1"/>
  <c r="H68" i="3"/>
  <c r="EI9" i="20" s="1"/>
  <c r="J68" i="3"/>
  <c r="EO9" i="20" s="1"/>
  <c r="L68" i="3"/>
  <c r="EQ9" i="20" s="1"/>
  <c r="N68" i="3"/>
  <c r="D69" i="3"/>
  <c r="EV9" i="20" s="1"/>
  <c r="F69" i="3"/>
  <c r="EX9" i="20" s="1"/>
  <c r="H69" i="3"/>
  <c r="EZ9" i="20" s="1"/>
  <c r="J69" i="3"/>
  <c r="FF9" i="20" s="1"/>
  <c r="L69" i="3"/>
  <c r="FH9" i="20" s="1"/>
  <c r="N69" i="3"/>
  <c r="D70" i="3"/>
  <c r="FM9" i="20" s="1"/>
  <c r="F70" i="3"/>
  <c r="FO9" i="20" s="1"/>
  <c r="H70" i="3"/>
  <c r="FQ9" i="20" s="1"/>
  <c r="J70" i="3"/>
  <c r="FW9" i="20" s="1"/>
  <c r="L70" i="3"/>
  <c r="FY9" i="20" s="1"/>
  <c r="N70" i="3"/>
  <c r="D71" i="3"/>
  <c r="GD9" i="20" s="1"/>
  <c r="F71" i="3"/>
  <c r="GF9" i="20" s="1"/>
  <c r="H71" i="3"/>
  <c r="GH9" i="20" s="1"/>
  <c r="J71" i="3"/>
  <c r="GN9" i="20" s="1"/>
  <c r="L71" i="3"/>
  <c r="GP9" i="20" s="1"/>
  <c r="N71" i="3"/>
  <c r="D72" i="3"/>
  <c r="GU9" i="20" s="1"/>
  <c r="F72" i="3"/>
  <c r="GW9" i="20" s="1"/>
  <c r="H72" i="3"/>
  <c r="GY9" i="20" s="1"/>
  <c r="J72" i="3"/>
  <c r="HE9" i="20" s="1"/>
  <c r="L72" i="3"/>
  <c r="HG9" i="20" s="1"/>
  <c r="N72" i="3"/>
  <c r="D73" i="3"/>
  <c r="HL9" i="20" s="1"/>
  <c r="F73" i="3"/>
  <c r="HN9" i="20" s="1"/>
  <c r="H73" i="3"/>
  <c r="HP9" i="20" s="1"/>
  <c r="J73" i="3"/>
  <c r="HV9" i="20" s="1"/>
  <c r="L73" i="3"/>
  <c r="HX9" i="20" s="1"/>
  <c r="N73" i="3"/>
  <c r="D74" i="3"/>
  <c r="IC9" i="20" s="1"/>
  <c r="F74" i="3"/>
  <c r="IE9" i="20" s="1"/>
  <c r="H74" i="3"/>
  <c r="IG9" i="20" s="1"/>
  <c r="J74" i="3"/>
  <c r="IM9" i="20" s="1"/>
  <c r="L74" i="3"/>
  <c r="IO9" i="20" s="1"/>
  <c r="N74" i="3"/>
  <c r="D75" i="3"/>
  <c r="IT9" i="20" s="1"/>
  <c r="F75" i="3"/>
  <c r="IV9" i="20" s="1"/>
  <c r="H75" i="3"/>
  <c r="B10" i="20" s="1"/>
  <c r="J75" i="3"/>
  <c r="H10" i="20" s="1"/>
  <c r="L75" i="3"/>
  <c r="J10" i="20" s="1"/>
  <c r="N75" i="3"/>
  <c r="D76" i="3"/>
  <c r="O10" i="20" s="1"/>
  <c r="F76" i="3"/>
  <c r="Q10" i="20" s="1"/>
  <c r="H76" i="3"/>
  <c r="S10" i="20" s="1"/>
  <c r="J76" i="3"/>
  <c r="Y10" i="20" s="1"/>
  <c r="L76" i="3"/>
  <c r="AA10" i="20" s="1"/>
  <c r="N76" i="3"/>
  <c r="D77" i="3"/>
  <c r="AF10" i="20" s="1"/>
  <c r="F77" i="3"/>
  <c r="AH10" i="20" s="1"/>
  <c r="H77" i="3"/>
  <c r="AJ10" i="20" s="1"/>
  <c r="J77" i="3"/>
  <c r="AP10" i="20" s="1"/>
  <c r="L77" i="3"/>
  <c r="AR10" i="20" s="1"/>
  <c r="N77" i="3"/>
  <c r="D78" i="3"/>
  <c r="AW10" i="20" s="1"/>
  <c r="F78" i="3"/>
  <c r="AY10" i="20" s="1"/>
  <c r="H78" i="3"/>
  <c r="BA10" i="20" s="1"/>
  <c r="J78" i="3"/>
  <c r="BG10" i="20" s="1"/>
  <c r="L78" i="3"/>
  <c r="BI10" i="20" s="1"/>
  <c r="N78" i="3"/>
  <c r="K79" i="3"/>
  <c r="H79" i="3" s="1"/>
  <c r="C29" i="2"/>
  <c r="AO4" i="20" s="1"/>
  <c r="H4" i="1"/>
  <c r="BQ1" i="20" s="1"/>
  <c r="I4" i="1"/>
  <c r="BR1" i="20" s="1"/>
  <c r="L48" i="4" l="1"/>
  <c r="GC12" i="20" s="1"/>
  <c r="GB12" i="20"/>
  <c r="H9" i="6"/>
  <c r="BY16" i="20" s="1"/>
  <c r="BX16" i="20"/>
  <c r="N43" i="7"/>
  <c r="F22" i="20" s="1"/>
  <c r="E22" i="20"/>
  <c r="L54" i="11"/>
  <c r="HY32" i="20" s="1"/>
  <c r="HX32" i="20"/>
  <c r="F23" i="11"/>
  <c r="EO31" i="20" s="1"/>
  <c r="EN31" i="20"/>
  <c r="J23" i="11"/>
  <c r="ES31" i="20" s="1"/>
  <c r="ER31" i="20"/>
  <c r="F20" i="12"/>
  <c r="M34" i="20" s="1"/>
  <c r="L34" i="20"/>
  <c r="F31" i="13"/>
  <c r="FM36" i="20" s="1"/>
  <c r="FL36" i="20"/>
  <c r="M22" i="16"/>
  <c r="V42" i="20"/>
  <c r="FB50" i="20"/>
  <c r="IT49" i="20"/>
  <c r="H54" i="11"/>
  <c r="HU32" i="20" s="1"/>
  <c r="HT32" i="20"/>
  <c r="H23" i="15"/>
  <c r="HV39" i="20" s="1"/>
  <c r="F15" i="15"/>
  <c r="EF39" i="20" s="1"/>
  <c r="EE39" i="20"/>
  <c r="M14" i="16"/>
  <c r="EN41" i="20"/>
  <c r="E4" i="17"/>
  <c r="BP43" i="20" s="1"/>
  <c r="AK44" i="20"/>
  <c r="D20" i="19"/>
  <c r="DD48" i="20" s="1"/>
  <c r="L31" i="3"/>
  <c r="HI7" i="20" s="1"/>
  <c r="HH7" i="20"/>
  <c r="L42" i="4"/>
  <c r="EC12" i="20" s="1"/>
  <c r="EB12" i="20"/>
  <c r="L45" i="6"/>
  <c r="IG17" i="20" s="1"/>
  <c r="IF17" i="20"/>
  <c r="H56" i="6"/>
  <c r="HG18" i="20" s="1"/>
  <c r="HF18" i="20"/>
  <c r="J43" i="3"/>
  <c r="CQ8" i="20" s="1"/>
  <c r="CR8" i="20"/>
  <c r="L32" i="4"/>
  <c r="P12" i="20" s="1"/>
  <c r="O12" i="20"/>
  <c r="L26" i="6"/>
  <c r="AT17" i="20" s="1"/>
  <c r="AS17" i="20"/>
  <c r="F56" i="6"/>
  <c r="HE18" i="20" s="1"/>
  <c r="HD18" i="20"/>
  <c r="N16" i="7"/>
  <c r="Y20" i="20" s="1"/>
  <c r="X20" i="20"/>
  <c r="E4" i="8"/>
  <c r="FB23" i="20"/>
  <c r="F54" i="11"/>
  <c r="HS32" i="20" s="1"/>
  <c r="L43" i="11"/>
  <c r="DL32" i="20" s="1"/>
  <c r="D38" i="13"/>
  <c r="AE37" i="20" s="1"/>
  <c r="AD37" i="20"/>
  <c r="F23" i="15"/>
  <c r="HR39" i="20" s="1"/>
  <c r="J26" i="17"/>
  <c r="EQ44" i="20" s="1"/>
  <c r="EP44" i="20"/>
  <c r="J51" i="3"/>
  <c r="HF8" i="20" s="1"/>
  <c r="HG8" i="20"/>
  <c r="J24" i="3"/>
  <c r="CA7" i="20" s="1"/>
  <c r="CB7" i="20"/>
  <c r="L30" i="5"/>
  <c r="IP14" i="20" s="1"/>
  <c r="E4" i="5"/>
  <c r="DC13" i="20" s="1"/>
  <c r="IH13" i="20"/>
  <c r="L21" i="6"/>
  <c r="IP16" i="20" s="1"/>
  <c r="IO16" i="20"/>
  <c r="F50" i="6"/>
  <c r="CE18" i="20" s="1"/>
  <c r="CD18" i="20"/>
  <c r="L25" i="8"/>
  <c r="BM24" i="20" s="1"/>
  <c r="BL24" i="20"/>
  <c r="H33" i="8"/>
  <c r="EV24" i="20" s="1"/>
  <c r="EW24" i="20"/>
  <c r="D13" i="10"/>
  <c r="DH28" i="20" s="1"/>
  <c r="DQ28" i="20"/>
  <c r="K27" i="10"/>
  <c r="CF29" i="20"/>
  <c r="G4" i="10"/>
  <c r="GS27" i="20" s="1"/>
  <c r="DK28" i="20"/>
  <c r="H43" i="11"/>
  <c r="DH32" i="20" s="1"/>
  <c r="DG32" i="20"/>
  <c r="H38" i="13"/>
  <c r="AK37" i="20" s="1"/>
  <c r="AJ37" i="20"/>
  <c r="D31" i="13"/>
  <c r="FK36" i="20" s="1"/>
  <c r="FJ36" i="20"/>
  <c r="L10" i="4"/>
  <c r="IH10" i="20" s="1"/>
  <c r="IG10" i="20"/>
  <c r="D46" i="5"/>
  <c r="HA15" i="20" s="1"/>
  <c r="HH15" i="20"/>
  <c r="D23" i="5"/>
  <c r="ET14" i="20" s="1"/>
  <c r="ES14" i="20"/>
  <c r="H50" i="6"/>
  <c r="CG18" i="20" s="1"/>
  <c r="CF18" i="20"/>
  <c r="J33" i="8"/>
  <c r="EX24" i="20" s="1"/>
  <c r="L13" i="8"/>
  <c r="FI23" i="20" s="1"/>
  <c r="FH23" i="20"/>
  <c r="J25" i="8"/>
  <c r="BK24" i="20" s="1"/>
  <c r="BJ24" i="20"/>
  <c r="N45" i="10"/>
  <c r="DA30" i="20" s="1"/>
  <c r="CZ30" i="20"/>
  <c r="C4" i="10"/>
  <c r="FV29" i="20"/>
  <c r="J43" i="11"/>
  <c r="DJ32" i="20" s="1"/>
  <c r="F34" i="11"/>
  <c r="S32" i="20" s="1"/>
  <c r="V32" i="20"/>
  <c r="J20" i="12"/>
  <c r="Q34" i="20" s="1"/>
  <c r="P34" i="20"/>
  <c r="H31" i="13"/>
  <c r="FQ36" i="20" s="1"/>
  <c r="FP36" i="20"/>
  <c r="H38" i="15"/>
  <c r="FM40" i="20" s="1"/>
  <c r="FN40" i="20"/>
  <c r="J19" i="17"/>
  <c r="AP44" i="20" s="1"/>
  <c r="AQ44" i="20"/>
  <c r="H44" i="19"/>
  <c r="FY49" i="20" s="1"/>
  <c r="FX49" i="20"/>
  <c r="B50" i="20"/>
  <c r="HP48" i="20"/>
  <c r="J31" i="3"/>
  <c r="HG7" i="20" s="1"/>
  <c r="I42" i="4"/>
  <c r="DT12" i="20"/>
  <c r="L12" i="5"/>
  <c r="IQ13" i="20" s="1"/>
  <c r="J40" i="5"/>
  <c r="EL15" i="20" s="1"/>
  <c r="EK15" i="20"/>
  <c r="F39" i="6"/>
  <c r="FN17" i="20" s="1"/>
  <c r="FM17" i="20"/>
  <c r="H16" i="7"/>
  <c r="Q20" i="20" s="1"/>
  <c r="V20" i="20"/>
  <c r="F33" i="8"/>
  <c r="ET24" i="20" s="1"/>
  <c r="I17" i="1"/>
  <c r="HZ2" i="20" s="1"/>
  <c r="IE24" i="20"/>
  <c r="N40" i="10"/>
  <c r="AK30" i="20" s="1"/>
  <c r="AJ30" i="20"/>
  <c r="F43" i="11"/>
  <c r="DF32" i="20" s="1"/>
  <c r="J28" i="11"/>
  <c r="HF31" i="20" s="1"/>
  <c r="HE31" i="20"/>
  <c r="F12" i="12"/>
  <c r="DV33" i="20" s="1"/>
  <c r="DY33" i="20"/>
  <c r="D31" i="15"/>
  <c r="BF40" i="20" s="1"/>
  <c r="BM40" i="20"/>
  <c r="K4" i="16"/>
  <c r="ER41" i="20"/>
  <c r="L26" i="17"/>
  <c r="ES44" i="20" s="1"/>
  <c r="K44" i="19"/>
  <c r="HX48" i="20"/>
  <c r="L15" i="4"/>
  <c r="AL11" i="20" s="1"/>
  <c r="H31" i="3"/>
  <c r="HA7" i="20" s="1"/>
  <c r="F31" i="3"/>
  <c r="GY7" i="20" s="1"/>
  <c r="I61" i="4"/>
  <c r="J12" i="5"/>
  <c r="IO13" i="20" s="1"/>
  <c r="L46" i="5"/>
  <c r="HK15" i="20" s="1"/>
  <c r="HJ15" i="20"/>
  <c r="H12" i="5"/>
  <c r="IM13" i="20" s="1"/>
  <c r="IL13" i="20"/>
  <c r="J30" i="5"/>
  <c r="IN14" i="20" s="1"/>
  <c r="IM14" i="20"/>
  <c r="G4" i="8"/>
  <c r="BH24" i="20"/>
  <c r="J16" i="11"/>
  <c r="BS31" i="20" s="1"/>
  <c r="BR31" i="20"/>
  <c r="F31" i="12"/>
  <c r="FM34" i="20" s="1"/>
  <c r="FL34" i="20"/>
  <c r="D20" i="13"/>
  <c r="Q36" i="20" s="1"/>
  <c r="C4" i="14"/>
  <c r="IG37" i="20"/>
  <c r="H26" i="17"/>
  <c r="EO44" i="20" s="1"/>
  <c r="D26" i="17"/>
  <c r="EK44" i="20" s="1"/>
  <c r="J44" i="19"/>
  <c r="GA49" i="20" s="1"/>
  <c r="K20" i="19"/>
  <c r="H29" i="19"/>
  <c r="HU48" i="20" s="1"/>
  <c r="HT48" i="20"/>
  <c r="F65" i="3"/>
  <c r="CY9" i="20" s="1"/>
  <c r="DH9" i="20"/>
  <c r="J65" i="3"/>
  <c r="DG9" i="20" s="1"/>
  <c r="D31" i="3"/>
  <c r="GW7" i="20" s="1"/>
  <c r="L55" i="4"/>
  <c r="BG13" i="20" s="1"/>
  <c r="BF13" i="20"/>
  <c r="G4" i="4"/>
  <c r="EP10" i="20" s="1"/>
  <c r="IC10" i="20"/>
  <c r="I15" i="4"/>
  <c r="AC11" i="20"/>
  <c r="D12" i="5"/>
  <c r="IG13" i="20" s="1"/>
  <c r="L40" i="5"/>
  <c r="EN15" i="20" s="1"/>
  <c r="EM15" i="20"/>
  <c r="F21" i="6"/>
  <c r="IJ16" i="20" s="1"/>
  <c r="II16" i="20"/>
  <c r="H25" i="8"/>
  <c r="BI24" i="20" s="1"/>
  <c r="C4" i="8"/>
  <c r="Z23" i="20" s="1"/>
  <c r="BD24" i="20"/>
  <c r="N27" i="10"/>
  <c r="CK29" i="20" s="1"/>
  <c r="CJ29" i="20"/>
  <c r="H28" i="11"/>
  <c r="HD31" i="20" s="1"/>
  <c r="E4" i="11"/>
  <c r="EW30" i="20" s="1"/>
  <c r="IJ30" i="20"/>
  <c r="C4" i="12"/>
  <c r="S33" i="20" s="1"/>
  <c r="CJ34" i="20"/>
  <c r="J38" i="15"/>
  <c r="FO40" i="20" s="1"/>
  <c r="D38" i="15"/>
  <c r="FG40" i="20" s="1"/>
  <c r="FF40" i="20"/>
  <c r="M29" i="16"/>
  <c r="F26" i="17"/>
  <c r="EM44" i="20" s="1"/>
  <c r="F9" i="17"/>
  <c r="EN43" i="20" s="1"/>
  <c r="C4" i="17"/>
  <c r="BN43" i="20" s="1"/>
  <c r="AI44" i="20"/>
  <c r="F44" i="19"/>
  <c r="FW49" i="20" s="1"/>
  <c r="J20" i="19"/>
  <c r="DJ48" i="20" s="1"/>
  <c r="H20" i="19"/>
  <c r="DH48" i="20" s="1"/>
  <c r="IC34" i="20"/>
  <c r="GQ34" i="20"/>
  <c r="GK34" i="20"/>
  <c r="G37" i="20"/>
  <c r="IC32" i="20"/>
  <c r="IM31" i="20"/>
  <c r="IS31" i="20"/>
  <c r="GO34" i="20"/>
  <c r="DM30" i="20"/>
  <c r="EF29" i="20"/>
  <c r="DE30" i="20"/>
  <c r="DX29" i="20"/>
  <c r="V39" i="20"/>
  <c r="U39" i="20"/>
  <c r="IK32" i="20"/>
  <c r="IU31" i="20"/>
  <c r="H12" i="13"/>
  <c r="FC35" i="20" s="1"/>
  <c r="IE32" i="20"/>
  <c r="IO31" i="20"/>
  <c r="EH29" i="20"/>
  <c r="DZ29" i="20"/>
  <c r="AI24" i="20"/>
  <c r="EF26" i="20"/>
  <c r="FJ24" i="20"/>
  <c r="AK24" i="20"/>
  <c r="J15" i="20"/>
  <c r="V15" i="20"/>
  <c r="V25" i="20"/>
  <c r="AE24" i="20"/>
  <c r="EJ29" i="20"/>
  <c r="EB29" i="20"/>
  <c r="L28" i="20"/>
  <c r="FF24" i="20"/>
  <c r="AG24" i="20"/>
  <c r="IQ31" i="20"/>
  <c r="EP26" i="20"/>
  <c r="EH26" i="20"/>
  <c r="I20" i="20"/>
  <c r="T20" i="20"/>
  <c r="HY15" i="20"/>
  <c r="Y14" i="20"/>
  <c r="K43" i="7"/>
  <c r="C22" i="20" s="1"/>
  <c r="K38" i="7"/>
  <c r="DS21" i="20" s="1"/>
  <c r="FW16" i="20"/>
  <c r="HQ15" i="20"/>
  <c r="Q14" i="20"/>
  <c r="C4" i="6"/>
  <c r="D18" i="2" s="1"/>
  <c r="HR3" i="20" s="1"/>
  <c r="HW15" i="20"/>
  <c r="W14" i="20"/>
  <c r="FU16" i="20"/>
  <c r="GA16" i="20"/>
  <c r="AJ6" i="20"/>
  <c r="I32" i="4"/>
  <c r="CY10" i="20"/>
  <c r="AN6" i="20"/>
  <c r="L11" i="20"/>
  <c r="D11" i="20"/>
  <c r="DE10" i="20"/>
  <c r="AT6" i="20"/>
  <c r="CW10" i="20"/>
  <c r="AL6" i="20"/>
  <c r="J11" i="20"/>
  <c r="I32" i="9"/>
  <c r="M31" i="7"/>
  <c r="M38" i="7"/>
  <c r="K10" i="11"/>
  <c r="G4" i="18"/>
  <c r="K33" i="8"/>
  <c r="K26" i="12"/>
  <c r="K8" i="15"/>
  <c r="I4" i="16"/>
  <c r="K23" i="5"/>
  <c r="FC14" i="20" s="1"/>
  <c r="K23" i="11"/>
  <c r="I24" i="18"/>
  <c r="B4" i="15"/>
  <c r="I22" i="4"/>
  <c r="I41" i="9"/>
  <c r="M43" i="3"/>
  <c r="N43" i="3" s="1"/>
  <c r="J43" i="7"/>
  <c r="B22" i="20" s="1"/>
  <c r="D43" i="7"/>
  <c r="IP21" i="20" s="1"/>
  <c r="F43" i="7"/>
  <c r="IR21" i="20" s="1"/>
  <c r="H43" i="7"/>
  <c r="IT21" i="20" s="1"/>
  <c r="L43" i="7"/>
  <c r="D22" i="20" s="1"/>
  <c r="D38" i="7"/>
  <c r="DJ21" i="20" s="1"/>
  <c r="L38" i="7"/>
  <c r="DT21" i="20" s="1"/>
  <c r="F38" i="7"/>
  <c r="DL21" i="20" s="1"/>
  <c r="J38" i="7"/>
  <c r="DR21" i="20" s="1"/>
  <c r="H38" i="7"/>
  <c r="DN21" i="20" s="1"/>
  <c r="D27" i="2"/>
  <c r="AD4" i="20" s="1"/>
  <c r="H5" i="1"/>
  <c r="CK1" i="20" s="1"/>
  <c r="D11" i="2"/>
  <c r="FV3" i="20" s="1"/>
  <c r="D17" i="1"/>
  <c r="HU2" i="20" s="1"/>
  <c r="FL50" i="20"/>
  <c r="F50" i="19"/>
  <c r="F9" i="7"/>
  <c r="DN19" i="20" s="1"/>
  <c r="L9" i="7"/>
  <c r="DV19" i="20" s="1"/>
  <c r="M13" i="10"/>
  <c r="N7" i="10"/>
  <c r="V28" i="20" s="1"/>
  <c r="J32" i="4"/>
  <c r="N12" i="20" s="1"/>
  <c r="I55" i="4"/>
  <c r="G4" i="5"/>
  <c r="DG13" i="20" s="1"/>
  <c r="C4" i="5"/>
  <c r="DA13" i="20" s="1"/>
  <c r="E4" i="13"/>
  <c r="S35" i="20" s="1"/>
  <c r="J36" i="12"/>
  <c r="HQ34" i="20" s="1"/>
  <c r="D36" i="12"/>
  <c r="HK34" i="20" s="1"/>
  <c r="H36" i="12"/>
  <c r="HO34" i="20" s="1"/>
  <c r="D23" i="9"/>
  <c r="CA26" i="20" s="1"/>
  <c r="H23" i="9"/>
  <c r="CK26" i="20" s="1"/>
  <c r="M21" i="10"/>
  <c r="E4" i="19"/>
  <c r="EA47" i="20" s="1"/>
  <c r="F12" i="19"/>
  <c r="F48" i="20" s="1"/>
  <c r="D32" i="2"/>
  <c r="BZ4" i="20" s="1"/>
  <c r="F32" i="4"/>
  <c r="J12" i="20" s="1"/>
  <c r="F26" i="6"/>
  <c r="AN17" i="20" s="1"/>
  <c r="L23" i="7"/>
  <c r="FC20" i="20" s="1"/>
  <c r="F23" i="7"/>
  <c r="EU20" i="20" s="1"/>
  <c r="I4" i="8"/>
  <c r="J13" i="8"/>
  <c r="FG23" i="20" s="1"/>
  <c r="D26" i="12"/>
  <c r="CK34" i="20" s="1"/>
  <c r="J12" i="13"/>
  <c r="FE35" i="20" s="1"/>
  <c r="F62" i="19"/>
  <c r="FA50" i="20" s="1"/>
  <c r="K62" i="19"/>
  <c r="D24" i="18"/>
  <c r="BX46" i="20" s="1"/>
  <c r="F24" i="18"/>
  <c r="BZ46" i="20" s="1"/>
  <c r="J24" i="18"/>
  <c r="CJ46" i="20" s="1"/>
  <c r="K39" i="6"/>
  <c r="L31" i="6"/>
  <c r="DG17" i="20" s="1"/>
  <c r="M9" i="7"/>
  <c r="N7" i="7"/>
  <c r="BY19" i="20" s="1"/>
  <c r="K12" i="19"/>
  <c r="H23" i="11"/>
  <c r="EQ31" i="20" s="1"/>
  <c r="K27" i="4"/>
  <c r="H30" i="5"/>
  <c r="IL14" i="20" s="1"/>
  <c r="J49" i="11"/>
  <c r="FW32" i="20" s="1"/>
  <c r="F49" i="11"/>
  <c r="FS32" i="20" s="1"/>
  <c r="K49" i="11"/>
  <c r="D49" i="11"/>
  <c r="FQ32" i="20" s="1"/>
  <c r="H7" i="1"/>
  <c r="DY1" i="20" s="1"/>
  <c r="L43" i="3"/>
  <c r="CS8" i="20" s="1"/>
  <c r="I48" i="4"/>
  <c r="FZ12" i="20" s="1"/>
  <c r="F40" i="5"/>
  <c r="EF15" i="20" s="1"/>
  <c r="I4" i="5"/>
  <c r="G4" i="6"/>
  <c r="K16" i="20" s="1"/>
  <c r="N26" i="7"/>
  <c r="GM20" i="20" s="1"/>
  <c r="K45" i="10"/>
  <c r="CX30" i="20" s="1"/>
  <c r="K32" i="10"/>
  <c r="GF29" i="20" s="1"/>
  <c r="D12" i="13"/>
  <c r="EW35" i="20" s="1"/>
  <c r="M37" i="16"/>
  <c r="L43" i="20" s="1"/>
  <c r="D34" i="2"/>
  <c r="CL4" i="20" s="1"/>
  <c r="J9" i="1"/>
  <c r="FO1" i="20" s="1"/>
  <c r="J42" i="4"/>
  <c r="EA12" i="20" s="1"/>
  <c r="I27" i="4"/>
  <c r="HI11" i="20" s="1"/>
  <c r="C4" i="4"/>
  <c r="J46" i="5"/>
  <c r="HI15" i="20" s="1"/>
  <c r="H29" i="16"/>
  <c r="EN42" i="20" s="1"/>
  <c r="N29" i="16"/>
  <c r="ET42" i="20" s="1"/>
  <c r="F36" i="19"/>
  <c r="BW49" i="20" s="1"/>
  <c r="H36" i="19"/>
  <c r="BY49" i="20" s="1"/>
  <c r="K36" i="19"/>
  <c r="D36" i="19"/>
  <c r="BU49" i="20" s="1"/>
  <c r="K31" i="15"/>
  <c r="L26" i="15"/>
  <c r="H40" i="20" s="1"/>
  <c r="H9" i="17"/>
  <c r="EP43" i="20" s="1"/>
  <c r="G4" i="17"/>
  <c r="BR43" i="20" s="1"/>
  <c r="G4" i="7"/>
  <c r="Q19" i="20" s="1"/>
  <c r="K50" i="7"/>
  <c r="CJ22" i="20" s="1"/>
  <c r="H32" i="9"/>
  <c r="D27" i="20" s="1"/>
  <c r="J32" i="9"/>
  <c r="F27" i="20" s="1"/>
  <c r="D32" i="9"/>
  <c r="IP26" i="20" s="1"/>
  <c r="J26" i="6"/>
  <c r="AR17" i="20" s="1"/>
  <c r="D26" i="6"/>
  <c r="AL17" i="20" s="1"/>
  <c r="H32" i="4"/>
  <c r="L12" i="20" s="1"/>
  <c r="D23" i="11"/>
  <c r="EM31" i="20" s="1"/>
  <c r="G4" i="11"/>
  <c r="EY30" i="20" s="1"/>
  <c r="H20" i="12"/>
  <c r="O34" i="20" s="1"/>
  <c r="G34" i="20"/>
  <c r="L65" i="3"/>
  <c r="DI9" i="20" s="1"/>
  <c r="L24" i="3"/>
  <c r="CC7" i="20" s="1"/>
  <c r="D40" i="5"/>
  <c r="ED15" i="20" s="1"/>
  <c r="F9" i="6"/>
  <c r="BW16" i="20" s="1"/>
  <c r="E4" i="6"/>
  <c r="I16" i="20" s="1"/>
  <c r="F8" i="15"/>
  <c r="P39" i="20" s="1"/>
  <c r="H22" i="16"/>
  <c r="Y42" i="20" s="1"/>
  <c r="L22" i="16"/>
  <c r="AC42" i="20" s="1"/>
  <c r="C4" i="19"/>
  <c r="DY47" i="20" s="1"/>
  <c r="K9" i="6"/>
  <c r="CB16" i="20" s="1"/>
  <c r="K38" i="18"/>
  <c r="L34" i="18"/>
  <c r="IH46" i="20" s="1"/>
  <c r="G4" i="12"/>
  <c r="W33" i="20" s="1"/>
  <c r="C4" i="13"/>
  <c r="Q35" i="20" s="1"/>
  <c r="H8" i="15"/>
  <c r="T39" i="20" s="1"/>
  <c r="I4" i="19"/>
  <c r="E4" i="3"/>
  <c r="GI5" i="20" s="1"/>
  <c r="B4" i="4"/>
  <c r="EK10" i="20" s="1"/>
  <c r="K34" i="11"/>
  <c r="I4" i="10"/>
  <c r="GW27" i="20" s="1"/>
  <c r="J31" i="15"/>
  <c r="BN40" i="20" s="1"/>
  <c r="C4" i="16"/>
  <c r="II40" i="20" s="1"/>
  <c r="D12" i="19"/>
  <c r="D48" i="20" s="1"/>
  <c r="C4" i="7"/>
  <c r="G4" i="3"/>
  <c r="GK5" i="20" s="1"/>
  <c r="K41" i="9"/>
  <c r="B4" i="14"/>
  <c r="CF37" i="20" s="1"/>
  <c r="I4" i="13"/>
  <c r="Y35" i="20" s="1"/>
  <c r="E4" i="7"/>
  <c r="O19" i="20" s="1"/>
  <c r="B4" i="17"/>
  <c r="BM43" i="20" s="1"/>
  <c r="O22" i="16"/>
  <c r="E4" i="18"/>
  <c r="HA44" i="20" s="1"/>
  <c r="B4" i="12"/>
  <c r="R33" i="20" s="1"/>
  <c r="E4" i="9"/>
  <c r="HW24" i="20" s="1"/>
  <c r="B4" i="3"/>
  <c r="GF5" i="20" s="1"/>
  <c r="M24" i="3"/>
  <c r="N24" i="3" s="1"/>
  <c r="H45" i="6"/>
  <c r="IC17" i="20" s="1"/>
  <c r="D33" i="8"/>
  <c r="ER24" i="20" s="1"/>
  <c r="J34" i="11"/>
  <c r="W32" i="20" s="1"/>
  <c r="F28" i="11"/>
  <c r="HB31" i="20" s="1"/>
  <c r="D54" i="11"/>
  <c r="HQ32" i="20" s="1"/>
  <c r="F26" i="12"/>
  <c r="CM34" i="20" s="1"/>
  <c r="E4" i="14"/>
  <c r="CI37" i="20" s="1"/>
  <c r="G4" i="19"/>
  <c r="EC47" i="20" s="1"/>
  <c r="I4" i="7"/>
  <c r="U19" i="20" s="1"/>
  <c r="I4" i="6"/>
  <c r="M16" i="20" s="1"/>
  <c r="I12" i="9"/>
  <c r="EG25" i="20" s="1"/>
  <c r="M13" i="3"/>
  <c r="N13" i="3" s="1"/>
  <c r="B4" i="7"/>
  <c r="L19" i="20" s="1"/>
  <c r="K16" i="11"/>
  <c r="K28" i="11"/>
  <c r="K12" i="13"/>
  <c r="B4" i="11"/>
  <c r="ET30" i="20" s="1"/>
  <c r="D13" i="8"/>
  <c r="FA23" i="20" s="1"/>
  <c r="D43" i="11"/>
  <c r="DD32" i="20" s="1"/>
  <c r="H26" i="12"/>
  <c r="CO34" i="20" s="1"/>
  <c r="D8" i="15"/>
  <c r="N39" i="20" s="1"/>
  <c r="H19" i="17"/>
  <c r="AN44" i="20" s="1"/>
  <c r="F29" i="19"/>
  <c r="HS48" i="20" s="1"/>
  <c r="D50" i="19"/>
  <c r="I38" i="18"/>
  <c r="I4" i="3"/>
  <c r="GQ5" i="20" s="1"/>
  <c r="B4" i="6"/>
  <c r="F16" i="20" s="1"/>
  <c r="B4" i="16"/>
  <c r="IH40" i="20" s="1"/>
  <c r="B4" i="19"/>
  <c r="DX47" i="20" s="1"/>
  <c r="K12" i="9"/>
  <c r="K20" i="13"/>
  <c r="I31" i="14"/>
  <c r="O37" i="16"/>
  <c r="K40" i="10"/>
  <c r="AH30" i="20" s="1"/>
  <c r="E4" i="10"/>
  <c r="GQ27" i="20" s="1"/>
  <c r="K21" i="10"/>
  <c r="I4" i="17"/>
  <c r="BT43" i="20" s="1"/>
  <c r="F36" i="12"/>
  <c r="HM34" i="20" s="1"/>
  <c r="D18" i="12"/>
  <c r="HG33" i="20" s="1"/>
  <c r="C4" i="3"/>
  <c r="GG5" i="20" s="1"/>
  <c r="B4" i="5"/>
  <c r="CZ13" i="20" s="1"/>
  <c r="B4" i="10"/>
  <c r="GN27" i="20" s="1"/>
  <c r="B4" i="13"/>
  <c r="M51" i="3"/>
  <c r="N51" i="3" s="1"/>
  <c r="B4" i="18"/>
  <c r="GX44" i="20" s="1"/>
  <c r="K18" i="9"/>
  <c r="K31" i="12"/>
  <c r="K31" i="13"/>
  <c r="K15" i="15"/>
  <c r="O14" i="16"/>
  <c r="F55" i="4"/>
  <c r="BA13" i="20" s="1"/>
  <c r="D15" i="2"/>
  <c r="GZ3" i="20" s="1"/>
  <c r="E17" i="1"/>
  <c r="HV2" i="20" s="1"/>
  <c r="D40" i="10"/>
  <c r="Y30" i="20" s="1"/>
  <c r="F40" i="10"/>
  <c r="AA30" i="20" s="1"/>
  <c r="H40" i="10"/>
  <c r="AC30" i="20" s="1"/>
  <c r="L40" i="10"/>
  <c r="AI30" i="20" s="1"/>
  <c r="D21" i="10"/>
  <c r="HW28" i="20" s="1"/>
  <c r="D68" i="2"/>
  <c r="BD5" i="20" s="1"/>
  <c r="D14" i="2"/>
  <c r="GT3" i="20" s="1"/>
  <c r="E5" i="1"/>
  <c r="CH1" i="20" s="1"/>
  <c r="D45" i="10"/>
  <c r="CO30" i="20" s="1"/>
  <c r="H45" i="10"/>
  <c r="CS30" i="20" s="1"/>
  <c r="J45" i="10"/>
  <c r="CW30" i="20" s="1"/>
  <c r="F45" i="10"/>
  <c r="CQ30" i="20" s="1"/>
  <c r="L45" i="10"/>
  <c r="CY30" i="20" s="1"/>
  <c r="J32" i="10"/>
  <c r="GE29" i="20" s="1"/>
  <c r="D32" i="10"/>
  <c r="FW29" i="20" s="1"/>
  <c r="F32" i="10"/>
  <c r="FY29" i="20" s="1"/>
  <c r="H32" i="10"/>
  <c r="GA29" i="20" s="1"/>
  <c r="L32" i="10"/>
  <c r="GG29" i="20" s="1"/>
  <c r="D45" i="2"/>
  <c r="FF4" i="20" s="1"/>
  <c r="D37" i="2"/>
  <c r="DJ4" i="20" s="1"/>
  <c r="J17" i="1"/>
  <c r="IA2" i="20" s="1"/>
  <c r="P5" i="1"/>
  <c r="CS1" i="20" s="1"/>
  <c r="D61" i="2"/>
  <c r="N5" i="20" s="1"/>
  <c r="J48" i="4"/>
  <c r="GA12" i="20" s="1"/>
  <c r="D48" i="4"/>
  <c r="FU12" i="20" s="1"/>
  <c r="H48" i="4"/>
  <c r="FY12" i="20" s="1"/>
  <c r="F48" i="4"/>
  <c r="FW12" i="20" s="1"/>
  <c r="K7" i="1"/>
  <c r="EB1" i="20" s="1"/>
  <c r="D39" i="2"/>
  <c r="DV4" i="20" s="1"/>
  <c r="D67" i="2"/>
  <c r="AX5" i="20" s="1"/>
  <c r="Q5" i="1"/>
  <c r="CT1" i="20" s="1"/>
  <c r="F61" i="4"/>
  <c r="J61" i="4"/>
  <c r="H61" i="4"/>
  <c r="D61" i="4"/>
  <c r="D13" i="2"/>
  <c r="GN3" i="20" s="1"/>
  <c r="E7" i="1"/>
  <c r="DV1" i="20" s="1"/>
  <c r="F17" i="1"/>
  <c r="HW2" i="20" s="1"/>
  <c r="D19" i="2"/>
  <c r="HX3" i="20" s="1"/>
  <c r="D41" i="2"/>
  <c r="EH4" i="20" s="1"/>
  <c r="K17" i="1"/>
  <c r="IB2" i="20" s="1"/>
  <c r="D66" i="2"/>
  <c r="AR5" i="20" s="1"/>
  <c r="Q7" i="1"/>
  <c r="EH1" i="20" s="1"/>
  <c r="D5" i="1"/>
  <c r="CG1" i="20" s="1"/>
  <c r="I10" i="4"/>
  <c r="IE10" i="20" s="1"/>
  <c r="H39" i="6"/>
  <c r="FP17" i="20" s="1"/>
  <c r="F16" i="7"/>
  <c r="O20" i="20" s="1"/>
  <c r="J16" i="7"/>
  <c r="U20" i="20" s="1"/>
  <c r="L16" i="7"/>
  <c r="W20" i="20" s="1"/>
  <c r="H49" i="11"/>
  <c r="FU32" i="20" s="1"/>
  <c r="D20" i="12"/>
  <c r="K34" i="20" s="1"/>
  <c r="D12" i="12"/>
  <c r="DT33" i="20" s="1"/>
  <c r="I4" i="12"/>
  <c r="Y33" i="20" s="1"/>
  <c r="H12" i="12"/>
  <c r="DX33" i="20" s="1"/>
  <c r="J12" i="12"/>
  <c r="DZ33" i="20" s="1"/>
  <c r="D37" i="16"/>
  <c r="C43" i="20" s="1"/>
  <c r="F37" i="16"/>
  <c r="E43" i="20" s="1"/>
  <c r="F29" i="16"/>
  <c r="EL42" i="20" s="1"/>
  <c r="J29" i="16"/>
  <c r="EP42" i="20" s="1"/>
  <c r="L29" i="16"/>
  <c r="ER42" i="20" s="1"/>
  <c r="L19" i="17"/>
  <c r="AR44" i="20" s="1"/>
  <c r="D38" i="18"/>
  <c r="BO47" i="20" s="1"/>
  <c r="H38" i="18"/>
  <c r="BY47" i="20" s="1"/>
  <c r="J38" i="18"/>
  <c r="CA47" i="20" s="1"/>
  <c r="F27" i="4"/>
  <c r="HF11" i="20" s="1"/>
  <c r="F13" i="10"/>
  <c r="DJ28" i="20" s="1"/>
  <c r="J13" i="10"/>
  <c r="DP28" i="20" s="1"/>
  <c r="L13" i="10"/>
  <c r="DR28" i="20" s="1"/>
  <c r="D43" i="2"/>
  <c r="ET4" i="20" s="1"/>
  <c r="L5" i="1"/>
  <c r="CO1" i="20" s="1"/>
  <c r="D14" i="16"/>
  <c r="EK41" i="20" s="1"/>
  <c r="H14" i="16"/>
  <c r="EO41" i="20" s="1"/>
  <c r="J14" i="16"/>
  <c r="EQ41" i="20" s="1"/>
  <c r="D23" i="7"/>
  <c r="ES20" i="20" s="1"/>
  <c r="H23" i="7"/>
  <c r="EW20" i="20" s="1"/>
  <c r="J23" i="7"/>
  <c r="FA20" i="20" s="1"/>
  <c r="F4" i="8"/>
  <c r="AC23" i="20" s="1"/>
  <c r="F19" i="17"/>
  <c r="AL44" i="20" s="1"/>
  <c r="K4" i="17"/>
  <c r="BV43" i="20" s="1"/>
  <c r="D4" i="19"/>
  <c r="DZ47" i="20" s="1"/>
  <c r="F15" i="4"/>
  <c r="AF11" i="20" s="1"/>
  <c r="H15" i="4"/>
  <c r="AH11" i="20" s="1"/>
  <c r="D4" i="5"/>
  <c r="DB13" i="20" s="1"/>
  <c r="L79" i="3"/>
  <c r="H43" i="3"/>
  <c r="CK8" i="20" s="1"/>
  <c r="D24" i="3"/>
  <c r="BQ7" i="20" s="1"/>
  <c r="F30" i="5"/>
  <c r="IH14" i="20" s="1"/>
  <c r="H23" i="5"/>
  <c r="EZ14" i="20" s="1"/>
  <c r="F4" i="5"/>
  <c r="DD13" i="20" s="1"/>
  <c r="F46" i="5"/>
  <c r="HC15" i="20" s="1"/>
  <c r="H46" i="5"/>
  <c r="HG15" i="20" s="1"/>
  <c r="K4" i="8"/>
  <c r="AH23" i="20" s="1"/>
  <c r="H16" i="11"/>
  <c r="BQ31" i="20" s="1"/>
  <c r="E4" i="16"/>
  <c r="IK40" i="20" s="1"/>
  <c r="D19" i="17"/>
  <c r="AJ44" i="20" s="1"/>
  <c r="D16" i="18"/>
  <c r="FX45" i="20" s="1"/>
  <c r="F16" i="18"/>
  <c r="FZ45" i="20" s="1"/>
  <c r="H16" i="18"/>
  <c r="GH45" i="20" s="1"/>
  <c r="J16" i="18"/>
  <c r="GJ45" i="20" s="1"/>
  <c r="D51" i="3"/>
  <c r="GV8" i="20" s="1"/>
  <c r="F51" i="3"/>
  <c r="GX8" i="20" s="1"/>
  <c r="J79" i="3"/>
  <c r="F43" i="3"/>
  <c r="CI8" i="20" s="1"/>
  <c r="D30" i="5"/>
  <c r="IF14" i="20" s="1"/>
  <c r="F12" i="5"/>
  <c r="II13" i="20" s="1"/>
  <c r="H4" i="5"/>
  <c r="DH13" i="20" s="1"/>
  <c r="L31" i="7"/>
  <c r="HS20" i="20" s="1"/>
  <c r="D9" i="7"/>
  <c r="DL19" i="20" s="1"/>
  <c r="H9" i="7"/>
  <c r="DP19" i="20" s="1"/>
  <c r="J9" i="7"/>
  <c r="DT19" i="20" s="1"/>
  <c r="F13" i="8"/>
  <c r="FC23" i="20" s="1"/>
  <c r="J4" i="8"/>
  <c r="AG23" i="20" s="1"/>
  <c r="L27" i="10"/>
  <c r="CI29" i="20" s="1"/>
  <c r="K4" i="10"/>
  <c r="GY27" i="20" s="1"/>
  <c r="F16" i="11"/>
  <c r="BO31" i="20" s="1"/>
  <c r="E4" i="12"/>
  <c r="U33" i="20" s="1"/>
  <c r="F12" i="13"/>
  <c r="EY35" i="20" s="1"/>
  <c r="G4" i="14"/>
  <c r="CK37" i="20" s="1"/>
  <c r="D15" i="15"/>
  <c r="ED39" i="20" s="1"/>
  <c r="H15" i="15"/>
  <c r="EJ39" i="20" s="1"/>
  <c r="I4" i="15"/>
  <c r="HI38" i="20" s="1"/>
  <c r="J15" i="15"/>
  <c r="EL39" i="20" s="1"/>
  <c r="E19" i="1"/>
  <c r="N3" i="20" s="1"/>
  <c r="D43" i="3"/>
  <c r="CG8" i="20" s="1"/>
  <c r="D42" i="4"/>
  <c r="DU12" i="20" s="1"/>
  <c r="F42" i="4"/>
  <c r="DW12" i="20" s="1"/>
  <c r="H4" i="8"/>
  <c r="AE23" i="20" s="1"/>
  <c r="D16" i="11"/>
  <c r="BM31" i="20" s="1"/>
  <c r="D31" i="12"/>
  <c r="FK34" i="20" s="1"/>
  <c r="H31" i="12"/>
  <c r="FO34" i="20" s="1"/>
  <c r="J31" i="12"/>
  <c r="FQ34" i="20" s="1"/>
  <c r="G4" i="13"/>
  <c r="W35" i="20" s="1"/>
  <c r="G4" i="15"/>
  <c r="HG38" i="20" s="1"/>
  <c r="C4" i="15"/>
  <c r="HA38" i="20" s="1"/>
  <c r="G4" i="16"/>
  <c r="J5" i="1"/>
  <c r="CM1" i="20" s="1"/>
  <c r="D4" i="8"/>
  <c r="AA23" i="20" s="1"/>
  <c r="D27" i="10"/>
  <c r="BY29" i="20" s="1"/>
  <c r="H27" i="10"/>
  <c r="CC29" i="20" s="1"/>
  <c r="J27" i="10"/>
  <c r="CG29" i="20" s="1"/>
  <c r="N13" i="10"/>
  <c r="DT28" i="20" s="1"/>
  <c r="C4" i="11"/>
  <c r="EU30" i="20" s="1"/>
  <c r="N14" i="16"/>
  <c r="EU41" i="20" s="1"/>
  <c r="N22" i="16"/>
  <c r="AE42" i="20" s="1"/>
  <c r="D22" i="16"/>
  <c r="U42" i="20" s="1"/>
  <c r="D4" i="6"/>
  <c r="H16" i="20" s="1"/>
  <c r="F4" i="6"/>
  <c r="J16" i="20" s="1"/>
  <c r="H4" i="6"/>
  <c r="L16" i="20" s="1"/>
  <c r="I4" i="9"/>
  <c r="IG24" i="20" s="1"/>
  <c r="F12" i="9"/>
  <c r="DX25" i="20" s="1"/>
  <c r="J12" i="9"/>
  <c r="EH25" i="20" s="1"/>
  <c r="H19" i="1"/>
  <c r="Q3" i="20" s="1"/>
  <c r="D79" i="3"/>
  <c r="F79" i="3"/>
  <c r="L51" i="3"/>
  <c r="HH8" i="20" s="1"/>
  <c r="F13" i="3"/>
  <c r="FA6" i="20" s="1"/>
  <c r="J13" i="3"/>
  <c r="FI6" i="20" s="1"/>
  <c r="L13" i="3"/>
  <c r="FK6" i="20" s="1"/>
  <c r="D15" i="4"/>
  <c r="AD11" i="20" s="1"/>
  <c r="E4" i="4"/>
  <c r="EN10" i="20" s="1"/>
  <c r="D31" i="7"/>
  <c r="HI20" i="20" s="1"/>
  <c r="D16" i="7"/>
  <c r="M20" i="20" s="1"/>
  <c r="H13" i="10"/>
  <c r="DL28" i="20" s="1"/>
  <c r="F10" i="11"/>
  <c r="IK30" i="20" s="1"/>
  <c r="D10" i="11"/>
  <c r="II30" i="20" s="1"/>
  <c r="H10" i="11"/>
  <c r="IM30" i="20" s="1"/>
  <c r="I4" i="11"/>
  <c r="FA30" i="20" s="1"/>
  <c r="J10" i="11"/>
  <c r="IO30" i="20" s="1"/>
  <c r="E4" i="15"/>
  <c r="HC38" i="20" s="1"/>
  <c r="J22" i="16"/>
  <c r="AA42" i="20" s="1"/>
  <c r="L14" i="16"/>
  <c r="ES41" i="20" s="1"/>
  <c r="BB37" i="20"/>
  <c r="L37" i="13"/>
  <c r="M79" i="3"/>
  <c r="N79" i="3" s="1"/>
  <c r="K22" i="4"/>
  <c r="EX11" i="20" s="1"/>
  <c r="K32" i="9"/>
  <c r="FB27" i="20"/>
  <c r="L27" i="9"/>
  <c r="K12" i="12"/>
  <c r="O29" i="16"/>
  <c r="M65" i="3"/>
  <c r="N65" i="3" s="1"/>
  <c r="K38" i="13"/>
  <c r="H65" i="3"/>
  <c r="DA9" i="20" s="1"/>
  <c r="H50" i="7"/>
  <c r="CE22" i="20" s="1"/>
  <c r="J30" i="18"/>
  <c r="GA46" i="20" s="1"/>
  <c r="D30" i="18"/>
  <c r="FO46" i="20" s="1"/>
  <c r="F30" i="18"/>
  <c r="FQ46" i="20" s="1"/>
  <c r="H30" i="18"/>
  <c r="FY46" i="20" s="1"/>
  <c r="F10" i="18"/>
  <c r="BP45" i="20" s="1"/>
  <c r="H10" i="18"/>
  <c r="BX45" i="20" s="1"/>
  <c r="J10" i="18"/>
  <c r="BZ45" i="20" s="1"/>
  <c r="D10" i="18"/>
  <c r="BN45" i="20" s="1"/>
  <c r="M31" i="3"/>
  <c r="N31" i="3" s="1"/>
  <c r="L4" i="17"/>
  <c r="BW43" i="20" s="1"/>
  <c r="HV18" i="20"/>
  <c r="L18" i="6"/>
  <c r="K31" i="14"/>
  <c r="M19" i="17"/>
  <c r="K16" i="18"/>
  <c r="D4" i="2"/>
  <c r="DZ3" i="20" s="1"/>
  <c r="K23" i="9"/>
  <c r="K20" i="12"/>
  <c r="K17" i="14"/>
  <c r="K10" i="18"/>
  <c r="K24" i="14"/>
  <c r="K38" i="15"/>
  <c r="M9" i="17"/>
  <c r="N6" i="17"/>
  <c r="DC43" i="20" s="1"/>
  <c r="M26" i="17"/>
  <c r="K30" i="18"/>
  <c r="L29" i="18"/>
  <c r="FJ46" i="20" s="1"/>
  <c r="J9" i="17"/>
  <c r="ER43" i="20" s="1"/>
  <c r="N22" i="7"/>
  <c r="IR22" i="20" s="1"/>
  <c r="IQ22" i="20"/>
  <c r="FK24" i="20"/>
  <c r="L24" i="8"/>
  <c r="K23" i="15"/>
  <c r="L22" i="18"/>
  <c r="AG46" i="20" s="1"/>
  <c r="K24" i="18"/>
  <c r="J12" i="19"/>
  <c r="J48" i="20" s="1"/>
  <c r="L50" i="19"/>
  <c r="FP50" i="20"/>
  <c r="C4" i="9"/>
  <c r="HU24" i="20" s="1"/>
  <c r="H12" i="19"/>
  <c r="H48" i="20" s="1"/>
  <c r="C4" i="18"/>
  <c r="GY44" i="20" s="1"/>
  <c r="J22" i="4"/>
  <c r="EW11" i="20" s="1"/>
  <c r="I24" i="14"/>
  <c r="BQ38" i="20" s="1"/>
  <c r="H22" i="4"/>
  <c r="EU11" i="20" s="1"/>
  <c r="I17" i="14"/>
  <c r="IM37" i="20" s="1"/>
  <c r="F22" i="4"/>
  <c r="ES11" i="20" s="1"/>
  <c r="L24" i="14" l="1"/>
  <c r="BT38" i="20" s="1"/>
  <c r="BS38" i="20"/>
  <c r="HW18" i="20"/>
  <c r="GC16" i="20"/>
  <c r="FC27" i="20"/>
  <c r="ET26" i="20"/>
  <c r="L23" i="15"/>
  <c r="HZ39" i="20" s="1"/>
  <c r="HY39" i="20"/>
  <c r="N26" i="17"/>
  <c r="EU44" i="20" s="1"/>
  <c r="ET44" i="20"/>
  <c r="L23" i="9"/>
  <c r="CO26" i="20" s="1"/>
  <c r="CN26" i="20"/>
  <c r="Q17" i="1"/>
  <c r="IH2" i="20" s="1"/>
  <c r="F21" i="10"/>
  <c r="HY28" i="20" s="1"/>
  <c r="IF28" i="20"/>
  <c r="G5" i="1"/>
  <c r="CJ1" i="20" s="1"/>
  <c r="M19" i="20"/>
  <c r="S19" i="1"/>
  <c r="AB3" i="20" s="1"/>
  <c r="EE47" i="20"/>
  <c r="L49" i="11"/>
  <c r="FY32" i="20" s="1"/>
  <c r="FX32" i="20"/>
  <c r="N9" i="7"/>
  <c r="DX19" i="20" s="1"/>
  <c r="DW19" i="20"/>
  <c r="M4" i="10"/>
  <c r="DS28" i="20"/>
  <c r="GZ38" i="20"/>
  <c r="O4" i="1"/>
  <c r="BX1" i="20" s="1"/>
  <c r="C54" i="2"/>
  <c r="HM4" i="20" s="1"/>
  <c r="D72" i="2"/>
  <c r="CT5" i="20" s="1"/>
  <c r="HI44" i="20"/>
  <c r="R17" i="1"/>
  <c r="II2" i="20" s="1"/>
  <c r="L38" i="15"/>
  <c r="FQ40" i="20" s="1"/>
  <c r="FP40" i="20"/>
  <c r="L20" i="12"/>
  <c r="S34" i="20" s="1"/>
  <c r="R34" i="20"/>
  <c r="FL24" i="20"/>
  <c r="AM24" i="20"/>
  <c r="L32" i="9"/>
  <c r="H27" i="20" s="1"/>
  <c r="G27" i="20"/>
  <c r="J4" i="5"/>
  <c r="DJ13" i="20" s="1"/>
  <c r="L17" i="1"/>
  <c r="IC2" i="20" s="1"/>
  <c r="K4" i="13"/>
  <c r="P35" i="20"/>
  <c r="P22" i="16"/>
  <c r="AG42" i="20" s="1"/>
  <c r="AF42" i="20"/>
  <c r="L36" i="19"/>
  <c r="CC49" i="20" s="1"/>
  <c r="CB49" i="20"/>
  <c r="L23" i="5"/>
  <c r="FD14" i="20" s="1"/>
  <c r="CI46" i="20"/>
  <c r="H24" i="18"/>
  <c r="CH46" i="20" s="1"/>
  <c r="L10" i="11"/>
  <c r="IQ30" i="20" s="1"/>
  <c r="IP30" i="20"/>
  <c r="L20" i="19"/>
  <c r="DL48" i="20" s="1"/>
  <c r="DK48" i="20"/>
  <c r="N9" i="17"/>
  <c r="EV43" i="20" s="1"/>
  <c r="EU43" i="20"/>
  <c r="L16" i="18"/>
  <c r="GL45" i="20" s="1"/>
  <c r="GK45" i="20"/>
  <c r="P13" i="1"/>
  <c r="IM40" i="20"/>
  <c r="P14" i="16"/>
  <c r="EW41" i="20" s="1"/>
  <c r="EV41" i="20"/>
  <c r="D12" i="2"/>
  <c r="GB3" i="20" s="1"/>
  <c r="DI13" i="20"/>
  <c r="L39" i="6"/>
  <c r="FT17" i="20" s="1"/>
  <c r="FS17" i="20"/>
  <c r="K4" i="5"/>
  <c r="L4" i="5" s="1"/>
  <c r="ET31" i="20"/>
  <c r="L23" i="11"/>
  <c r="EU31" i="20" s="1"/>
  <c r="N38" i="7"/>
  <c r="DV21" i="20" s="1"/>
  <c r="DU21" i="20"/>
  <c r="ES42" i="20"/>
  <c r="D29" i="16"/>
  <c r="EJ42" i="20" s="1"/>
  <c r="L44" i="19"/>
  <c r="GC49" i="20" s="1"/>
  <c r="GB49" i="20"/>
  <c r="H42" i="4"/>
  <c r="DY12" i="20" s="1"/>
  <c r="DZ12" i="20"/>
  <c r="L38" i="13"/>
  <c r="AO37" i="20" s="1"/>
  <c r="AN37" i="20"/>
  <c r="L15" i="15"/>
  <c r="EN39" i="20" s="1"/>
  <c r="EM39" i="20"/>
  <c r="P37" i="16"/>
  <c r="O43" i="20" s="1"/>
  <c r="N43" i="20"/>
  <c r="F38" i="18"/>
  <c r="BQ47" i="20" s="1"/>
  <c r="BZ47" i="20"/>
  <c r="D25" i="2"/>
  <c r="R4" i="20" s="1"/>
  <c r="AF23" i="20"/>
  <c r="FM50" i="20"/>
  <c r="A50" i="20"/>
  <c r="N31" i="7"/>
  <c r="HU20" i="20" s="1"/>
  <c r="HT20" i="20"/>
  <c r="BC37" i="20"/>
  <c r="K37" i="20"/>
  <c r="L31" i="13"/>
  <c r="FU36" i="20" s="1"/>
  <c r="FT36" i="20"/>
  <c r="D31" i="14"/>
  <c r="EY38" i="20" s="1"/>
  <c r="FD38" i="20"/>
  <c r="FK50" i="20"/>
  <c r="IU49" i="20"/>
  <c r="L12" i="13"/>
  <c r="FG35" i="20" s="1"/>
  <c r="FF35" i="20"/>
  <c r="L27" i="4"/>
  <c r="HL11" i="20" s="1"/>
  <c r="HK11" i="20"/>
  <c r="N21" i="10"/>
  <c r="II28" i="20" s="1"/>
  <c r="IH28" i="20"/>
  <c r="D60" i="2"/>
  <c r="IO40" i="20"/>
  <c r="P15" i="1"/>
  <c r="F32" i="9"/>
  <c r="IR26" i="20" s="1"/>
  <c r="E27" i="20"/>
  <c r="F5" i="1"/>
  <c r="CI1" i="20" s="1"/>
  <c r="G16" i="20"/>
  <c r="D36" i="2"/>
  <c r="DD4" i="20" s="1"/>
  <c r="GO27" i="20"/>
  <c r="L31" i="12"/>
  <c r="FS34" i="20" s="1"/>
  <c r="FR34" i="20"/>
  <c r="L20" i="13"/>
  <c r="AA36" i="20" s="1"/>
  <c r="Z36" i="20"/>
  <c r="L28" i="11"/>
  <c r="HH31" i="20" s="1"/>
  <c r="HG31" i="20"/>
  <c r="L34" i="11"/>
  <c r="Y32" i="20" s="1"/>
  <c r="X32" i="20"/>
  <c r="L38" i="18"/>
  <c r="CC47" i="20" s="1"/>
  <c r="CB47" i="20"/>
  <c r="D55" i="4"/>
  <c r="AY13" i="20" s="1"/>
  <c r="BD13" i="20"/>
  <c r="W39" i="20"/>
  <c r="L8" i="15"/>
  <c r="X39" i="20" s="1"/>
  <c r="AD23" i="20"/>
  <c r="D28" i="2"/>
  <c r="AJ4" i="20" s="1"/>
  <c r="H17" i="1"/>
  <c r="HY2" i="20" s="1"/>
  <c r="D63" i="2"/>
  <c r="Z5" i="20" s="1"/>
  <c r="IQ40" i="20"/>
  <c r="P17" i="1"/>
  <c r="IG2" i="20" s="1"/>
  <c r="F27" i="10"/>
  <c r="CA29" i="20" s="1"/>
  <c r="CH29" i="20"/>
  <c r="N19" i="17"/>
  <c r="AT44" i="20" s="1"/>
  <c r="AS44" i="20"/>
  <c r="FS50" i="20"/>
  <c r="G50" i="20"/>
  <c r="L31" i="14"/>
  <c r="FG38" i="20" s="1"/>
  <c r="FF38" i="20"/>
  <c r="L24" i="18"/>
  <c r="CL46" i="20" s="1"/>
  <c r="CK46" i="20"/>
  <c r="L17" i="14"/>
  <c r="IP37" i="20" s="1"/>
  <c r="IO37" i="20"/>
  <c r="L12" i="12"/>
  <c r="EB33" i="20" s="1"/>
  <c r="EA33" i="20"/>
  <c r="J40" i="10"/>
  <c r="AG30" i="20" s="1"/>
  <c r="L18" i="9"/>
  <c r="Q26" i="20" s="1"/>
  <c r="P26" i="20"/>
  <c r="L12" i="9"/>
  <c r="EJ25" i="20" s="1"/>
  <c r="EI25" i="20"/>
  <c r="L16" i="11"/>
  <c r="BU31" i="20" s="1"/>
  <c r="BT31" i="20"/>
  <c r="L41" i="9"/>
  <c r="EK27" i="20" s="1"/>
  <c r="EJ27" i="20"/>
  <c r="L12" i="19"/>
  <c r="L48" i="20" s="1"/>
  <c r="K48" i="20"/>
  <c r="L62" i="19"/>
  <c r="FG50" i="20" s="1"/>
  <c r="FF50" i="20"/>
  <c r="EH27" i="20"/>
  <c r="D41" i="9"/>
  <c r="DW27" i="20" s="1"/>
  <c r="F41" i="9"/>
  <c r="DY27" i="20" s="1"/>
  <c r="H41" i="9"/>
  <c r="EG27" i="20" s="1"/>
  <c r="J41" i="9"/>
  <c r="EI27" i="20" s="1"/>
  <c r="L26" i="12"/>
  <c r="CS34" i="20" s="1"/>
  <c r="CR34" i="20"/>
  <c r="D32" i="4"/>
  <c r="M12" i="20"/>
  <c r="J15" i="4"/>
  <c r="AJ11" i="20" s="1"/>
  <c r="AI11" i="20"/>
  <c r="N5" i="1"/>
  <c r="CQ1" i="20" s="1"/>
  <c r="CG37" i="20"/>
  <c r="D52" i="2"/>
  <c r="HB4" i="20" s="1"/>
  <c r="F14" i="16"/>
  <c r="EM41" i="20" s="1"/>
  <c r="ET41" i="20"/>
  <c r="L10" i="18"/>
  <c r="CB45" i="20" s="1"/>
  <c r="CA45" i="20"/>
  <c r="P29" i="16"/>
  <c r="EV42" i="20" s="1"/>
  <c r="EU42" i="20"/>
  <c r="L30" i="18"/>
  <c r="GC46" i="20" s="1"/>
  <c r="GB46" i="20"/>
  <c r="L31" i="15"/>
  <c r="BP40" i="20" s="1"/>
  <c r="BO40" i="20"/>
  <c r="D10" i="2"/>
  <c r="FP3" i="20" s="1"/>
  <c r="EL10" i="20"/>
  <c r="D22" i="4"/>
  <c r="EQ11" i="20" s="1"/>
  <c r="EV11" i="20"/>
  <c r="EY24" i="20"/>
  <c r="L33" i="8"/>
  <c r="EZ24" i="20" s="1"/>
  <c r="D26" i="2"/>
  <c r="X4" i="20" s="1"/>
  <c r="AB23" i="20"/>
  <c r="AD42" i="20"/>
  <c r="F22" i="16"/>
  <c r="W42" i="20" s="1"/>
  <c r="C4" i="1"/>
  <c r="BL1" i="20" s="1"/>
  <c r="C3" i="2"/>
  <c r="DS3" i="20" s="1"/>
  <c r="D21" i="2"/>
  <c r="IP3" i="20" s="1"/>
  <c r="H55" i="4"/>
  <c r="BC13" i="20" s="1"/>
  <c r="C69" i="2"/>
  <c r="BI5" i="20" s="1"/>
  <c r="R4" i="1"/>
  <c r="CA1" i="20" s="1"/>
  <c r="D31" i="2"/>
  <c r="BN4" i="20" s="1"/>
  <c r="I7" i="1"/>
  <c r="DZ1" i="20" s="1"/>
  <c r="C8" i="2"/>
  <c r="FC3" i="20" s="1"/>
  <c r="D4" i="1"/>
  <c r="BM1" i="20" s="1"/>
  <c r="K4" i="6"/>
  <c r="O16" i="20" s="1"/>
  <c r="L9" i="6"/>
  <c r="CC16" i="20" s="1"/>
  <c r="D51" i="2"/>
  <c r="GV4" i="20" s="1"/>
  <c r="N7" i="1"/>
  <c r="EE1" i="20" s="1"/>
  <c r="N4" i="1"/>
  <c r="BW1" i="20" s="1"/>
  <c r="C50" i="2"/>
  <c r="GO4" i="20" s="1"/>
  <c r="K4" i="7"/>
  <c r="W19" i="20" s="1"/>
  <c r="H21" i="10"/>
  <c r="IA28" i="20" s="1"/>
  <c r="S4" i="1"/>
  <c r="CB1" i="20" s="1"/>
  <c r="C73" i="2"/>
  <c r="CY5" i="20" s="1"/>
  <c r="C20" i="2"/>
  <c r="IC3" i="20" s="1"/>
  <c r="G4" i="1"/>
  <c r="BP1" i="20" s="1"/>
  <c r="L4" i="1"/>
  <c r="BU1" i="20" s="1"/>
  <c r="C42" i="2"/>
  <c r="EM4" i="20" s="1"/>
  <c r="C11" i="1"/>
  <c r="B11" i="1" s="1"/>
  <c r="D6" i="2"/>
  <c r="ER3" i="20" s="1"/>
  <c r="D5" i="2"/>
  <c r="C7" i="1"/>
  <c r="DT1" i="20" s="1"/>
  <c r="D75" i="2"/>
  <c r="DL5" i="20" s="1"/>
  <c r="S5" i="1"/>
  <c r="CV1" i="20" s="1"/>
  <c r="L21" i="10"/>
  <c r="IG28" i="20" s="1"/>
  <c r="J4" i="1"/>
  <c r="BS1" i="20" s="1"/>
  <c r="C33" i="2"/>
  <c r="CE4" i="20" s="1"/>
  <c r="J7" i="1"/>
  <c r="EA1" i="20" s="1"/>
  <c r="D35" i="2"/>
  <c r="CX4" i="20" s="1"/>
  <c r="C16" i="2"/>
  <c r="HE3" i="20" s="1"/>
  <c r="F4" i="1"/>
  <c r="BO1" i="20" s="1"/>
  <c r="J4" i="6"/>
  <c r="N16" i="20" s="1"/>
  <c r="D12" i="9"/>
  <c r="DV25" i="20" s="1"/>
  <c r="H12" i="9"/>
  <c r="EF25" i="20" s="1"/>
  <c r="C58" i="2"/>
  <c r="IQ4" i="20" s="1"/>
  <c r="P4" i="1"/>
  <c r="BY1" i="20" s="1"/>
  <c r="M4" i="7"/>
  <c r="D73" i="2"/>
  <c r="CZ5" i="20" s="1"/>
  <c r="J21" i="10"/>
  <c r="IE28" i="20" s="1"/>
  <c r="C12" i="2"/>
  <c r="GA3" i="20" s="1"/>
  <c r="E4" i="1"/>
  <c r="BN1" i="20" s="1"/>
  <c r="D7" i="2"/>
  <c r="EX3" i="20" s="1"/>
  <c r="C17" i="1"/>
  <c r="HT2" i="20" s="1"/>
  <c r="D16" i="2"/>
  <c r="HF3" i="20" s="1"/>
  <c r="F19" i="1"/>
  <c r="O3" i="20" s="1"/>
  <c r="C64" i="2"/>
  <c r="AE5" i="20" s="1"/>
  <c r="Q4" i="1"/>
  <c r="BZ1" i="20" s="1"/>
  <c r="M5" i="1"/>
  <c r="CP1" i="20" s="1"/>
  <c r="D47" i="2"/>
  <c r="FR4" i="20" s="1"/>
  <c r="F50" i="7"/>
  <c r="CC22" i="20" s="1"/>
  <c r="J50" i="7"/>
  <c r="CI22" i="20" s="1"/>
  <c r="D50" i="7"/>
  <c r="CA22" i="20" s="1"/>
  <c r="L50" i="7"/>
  <c r="CK22" i="20" s="1"/>
  <c r="D48" i="2"/>
  <c r="FX4" i="20" s="1"/>
  <c r="M7" i="1"/>
  <c r="ED1" i="20" s="1"/>
  <c r="D70" i="2"/>
  <c r="BV5" i="20" s="1"/>
  <c r="R7" i="1"/>
  <c r="EI1" i="20" s="1"/>
  <c r="J27" i="4"/>
  <c r="HJ11" i="20" s="1"/>
  <c r="D27" i="4"/>
  <c r="HD11" i="20" s="1"/>
  <c r="K4" i="19"/>
  <c r="EG47" i="20" s="1"/>
  <c r="N4" i="10"/>
  <c r="H4" i="19"/>
  <c r="J55" i="4"/>
  <c r="BE13" i="20" s="1"/>
  <c r="K4" i="3"/>
  <c r="GS5" i="20" s="1"/>
  <c r="C5" i="1"/>
  <c r="CF1" i="20" s="1"/>
  <c r="K4" i="1"/>
  <c r="BT1" i="20" s="1"/>
  <c r="C38" i="2"/>
  <c r="DO4" i="20" s="1"/>
  <c r="G17" i="1"/>
  <c r="HX2" i="20" s="1"/>
  <c r="D24" i="2"/>
  <c r="L4" i="20" s="1"/>
  <c r="G7" i="1"/>
  <c r="DX1" i="20" s="1"/>
  <c r="D23" i="2"/>
  <c r="F4" i="20" s="1"/>
  <c r="F7" i="1"/>
  <c r="DW1" i="20" s="1"/>
  <c r="D17" i="2"/>
  <c r="HL3" i="20" s="1"/>
  <c r="G13" i="1"/>
  <c r="D74" i="2"/>
  <c r="DF5" i="20" s="1"/>
  <c r="S7" i="1"/>
  <c r="EJ1" i="20" s="1"/>
  <c r="C46" i="2"/>
  <c r="FK4" i="20" s="1"/>
  <c r="J4" i="13"/>
  <c r="Z35" i="20" s="1"/>
  <c r="M4" i="1"/>
  <c r="BV1" i="20" s="1"/>
  <c r="J4" i="19"/>
  <c r="F4" i="19"/>
  <c r="EB47" i="20" s="1"/>
  <c r="H27" i="4"/>
  <c r="HH11" i="20" s="1"/>
  <c r="J31" i="14"/>
  <c r="FE38" i="20" s="1"/>
  <c r="H31" i="14"/>
  <c r="FC38" i="20" s="1"/>
  <c r="F31" i="14"/>
  <c r="FA38" i="20" s="1"/>
  <c r="D76" i="2"/>
  <c r="DR5" i="20" s="1"/>
  <c r="S17" i="1"/>
  <c r="IJ2" i="20" s="1"/>
  <c r="D4" i="13"/>
  <c r="R35" i="20" s="1"/>
  <c r="F4" i="13"/>
  <c r="T35" i="20" s="1"/>
  <c r="M19" i="1"/>
  <c r="V3" i="20" s="1"/>
  <c r="D46" i="2"/>
  <c r="FL4" i="20" s="1"/>
  <c r="D65" i="2"/>
  <c r="AL5" i="20" s="1"/>
  <c r="Q13" i="1"/>
  <c r="L37" i="16"/>
  <c r="K43" i="20" s="1"/>
  <c r="N37" i="16"/>
  <c r="M43" i="20" s="1"/>
  <c r="H37" i="16"/>
  <c r="G43" i="20" s="1"/>
  <c r="J37" i="16"/>
  <c r="I43" i="20" s="1"/>
  <c r="D30" i="2"/>
  <c r="BH4" i="20" s="1"/>
  <c r="I5" i="1"/>
  <c r="CL1" i="20" s="1"/>
  <c r="D56" i="2"/>
  <c r="HZ4" i="20" s="1"/>
  <c r="O7" i="1"/>
  <c r="EF1" i="20" s="1"/>
  <c r="E17" i="2"/>
  <c r="HM3" i="20" s="1"/>
  <c r="F8" i="1"/>
  <c r="EQ1" i="20" s="1"/>
  <c r="D57" i="2"/>
  <c r="IL4" i="20" s="1"/>
  <c r="O17" i="1"/>
  <c r="IF2" i="20" s="1"/>
  <c r="S6" i="1"/>
  <c r="DP1" i="20" s="1"/>
  <c r="E75" i="2"/>
  <c r="DM5" i="20" s="1"/>
  <c r="L22" i="4"/>
  <c r="EY11" i="20" s="1"/>
  <c r="K4" i="4"/>
  <c r="ET10" i="20" s="1"/>
  <c r="D9" i="2"/>
  <c r="FJ3" i="20" s="1"/>
  <c r="D7" i="1"/>
  <c r="DU1" i="20" s="1"/>
  <c r="D16" i="20"/>
  <c r="E18" i="2"/>
  <c r="HS3" i="20" s="1"/>
  <c r="F6" i="1"/>
  <c r="DC1" i="20" s="1"/>
  <c r="H4" i="13"/>
  <c r="X35" i="20" s="1"/>
  <c r="D49" i="2"/>
  <c r="GJ4" i="20" s="1"/>
  <c r="M17" i="1"/>
  <c r="ID2" i="20" s="1"/>
  <c r="N17" i="1"/>
  <c r="D53" i="2"/>
  <c r="HH4" i="20" s="1"/>
  <c r="D4" i="17"/>
  <c r="BO43" i="20" s="1"/>
  <c r="F4" i="17"/>
  <c r="BQ43" i="20" s="1"/>
  <c r="J4" i="17"/>
  <c r="BU43" i="20" s="1"/>
  <c r="M4" i="17"/>
  <c r="BX43" i="20" s="1"/>
  <c r="H4" i="17"/>
  <c r="BS43" i="20" s="1"/>
  <c r="Q19" i="1"/>
  <c r="Z3" i="20" s="1"/>
  <c r="D64" i="2"/>
  <c r="AF5" i="20" s="1"/>
  <c r="M4" i="3"/>
  <c r="K4" i="9"/>
  <c r="II24" i="20" s="1"/>
  <c r="H4" i="11"/>
  <c r="EZ30" i="20" s="1"/>
  <c r="K4" i="11"/>
  <c r="FC30" i="20" s="1"/>
  <c r="F4" i="11"/>
  <c r="EX30" i="20" s="1"/>
  <c r="J4" i="11"/>
  <c r="FB30" i="20" s="1"/>
  <c r="D38" i="2"/>
  <c r="DP4" i="20" s="1"/>
  <c r="D4" i="11"/>
  <c r="EV30" i="20" s="1"/>
  <c r="K19" i="1"/>
  <c r="T3" i="20" s="1"/>
  <c r="E27" i="2"/>
  <c r="AE4" i="20" s="1"/>
  <c r="H6" i="1"/>
  <c r="DE1" i="20" s="1"/>
  <c r="J4" i="7"/>
  <c r="V19" i="20" s="1"/>
  <c r="D4" i="7"/>
  <c r="N19" i="20" s="1"/>
  <c r="D20" i="2"/>
  <c r="ID3" i="20" s="1"/>
  <c r="H4" i="7"/>
  <c r="L4" i="7"/>
  <c r="X19" i="20" s="1"/>
  <c r="F4" i="7"/>
  <c r="P19" i="20" s="1"/>
  <c r="G19" i="1"/>
  <c r="P3" i="20" s="1"/>
  <c r="E13" i="2"/>
  <c r="GO3" i="20" s="1"/>
  <c r="E8" i="1"/>
  <c r="EP1" i="20" s="1"/>
  <c r="E14" i="2"/>
  <c r="GU3" i="20" s="1"/>
  <c r="E6" i="1"/>
  <c r="DB1" i="20" s="1"/>
  <c r="F18" i="1"/>
  <c r="IQ2" i="20" s="1"/>
  <c r="E19" i="2"/>
  <c r="HY3" i="20" s="1"/>
  <c r="D44" i="2"/>
  <c r="EZ4" i="20" s="1"/>
  <c r="L7" i="1"/>
  <c r="EC1" i="20" s="1"/>
  <c r="E12" i="2"/>
  <c r="GC3" i="20" s="1"/>
  <c r="E20" i="1"/>
  <c r="AH3" i="20" s="1"/>
  <c r="E26" i="2"/>
  <c r="Y4" i="20" s="1"/>
  <c r="H8" i="1"/>
  <c r="ES1" i="20" s="1"/>
  <c r="H20" i="1"/>
  <c r="AK3" i="20" s="1"/>
  <c r="E25" i="2"/>
  <c r="S4" i="20" s="1"/>
  <c r="L4" i="8"/>
  <c r="H21" i="1"/>
  <c r="BE3" i="20" s="1"/>
  <c r="I4" i="14"/>
  <c r="CM37" i="20" s="1"/>
  <c r="F17" i="14"/>
  <c r="IJ37" i="20" s="1"/>
  <c r="H17" i="14"/>
  <c r="IL37" i="20" s="1"/>
  <c r="D17" i="14"/>
  <c r="IH37" i="20" s="1"/>
  <c r="J17" i="14"/>
  <c r="IN37" i="20" s="1"/>
  <c r="F24" i="14"/>
  <c r="BN38" i="20" s="1"/>
  <c r="H24" i="14"/>
  <c r="BP38" i="20" s="1"/>
  <c r="D24" i="14"/>
  <c r="BL38" i="20" s="1"/>
  <c r="J24" i="14"/>
  <c r="BR38" i="20" s="1"/>
  <c r="P7" i="1"/>
  <c r="EG1" i="20" s="1"/>
  <c r="D62" i="2"/>
  <c r="T5" i="20" s="1"/>
  <c r="K4" i="12"/>
  <c r="AA33" i="20" s="1"/>
  <c r="D4" i="12"/>
  <c r="L19" i="1"/>
  <c r="U3" i="20" s="1"/>
  <c r="H4" i="12"/>
  <c r="X33" i="20" s="1"/>
  <c r="J4" i="12"/>
  <c r="F4" i="12"/>
  <c r="V33" i="20" s="1"/>
  <c r="D42" i="2"/>
  <c r="EN4" i="20" s="1"/>
  <c r="F10" i="4"/>
  <c r="IB10" i="20" s="1"/>
  <c r="I4" i="4"/>
  <c r="ER10" i="20" s="1"/>
  <c r="J10" i="4"/>
  <c r="IF10" i="20" s="1"/>
  <c r="H10" i="4"/>
  <c r="ID10" i="20" s="1"/>
  <c r="D10" i="4"/>
  <c r="HZ10" i="20" s="1"/>
  <c r="K5" i="1"/>
  <c r="CN1" i="20" s="1"/>
  <c r="D40" i="2"/>
  <c r="EB4" i="20" s="1"/>
  <c r="D4" i="10"/>
  <c r="GP27" i="20" s="1"/>
  <c r="H4" i="10"/>
  <c r="GT27" i="20" s="1"/>
  <c r="D33" i="2"/>
  <c r="CF4" i="20" s="1"/>
  <c r="J4" i="10"/>
  <c r="GX27" i="20" s="1"/>
  <c r="F4" i="10"/>
  <c r="GR27" i="20" s="1"/>
  <c r="L4" i="10"/>
  <c r="GZ27" i="20" s="1"/>
  <c r="J19" i="1"/>
  <c r="S3" i="20" s="1"/>
  <c r="E15" i="2"/>
  <c r="HA3" i="20" s="1"/>
  <c r="E18" i="1"/>
  <c r="IP2" i="20" s="1"/>
  <c r="D55" i="2"/>
  <c r="HT4" i="20" s="1"/>
  <c r="O5" i="1"/>
  <c r="CR1" i="20" s="1"/>
  <c r="I4" i="18"/>
  <c r="HK44" i="20" s="1"/>
  <c r="R5" i="1"/>
  <c r="CU1" i="20" s="1"/>
  <c r="D71" i="2"/>
  <c r="CN5" i="20" s="1"/>
  <c r="E64" i="2"/>
  <c r="AG5" i="20" s="1"/>
  <c r="Q20" i="1"/>
  <c r="AT3" i="20" s="1"/>
  <c r="L4" i="13"/>
  <c r="D4" i="9"/>
  <c r="HV24" i="20" s="1"/>
  <c r="I19" i="1"/>
  <c r="F4" i="9"/>
  <c r="HX24" i="20" s="1"/>
  <c r="J4" i="9"/>
  <c r="IH24" i="20" s="1"/>
  <c r="H4" i="9"/>
  <c r="IF24" i="20" s="1"/>
  <c r="D29" i="2"/>
  <c r="AP4" i="20" s="1"/>
  <c r="D59" i="2"/>
  <c r="B5" i="20" s="1"/>
  <c r="B9" i="1"/>
  <c r="FG1" i="20" s="1"/>
  <c r="H18" i="1"/>
  <c r="IS2" i="20" s="1"/>
  <c r="E28" i="2"/>
  <c r="AK4" i="20" s="1"/>
  <c r="H4" i="15"/>
  <c r="HH38" i="20" s="1"/>
  <c r="F4" i="15"/>
  <c r="HD38" i="20" s="1"/>
  <c r="J4" i="15"/>
  <c r="HJ38" i="20" s="1"/>
  <c r="K4" i="15"/>
  <c r="HK38" i="20" s="1"/>
  <c r="O19" i="1"/>
  <c r="X3" i="20" s="1"/>
  <c r="D54" i="2"/>
  <c r="HN4" i="20" s="1"/>
  <c r="D4" i="15"/>
  <c r="HB38" i="20" s="1"/>
  <c r="M4" i="16"/>
  <c r="IS40" i="20" s="1"/>
  <c r="E22" i="1" l="1"/>
  <c r="BV3" i="20" s="1"/>
  <c r="DL13" i="20"/>
  <c r="I3" i="20"/>
  <c r="R3" i="20"/>
  <c r="E74" i="2"/>
  <c r="DG5" i="20" s="1"/>
  <c r="B17" i="1"/>
  <c r="HS2" i="20" s="1"/>
  <c r="IE2" i="20"/>
  <c r="E76" i="2"/>
  <c r="DS5" i="20" s="1"/>
  <c r="ED47" i="20"/>
  <c r="S8" i="1"/>
  <c r="FD1" i="20" s="1"/>
  <c r="L6" i="1"/>
  <c r="DI1" i="20" s="1"/>
  <c r="T33" i="20"/>
  <c r="G14" i="1"/>
  <c r="AZ2" i="20" s="1"/>
  <c r="R19" i="20"/>
  <c r="J22" i="1"/>
  <c r="CA3" i="20" s="1"/>
  <c r="HB27" i="20"/>
  <c r="N4" i="7"/>
  <c r="Y19" i="20"/>
  <c r="EC5" i="20"/>
  <c r="EF3" i="20"/>
  <c r="M22" i="1"/>
  <c r="CD3" i="20" s="1"/>
  <c r="AB35" i="20"/>
  <c r="B15" i="1"/>
  <c r="GE2" i="20" s="1"/>
  <c r="GS2" i="20"/>
  <c r="DK13" i="20"/>
  <c r="E21" i="1"/>
  <c r="BB3" i="20" s="1"/>
  <c r="D5" i="20"/>
  <c r="H5" i="20"/>
  <c r="M21" i="1"/>
  <c r="BJ3" i="20" s="1"/>
  <c r="AA35" i="20"/>
  <c r="L20" i="1"/>
  <c r="AO3" i="20" s="1"/>
  <c r="Z33" i="20"/>
  <c r="E73" i="2"/>
  <c r="DA5" i="20" s="1"/>
  <c r="EF47" i="20"/>
  <c r="D12" i="20"/>
  <c r="H12" i="20"/>
  <c r="H22" i="1"/>
  <c r="BY3" i="20" s="1"/>
  <c r="AI23" i="20"/>
  <c r="J21" i="1"/>
  <c r="BG3" i="20" s="1"/>
  <c r="HA27" i="20"/>
  <c r="E47" i="2"/>
  <c r="FS4" i="20" s="1"/>
  <c r="M6" i="1"/>
  <c r="DJ1" i="20" s="1"/>
  <c r="E34" i="2"/>
  <c r="CM4" i="20" s="1"/>
  <c r="J10" i="1"/>
  <c r="GI1" i="20" s="1"/>
  <c r="F4" i="3"/>
  <c r="GJ5" i="20" s="1"/>
  <c r="C19" i="1"/>
  <c r="L3" i="20" s="1"/>
  <c r="J4" i="3"/>
  <c r="GR5" i="20" s="1"/>
  <c r="D4" i="3"/>
  <c r="GH5" i="20" s="1"/>
  <c r="H4" i="3"/>
  <c r="GL5" i="20" s="1"/>
  <c r="E16" i="2"/>
  <c r="HG3" i="20" s="1"/>
  <c r="F20" i="1"/>
  <c r="AI3" i="20" s="1"/>
  <c r="S18" i="1"/>
  <c r="H3" i="20" s="1"/>
  <c r="E65" i="2"/>
  <c r="AM5" i="20" s="1"/>
  <c r="Q14" i="1"/>
  <c r="BJ2" i="20" s="1"/>
  <c r="M20" i="1"/>
  <c r="AP3" i="20" s="1"/>
  <c r="E46" i="2"/>
  <c r="FM4" i="20" s="1"/>
  <c r="S20" i="1"/>
  <c r="AV3" i="20" s="1"/>
  <c r="S21" i="1"/>
  <c r="BP3" i="20" s="1"/>
  <c r="L4" i="19"/>
  <c r="L4" i="6"/>
  <c r="F21" i="1"/>
  <c r="BC3" i="20" s="1"/>
  <c r="G21" i="1"/>
  <c r="BD3" i="20" s="1"/>
  <c r="C77" i="2"/>
  <c r="DW5" i="20" s="1"/>
  <c r="N4" i="3"/>
  <c r="C22" i="1" s="1"/>
  <c r="BT3" i="20" s="1"/>
  <c r="C21" i="1"/>
  <c r="AZ3" i="20" s="1"/>
  <c r="E48" i="2"/>
  <c r="FY4" i="20" s="1"/>
  <c r="M8" i="1"/>
  <c r="EX1" i="20" s="1"/>
  <c r="B13" i="1"/>
  <c r="L4" i="3"/>
  <c r="B4" i="1"/>
  <c r="BK1" i="20" s="1"/>
  <c r="B5" i="1"/>
  <c r="CE1" i="20" s="1"/>
  <c r="E30" i="2"/>
  <c r="BI4" i="20" s="1"/>
  <c r="I6" i="1"/>
  <c r="DF1" i="20" s="1"/>
  <c r="D4" i="18"/>
  <c r="GZ44" i="20" s="1"/>
  <c r="F4" i="18"/>
  <c r="HB44" i="20" s="1"/>
  <c r="H4" i="18"/>
  <c r="HJ44" i="20" s="1"/>
  <c r="D69" i="2"/>
  <c r="BJ5" i="20" s="1"/>
  <c r="R19" i="1"/>
  <c r="AA3" i="20" s="1"/>
  <c r="J4" i="18"/>
  <c r="HL44" i="20" s="1"/>
  <c r="K4" i="18"/>
  <c r="HM44" i="20" s="1"/>
  <c r="E44" i="2"/>
  <c r="FA4" i="20" s="1"/>
  <c r="L8" i="1"/>
  <c r="EW1" i="20" s="1"/>
  <c r="E42" i="2"/>
  <c r="EO4" i="20" s="1"/>
  <c r="E38" i="2"/>
  <c r="DQ4" i="20" s="1"/>
  <c r="K20" i="1"/>
  <c r="AN3" i="20" s="1"/>
  <c r="L4" i="4"/>
  <c r="D21" i="1"/>
  <c r="BA3" i="20" s="1"/>
  <c r="E21" i="2"/>
  <c r="IQ3" i="20" s="1"/>
  <c r="G6" i="1"/>
  <c r="DD1" i="20" s="1"/>
  <c r="E33" i="2"/>
  <c r="CG4" i="20" s="1"/>
  <c r="J20" i="1"/>
  <c r="AM3" i="20" s="1"/>
  <c r="J19" i="20"/>
  <c r="E24" i="2"/>
  <c r="M4" i="20" s="1"/>
  <c r="G18" i="1"/>
  <c r="IR2" i="20" s="1"/>
  <c r="L4" i="11"/>
  <c r="K21" i="1"/>
  <c r="BH3" i="20" s="1"/>
  <c r="Q18" i="1"/>
  <c r="F3" i="20" s="1"/>
  <c r="E68" i="2"/>
  <c r="BE5" i="20" s="1"/>
  <c r="E45" i="2"/>
  <c r="FG4" i="20" s="1"/>
  <c r="L18" i="1"/>
  <c r="A3" i="20" s="1"/>
  <c r="L4" i="15"/>
  <c r="O21" i="1"/>
  <c r="BL3" i="20" s="1"/>
  <c r="E35" i="2"/>
  <c r="CY4" i="20" s="1"/>
  <c r="J8" i="1"/>
  <c r="EU1" i="20" s="1"/>
  <c r="K18" i="1"/>
  <c r="IV2" i="20" s="1"/>
  <c r="E41" i="2"/>
  <c r="EI4" i="20" s="1"/>
  <c r="E66" i="2"/>
  <c r="AS5" i="20" s="1"/>
  <c r="Q8" i="1"/>
  <c r="FB1" i="20" s="1"/>
  <c r="N4" i="17"/>
  <c r="Q21" i="1"/>
  <c r="BN3" i="20" s="1"/>
  <c r="E54" i="2"/>
  <c r="HO4" i="20" s="1"/>
  <c r="O20" i="1"/>
  <c r="AR3" i="20" s="1"/>
  <c r="E37" i="2"/>
  <c r="DK4" i="20" s="1"/>
  <c r="J18" i="1"/>
  <c r="IU2" i="20" s="1"/>
  <c r="L4" i="9"/>
  <c r="I21" i="1"/>
  <c r="BF3" i="20" s="1"/>
  <c r="E67" i="2"/>
  <c r="AY5" i="20" s="1"/>
  <c r="Q6" i="1"/>
  <c r="DN1" i="20" s="1"/>
  <c r="E55" i="2"/>
  <c r="HU4" i="20" s="1"/>
  <c r="O6" i="1"/>
  <c r="DL1" i="20" s="1"/>
  <c r="E39" i="2"/>
  <c r="DW4" i="20" s="1"/>
  <c r="K8" i="1"/>
  <c r="EV1" i="20" s="1"/>
  <c r="E32" i="2"/>
  <c r="CA4" i="20" s="1"/>
  <c r="I18" i="1"/>
  <c r="IT2" i="20" s="1"/>
  <c r="O8" i="1"/>
  <c r="EZ1" i="20" s="1"/>
  <c r="E56" i="2"/>
  <c r="IA4" i="20" s="1"/>
  <c r="J4" i="4"/>
  <c r="ES10" i="20" s="1"/>
  <c r="H4" i="4"/>
  <c r="EQ10" i="20" s="1"/>
  <c r="D19" i="1"/>
  <c r="M3" i="20" s="1"/>
  <c r="D4" i="4"/>
  <c r="EM10" i="20" s="1"/>
  <c r="L4" i="12"/>
  <c r="L21" i="1"/>
  <c r="BI3" i="20" s="1"/>
  <c r="E23" i="2"/>
  <c r="G4" i="20" s="1"/>
  <c r="G8" i="1"/>
  <c r="ER1" i="20" s="1"/>
  <c r="B7" i="1"/>
  <c r="DS1" i="20" s="1"/>
  <c r="J4" i="16"/>
  <c r="IP40" i="20" s="1"/>
  <c r="N4" i="16"/>
  <c r="IT40" i="20" s="1"/>
  <c r="D58" i="2"/>
  <c r="IR4" i="20" s="1"/>
  <c r="O4" i="16"/>
  <c r="IU40" i="20" s="1"/>
  <c r="F4" i="16"/>
  <c r="IL40" i="20" s="1"/>
  <c r="H4" i="16"/>
  <c r="L4" i="16"/>
  <c r="IR40" i="20" s="1"/>
  <c r="P19" i="1"/>
  <c r="Y3" i="20" s="1"/>
  <c r="D4" i="16"/>
  <c r="IJ40" i="20" s="1"/>
  <c r="E29" i="2"/>
  <c r="AQ4" i="20" s="1"/>
  <c r="I20" i="1"/>
  <c r="AL3" i="20" s="1"/>
  <c r="E57" i="2"/>
  <c r="IM4" i="20" s="1"/>
  <c r="O18" i="1"/>
  <c r="D3" i="20" s="1"/>
  <c r="E31" i="2"/>
  <c r="BO4" i="20" s="1"/>
  <c r="I8" i="1"/>
  <c r="ET1" i="20" s="1"/>
  <c r="G20" i="1"/>
  <c r="AJ3" i="20" s="1"/>
  <c r="E20" i="2"/>
  <c r="IE3" i="20" s="1"/>
  <c r="E40" i="2"/>
  <c r="EC4" i="20" s="1"/>
  <c r="E43" i="2"/>
  <c r="EU4" i="20" s="1"/>
  <c r="K6" i="1"/>
  <c r="DH1" i="20" s="1"/>
  <c r="F4" i="4"/>
  <c r="EO10" i="20" s="1"/>
  <c r="D50" i="2"/>
  <c r="J4" i="14"/>
  <c r="CN37" i="20" s="1"/>
  <c r="F4" i="14"/>
  <c r="CJ37" i="20" s="1"/>
  <c r="N19" i="1"/>
  <c r="W3" i="20" s="1"/>
  <c r="D4" i="14"/>
  <c r="CH37" i="20" s="1"/>
  <c r="H4" i="14"/>
  <c r="CL37" i="20" s="1"/>
  <c r="K4" i="14"/>
  <c r="CO37" i="20" s="1"/>
  <c r="E49" i="2"/>
  <c r="GK4" i="20" s="1"/>
  <c r="M18" i="1"/>
  <c r="B3" i="20" s="1"/>
  <c r="J6" i="1"/>
  <c r="DG1" i="20" s="1"/>
  <c r="E36" i="2"/>
  <c r="DE4" i="20" s="1"/>
  <c r="G22" i="1" l="1"/>
  <c r="BX3" i="20" s="1"/>
  <c r="Z19" i="20"/>
  <c r="D77" i="2"/>
  <c r="GP4" i="20"/>
  <c r="O22" i="1"/>
  <c r="CF3" i="20" s="1"/>
  <c r="HL38" i="20"/>
  <c r="I22" i="1"/>
  <c r="BZ3" i="20" s="1"/>
  <c r="IJ24" i="20"/>
  <c r="K22" i="1"/>
  <c r="CB3" i="20" s="1"/>
  <c r="FD30" i="20"/>
  <c r="L22" i="1"/>
  <c r="CC3" i="20" s="1"/>
  <c r="AB33" i="20"/>
  <c r="D22" i="1"/>
  <c r="BU3" i="20" s="1"/>
  <c r="EU10" i="20"/>
  <c r="C20" i="1"/>
  <c r="AF3" i="20" s="1"/>
  <c r="GT5" i="20"/>
  <c r="Q22" i="1"/>
  <c r="CH3" i="20" s="1"/>
  <c r="BY43" i="20"/>
  <c r="F22" i="1"/>
  <c r="BW3" i="20" s="1"/>
  <c r="P16" i="20"/>
  <c r="S22" i="1"/>
  <c r="CJ3" i="20" s="1"/>
  <c r="EH47" i="20"/>
  <c r="P14" i="1"/>
  <c r="BI2" i="20" s="1"/>
  <c r="IN40" i="20"/>
  <c r="E4" i="2"/>
  <c r="EA3" i="20" s="1"/>
  <c r="C6" i="1"/>
  <c r="CZ1" i="20" s="1"/>
  <c r="C18" i="1"/>
  <c r="IN2" i="20" s="1"/>
  <c r="E3" i="2"/>
  <c r="DU3" i="20" s="1"/>
  <c r="E7" i="2"/>
  <c r="EY3" i="20" s="1"/>
  <c r="E5" i="2"/>
  <c r="C8" i="1"/>
  <c r="EN1" i="20" s="1"/>
  <c r="E6" i="2"/>
  <c r="ES3" i="20" s="1"/>
  <c r="C12" i="1"/>
  <c r="E59" i="2"/>
  <c r="C5" i="20" s="1"/>
  <c r="L4" i="14"/>
  <c r="N21" i="1"/>
  <c r="BK3" i="20" s="1"/>
  <c r="P4" i="16"/>
  <c r="P21" i="1"/>
  <c r="E72" i="2"/>
  <c r="CU5" i="20" s="1"/>
  <c r="R18" i="1"/>
  <c r="G3" i="20" s="1"/>
  <c r="E69" i="2"/>
  <c r="BK5" i="20" s="1"/>
  <c r="R20" i="1"/>
  <c r="AU3" i="20" s="1"/>
  <c r="E9" i="2"/>
  <c r="FK3" i="20" s="1"/>
  <c r="D8" i="1"/>
  <c r="EO1" i="20" s="1"/>
  <c r="E10" i="2"/>
  <c r="FQ3" i="20" s="1"/>
  <c r="D6" i="1"/>
  <c r="DA1" i="20" s="1"/>
  <c r="E70" i="2"/>
  <c r="BW5" i="20" s="1"/>
  <c r="R8" i="1"/>
  <c r="FC1" i="20" s="1"/>
  <c r="N20" i="1"/>
  <c r="AQ3" i="20" s="1"/>
  <c r="E50" i="2"/>
  <c r="GQ4" i="20" s="1"/>
  <c r="E62" i="2"/>
  <c r="U5" i="20" s="1"/>
  <c r="P8" i="1"/>
  <c r="FA1" i="20" s="1"/>
  <c r="B19" i="1"/>
  <c r="K3" i="20" s="1"/>
  <c r="R6" i="1"/>
  <c r="DO1" i="20" s="1"/>
  <c r="E71" i="2"/>
  <c r="CO5" i="20" s="1"/>
  <c r="P18" i="1"/>
  <c r="E3" i="20" s="1"/>
  <c r="E63" i="2"/>
  <c r="AA5" i="20" s="1"/>
  <c r="E52" i="2"/>
  <c r="HC4" i="20" s="1"/>
  <c r="N6" i="1"/>
  <c r="DK1" i="20" s="1"/>
  <c r="E58" i="2"/>
  <c r="IS4" i="20" s="1"/>
  <c r="P20" i="1"/>
  <c r="AS3" i="20" s="1"/>
  <c r="E61" i="2"/>
  <c r="O5" i="20" s="1"/>
  <c r="P6" i="1"/>
  <c r="DM1" i="20" s="1"/>
  <c r="E60" i="2"/>
  <c r="I5" i="20" s="1"/>
  <c r="P16" i="1"/>
  <c r="HM2" i="20" s="1"/>
  <c r="E11" i="2"/>
  <c r="FW3" i="20" s="1"/>
  <c r="D18" i="1"/>
  <c r="IO2" i="20" s="1"/>
  <c r="N18" i="1"/>
  <c r="C3" i="20" s="1"/>
  <c r="E53" i="2"/>
  <c r="HI4" i="20" s="1"/>
  <c r="E51" i="2"/>
  <c r="GW4" i="20" s="1"/>
  <c r="N8" i="1"/>
  <c r="EY1" i="20" s="1"/>
  <c r="D20" i="1"/>
  <c r="AG3" i="20" s="1"/>
  <c r="E8" i="2"/>
  <c r="FE3" i="20" s="1"/>
  <c r="R21" i="1"/>
  <c r="BO3" i="20" s="1"/>
  <c r="L4" i="18"/>
  <c r="N22" i="1" l="1"/>
  <c r="CE3" i="20" s="1"/>
  <c r="CP37" i="20"/>
  <c r="B14" i="1"/>
  <c r="AU2" i="20" s="1"/>
  <c r="R22" i="1"/>
  <c r="CI3" i="20" s="1"/>
  <c r="HN44" i="20"/>
  <c r="E77" i="2"/>
  <c r="DY5" i="20" s="1"/>
  <c r="DX5" i="20"/>
  <c r="B21" i="1"/>
  <c r="BM3" i="20"/>
  <c r="P22" i="1"/>
  <c r="CG3" i="20" s="1"/>
  <c r="IV40" i="20"/>
  <c r="ED5" i="20"/>
  <c r="EG3" i="20"/>
  <c r="B16" i="1"/>
  <c r="GY2" i="20" s="1"/>
  <c r="B12" i="1"/>
  <c r="B6" i="1"/>
  <c r="CY1" i="20" s="1"/>
  <c r="B10" i="1"/>
  <c r="GA1" i="20" s="1"/>
  <c r="B8" i="1"/>
  <c r="EM1" i="20" s="1"/>
  <c r="B18" i="1"/>
  <c r="IM2" i="20" s="1"/>
  <c r="B20" i="1"/>
  <c r="AE3" i="20" s="1"/>
  <c r="B22" i="1" l="1"/>
  <c r="BS3" i="20" s="1"/>
  <c r="AY3" i="20"/>
</calcChain>
</file>

<file path=xl/sharedStrings.xml><?xml version="1.0" encoding="utf-8"?>
<sst xmlns="http://schemas.openxmlformats.org/spreadsheetml/2006/main" count="1255" uniqueCount="572">
  <si>
    <t>Electoral Districts</t>
  </si>
  <si>
    <t>Total</t>
  </si>
  <si>
    <t>Gros Islet</t>
  </si>
  <si>
    <t>Babonneau</t>
  </si>
  <si>
    <t>Castries</t>
  </si>
  <si>
    <t>Anse-La-Raye</t>
  </si>
  <si>
    <t>Soufriere</t>
  </si>
  <si>
    <t>Choiseul</t>
  </si>
  <si>
    <t>Laborie</t>
  </si>
  <si>
    <t>Vieux Fort</t>
  </si>
  <si>
    <t>Micoud</t>
  </si>
  <si>
    <t>Dennery</t>
  </si>
  <si>
    <t>North</t>
  </si>
  <si>
    <t>East</t>
  </si>
  <si>
    <t>Central</t>
  </si>
  <si>
    <t>South</t>
  </si>
  <si>
    <t>Canaries</t>
  </si>
  <si>
    <t>South-East</t>
  </si>
  <si>
    <t>No. of Electors</t>
  </si>
  <si>
    <t>SLP Votes</t>
  </si>
  <si>
    <t>SLP %</t>
  </si>
  <si>
    <t>UWP Votes</t>
  </si>
  <si>
    <t>UWP %</t>
  </si>
  <si>
    <t>LG Votes</t>
  </si>
  <si>
    <t>LG %</t>
  </si>
  <si>
    <t>INDEPENDENTS %</t>
  </si>
  <si>
    <t>Compton-Antoine J #</t>
  </si>
  <si>
    <t>Compton-Antoine J %</t>
  </si>
  <si>
    <t>Rejected Votes</t>
  </si>
  <si>
    <t>Rejected %</t>
  </si>
  <si>
    <t>Votes Cast</t>
  </si>
  <si>
    <t>Votes Cast %</t>
  </si>
  <si>
    <t>Votes Not Cast</t>
  </si>
  <si>
    <t>Votes Not Cast %</t>
  </si>
  <si>
    <t>District / Party</t>
  </si>
  <si>
    <t>Candidate</t>
  </si>
  <si>
    <t>No. of Votes</t>
  </si>
  <si>
    <t>%</t>
  </si>
  <si>
    <t>A</t>
  </si>
  <si>
    <t>GROS ISLET</t>
  </si>
  <si>
    <t>SLP</t>
  </si>
  <si>
    <t>Saint Lucia Labour Party</t>
  </si>
  <si>
    <t>HIPPOLYTE, EMMA</t>
  </si>
  <si>
    <t>UWP</t>
  </si>
  <si>
    <t>United Workers Party</t>
  </si>
  <si>
    <t>MONTOUTE, LENARD SPIDER</t>
  </si>
  <si>
    <t>LPM</t>
  </si>
  <si>
    <t>Lucian People’s Movement</t>
  </si>
  <si>
    <t>PRUDENT, THEROLD RENE WILLERD</t>
  </si>
  <si>
    <t>Rejected Ballots</t>
  </si>
  <si>
    <t>B</t>
  </si>
  <si>
    <t>BABONNEAU</t>
  </si>
  <si>
    <t>JOSEPH, EZECHIEL</t>
  </si>
  <si>
    <t>REYNOLDS, ALVINA BERTRAM</t>
  </si>
  <si>
    <t>C</t>
  </si>
  <si>
    <t>CASTRIES NORTH</t>
  </si>
  <si>
    <t>KING, STEPHENSON</t>
  </si>
  <si>
    <t>D</t>
  </si>
  <si>
    <t>CASTRIES EAST</t>
  </si>
  <si>
    <t>PIERRE, PHILIP JOSEPH</t>
  </si>
  <si>
    <t>E</t>
  </si>
  <si>
    <t>CASTRIES CENTRAL</t>
  </si>
  <si>
    <t>FELIX, STANLEY</t>
  </si>
  <si>
    <t>LG</t>
  </si>
  <si>
    <t>F</t>
  </si>
  <si>
    <t>CASTRIES SOUTH</t>
  </si>
  <si>
    <t>G</t>
  </si>
  <si>
    <t>ANSE LA RAYE/CANARIES</t>
  </si>
  <si>
    <t>INDP</t>
  </si>
  <si>
    <t>Independent</t>
  </si>
  <si>
    <t>H</t>
  </si>
  <si>
    <t>SOUFRIERE</t>
  </si>
  <si>
    <t>DALSON, HAROLD N.</t>
  </si>
  <si>
    <t>I</t>
  </si>
  <si>
    <t>CHOISEUL</t>
  </si>
  <si>
    <t>THEOPHILUS, LORNE DANQUAH COX</t>
  </si>
  <si>
    <t>J</t>
  </si>
  <si>
    <t>LABORIE</t>
  </si>
  <si>
    <t>BAPTISTE, ALVA ROMANUS</t>
  </si>
  <si>
    <t>K</t>
  </si>
  <si>
    <t>VIEUX FORT SOUTH</t>
  </si>
  <si>
    <t>ANTHONY, KENNY D.</t>
  </si>
  <si>
    <t>L</t>
  </si>
  <si>
    <t>VIEUX FORT NORTH</t>
  </si>
  <si>
    <t>JN. BAPTISTE, MOSES</t>
  </si>
  <si>
    <t>M</t>
  </si>
  <si>
    <t>MICOUD SOUTH</t>
  </si>
  <si>
    <t>N</t>
  </si>
  <si>
    <t>MICOUD NORTH</t>
  </si>
  <si>
    <t>ALEXANDER, MC DONALD</t>
  </si>
  <si>
    <t>COMPTON-ANTOINE, JEANNINE</t>
  </si>
  <si>
    <t>RIGOBERT, GALE T. C.</t>
  </si>
  <si>
    <t>O</t>
  </si>
  <si>
    <t>DENNERY SOUTH</t>
  </si>
  <si>
    <t>ESTEPHANE, EDMUND</t>
  </si>
  <si>
    <t>P</t>
  </si>
  <si>
    <t>DENNERY NORTH</t>
  </si>
  <si>
    <t>EDWARD, SHAWN ANDREY</t>
  </si>
  <si>
    <t>Q</t>
  </si>
  <si>
    <t>CASTRIES SOUTH EAST</t>
  </si>
  <si>
    <t>JOSEPH, GUY EARDLEY</t>
  </si>
  <si>
    <t>Total Electors</t>
  </si>
  <si>
    <t>A - GROS ISLET</t>
  </si>
  <si>
    <t>Candidates</t>
  </si>
  <si>
    <t>E. HIPPOLYTE</t>
  </si>
  <si>
    <t>L. MONTOUTE</t>
  </si>
  <si>
    <t>T. PRUDENT</t>
  </si>
  <si>
    <t>Rejected</t>
  </si>
  <si>
    <t>Not Cast</t>
  </si>
  <si>
    <t>A1 (a)</t>
  </si>
  <si>
    <t>GROS ISLET PRIMARY SCHOOL</t>
  </si>
  <si>
    <t>A-B</t>
  </si>
  <si>
    <t>C-D</t>
  </si>
  <si>
    <t>E-F</t>
  </si>
  <si>
    <t>G-I</t>
  </si>
  <si>
    <t>J-K</t>
  </si>
  <si>
    <t>L-M</t>
  </si>
  <si>
    <t>N-R</t>
  </si>
  <si>
    <t>S</t>
  </si>
  <si>
    <t>T-Z</t>
  </si>
  <si>
    <t>Sub</t>
  </si>
  <si>
    <t>A1 (b)</t>
  </si>
  <si>
    <t>GROS ISLET SECONDARY SCHOOL</t>
  </si>
  <si>
    <t>S-Z</t>
  </si>
  <si>
    <t xml:space="preserve">A1 (C) </t>
  </si>
  <si>
    <t>A-D</t>
  </si>
  <si>
    <t>M-R</t>
  </si>
  <si>
    <t>A1 (D)</t>
  </si>
  <si>
    <t>A-Z</t>
  </si>
  <si>
    <t>A2 (a)</t>
  </si>
  <si>
    <t>MONCHY COMBINED SCHOOL</t>
  </si>
  <si>
    <t>C-E</t>
  </si>
  <si>
    <t>F-J</t>
  </si>
  <si>
    <t>K-O</t>
  </si>
  <si>
    <t>P-Z</t>
  </si>
  <si>
    <t>A2 (b)</t>
  </si>
  <si>
    <t>A-C</t>
  </si>
  <si>
    <t>D-F</t>
  </si>
  <si>
    <t>G-K</t>
  </si>
  <si>
    <t>L-O</t>
  </si>
  <si>
    <t>A3</t>
  </si>
  <si>
    <t>GRANDE RIVIERE PRIMARY SCHOOL</t>
  </si>
  <si>
    <t>B-C</t>
  </si>
  <si>
    <t>D-E</t>
  </si>
  <si>
    <t>F-H</t>
  </si>
  <si>
    <t>Q-Z</t>
  </si>
  <si>
    <t>A4</t>
  </si>
  <si>
    <t>CORINTH SECONDARY SCHOOL</t>
  </si>
  <si>
    <t>B - BABONNEAU</t>
  </si>
  <si>
    <t>A. REYNOLDS</t>
  </si>
  <si>
    <t>E. JOSEPH</t>
  </si>
  <si>
    <t>B1 (a)</t>
  </si>
  <si>
    <t>BALATA COMBINED SCHOOL</t>
  </si>
  <si>
    <t>M-P</t>
  </si>
  <si>
    <t>B1 (b)</t>
  </si>
  <si>
    <t>BABONNEAU PRIMARY SCHOOL</t>
  </si>
  <si>
    <t>A-F</t>
  </si>
  <si>
    <t>B2 (a)</t>
  </si>
  <si>
    <t>B2 (b)</t>
  </si>
  <si>
    <t>B3</t>
  </si>
  <si>
    <t>BOGUIS COMBINED SCHOOL</t>
  </si>
  <si>
    <t>A-I</t>
  </si>
  <si>
    <t>J-Z</t>
  </si>
  <si>
    <t>B4</t>
  </si>
  <si>
    <t>DES BARRA COMBINED SCHOOL</t>
  </si>
  <si>
    <t>B5 (a)</t>
  </si>
  <si>
    <t>FOND ASSAU COMBINED SCHOOL</t>
  </si>
  <si>
    <t>D-G</t>
  </si>
  <si>
    <t>K-R</t>
  </si>
  <si>
    <t>B5 (b)</t>
  </si>
  <si>
    <t>GARRAND MOTHERS &amp; FATHERS HALL</t>
  </si>
  <si>
    <t>B6 (a)</t>
  </si>
  <si>
    <t>BABONNEAU SECONDARY SCHOOL</t>
  </si>
  <si>
    <t>R-Z</t>
  </si>
  <si>
    <t>C - CASTRIES NORTH</t>
  </si>
  <si>
    <t>S. KING</t>
  </si>
  <si>
    <t>C1</t>
  </si>
  <si>
    <t>CASTRIES COMPREHENSIVE SCHOOL</t>
  </si>
  <si>
    <t>E-G</t>
  </si>
  <si>
    <t>C2</t>
  </si>
  <si>
    <t>VIDE BOUTEILLE SECONDARY SCHOOL</t>
  </si>
  <si>
    <t>C3</t>
  </si>
  <si>
    <t>N-Z</t>
  </si>
  <si>
    <t>C4</t>
  </si>
  <si>
    <t>C5</t>
  </si>
  <si>
    <t>ST.JOSEPH’S CONVENT PRE-SCHOOL</t>
  </si>
  <si>
    <t>L-Z</t>
  </si>
  <si>
    <t>D - CASTRIES EAST</t>
  </si>
  <si>
    <t>P. PIERRE</t>
  </si>
  <si>
    <t>D1</t>
  </si>
  <si>
    <t>BOCAGE GOVERNMENT SCHOOL</t>
  </si>
  <si>
    <t>A-E</t>
  </si>
  <si>
    <t>F-L</t>
  </si>
  <si>
    <t>M-Z</t>
  </si>
  <si>
    <t>D2</t>
  </si>
  <si>
    <t>ENTREPOT SECONDARY SCHOOL</t>
  </si>
  <si>
    <t>F-G</t>
  </si>
  <si>
    <t>D3</t>
  </si>
  <si>
    <t>MARCHAND COMBINED SCHOOL</t>
  </si>
  <si>
    <t>MARCHAND PARISH CENTRE</t>
  </si>
  <si>
    <t>M-O</t>
  </si>
  <si>
    <t>P-R</t>
  </si>
  <si>
    <t>D5 (a)</t>
  </si>
  <si>
    <t>MINDOO PHILLIP PARK</t>
  </si>
  <si>
    <t>J-L</t>
  </si>
  <si>
    <t>D5 (b)</t>
  </si>
  <si>
    <t>CADET PAVILLION</t>
  </si>
  <si>
    <t>D6</t>
  </si>
  <si>
    <t>POLICE AUDITORIUM</t>
  </si>
  <si>
    <t>E - CASTRIES CENTRAL</t>
  </si>
  <si>
    <t>S. FELIX</t>
  </si>
  <si>
    <t>E1</t>
  </si>
  <si>
    <t>CARMEN RENE MEMORIAL SCHOOL</t>
  </si>
  <si>
    <t>E2</t>
  </si>
  <si>
    <t>ANGLICAN INFANT SCHOOL</t>
  </si>
  <si>
    <t>H-K</t>
  </si>
  <si>
    <t>R.C.BOYS PRIMARY SCHOOL</t>
  </si>
  <si>
    <t>R.C. BOYS INFANT SCHOOL</t>
  </si>
  <si>
    <t>AVE MARIA PRIMARY SCHOOL</t>
  </si>
  <si>
    <t>E5 (b)</t>
  </si>
  <si>
    <t>AVE MARIA INFANT SCHOOL</t>
  </si>
  <si>
    <t>N-Q</t>
  </si>
  <si>
    <t>F-I</t>
  </si>
  <si>
    <t>F - CASTRIES SOUTH</t>
  </si>
  <si>
    <t>F1</t>
  </si>
  <si>
    <t>SLASPA FERRY TERMINAL</t>
  </si>
  <si>
    <t>F2</t>
  </si>
  <si>
    <t>CICERON COMBINED SCHOOL</t>
  </si>
  <si>
    <t>F3</t>
  </si>
  <si>
    <t>LA CROIX MAINGOT (HESS SCHOOL)</t>
  </si>
  <si>
    <t>E-I</t>
  </si>
  <si>
    <t>G - ANSE LA RAYE/CANARIES</t>
  </si>
  <si>
    <t>G1</t>
  </si>
  <si>
    <t>ROSEAU COMBINED SCHOOL</t>
  </si>
  <si>
    <t>G2 (a)</t>
  </si>
  <si>
    <t>MILLET PRIMARY SCHOOL</t>
  </si>
  <si>
    <t>L-P</t>
  </si>
  <si>
    <t>G2 (b)</t>
  </si>
  <si>
    <t>CHRISTIAN FAITH ASSEMBLY, VANARD</t>
  </si>
  <si>
    <t>G3</t>
  </si>
  <si>
    <t>ANSE LA RAYE PRIMARY SCHOOL</t>
  </si>
  <si>
    <t>G4</t>
  </si>
  <si>
    <t>CANARIES PRIMARY SCHOOL</t>
  </si>
  <si>
    <t>I-K</t>
  </si>
  <si>
    <t>H - SOUFRIERE</t>
  </si>
  <si>
    <t>H. DALSON</t>
  </si>
  <si>
    <t>H1</t>
  </si>
  <si>
    <t>SOUFRIERE PRIMARY SCHOOL</t>
  </si>
  <si>
    <t>H2</t>
  </si>
  <si>
    <t>SOUFRIERE INFANT SCHOOL</t>
  </si>
  <si>
    <t>H3</t>
  </si>
  <si>
    <t>H4</t>
  </si>
  <si>
    <t>K-Z</t>
  </si>
  <si>
    <t>H5</t>
  </si>
  <si>
    <t>BOUTON COMBINED SCHOOL</t>
  </si>
  <si>
    <t>H6</t>
  </si>
  <si>
    <t>FOND ST. JACQUES PRIMARY SCHOOL (A)</t>
  </si>
  <si>
    <t>H7</t>
  </si>
  <si>
    <t>FOND ST. JACQUES PRIMARY SCHOOL (B)</t>
  </si>
  <si>
    <t>I - CHOISEUL</t>
  </si>
  <si>
    <t>L. THEOPHILUS</t>
  </si>
  <si>
    <t>I1</t>
  </si>
  <si>
    <t>DELCER COMBINED SCHOOL</t>
  </si>
  <si>
    <t>I2</t>
  </si>
  <si>
    <t>MONGOUGE INFANT SCHOOL</t>
  </si>
  <si>
    <t xml:space="preserve">A-E </t>
  </si>
  <si>
    <t>I3</t>
  </si>
  <si>
    <t>CHOISEUL SECONDARY SCHOOL</t>
  </si>
  <si>
    <t>J-M</t>
  </si>
  <si>
    <t>I4</t>
  </si>
  <si>
    <t>DACRETIN COMMUNITY CENTRE</t>
  </si>
  <si>
    <t>I5</t>
  </si>
  <si>
    <t>ROBLOT COMBINED SCHOOL</t>
  </si>
  <si>
    <t>I6</t>
  </si>
  <si>
    <t>DUGARD COMBINED SCHOOL</t>
  </si>
  <si>
    <t>I7</t>
  </si>
  <si>
    <t>HANG OUT BAR, JETRINE</t>
  </si>
  <si>
    <t>I8</t>
  </si>
  <si>
    <t>SALTIBUS COMBINED SCHOOL</t>
  </si>
  <si>
    <t>G-R</t>
  </si>
  <si>
    <t>I9</t>
  </si>
  <si>
    <t>PIAYE COMBINED SCHOOL</t>
  </si>
  <si>
    <t>A-J</t>
  </si>
  <si>
    <t>J - LABORIE</t>
  </si>
  <si>
    <t>A. BAPTISTE</t>
  </si>
  <si>
    <t>J1</t>
  </si>
  <si>
    <t>AUGIER COMBINED SCHOOL</t>
  </si>
  <si>
    <t>J2</t>
  </si>
  <si>
    <t>LABORIE BOYS SCHOOL</t>
  </si>
  <si>
    <t>J3</t>
  </si>
  <si>
    <t>LABORIE GIRLS PRIMARY SCHOOL</t>
  </si>
  <si>
    <t>J4</t>
  </si>
  <si>
    <t>LA GRACE COMBINED SCHOOL</t>
  </si>
  <si>
    <t>J5</t>
  </si>
  <si>
    <t>TEASER’S DANCE HALL (BANSE)</t>
  </si>
  <si>
    <t>K - Vieux Fort South</t>
  </si>
  <si>
    <t>K. ANTHONY</t>
  </si>
  <si>
    <t>K1</t>
  </si>
  <si>
    <t>VIEUX FORT PRIMARY SCHOOL</t>
  </si>
  <si>
    <t>M-Q</t>
  </si>
  <si>
    <t>K2</t>
  </si>
  <si>
    <t>VIEUX FORT INFANT SCHOOL</t>
  </si>
  <si>
    <t>K3</t>
  </si>
  <si>
    <t>PLAIN VIEW COMBINED SCHOOL</t>
  </si>
  <si>
    <t>K4</t>
  </si>
  <si>
    <t>VIEUX FORT SECONDARY CAMPUS B</t>
  </si>
  <si>
    <t>L - VIEUX FORT NORTH</t>
  </si>
  <si>
    <t>M. JN. BAPTISTE</t>
  </si>
  <si>
    <t>L1</t>
  </si>
  <si>
    <t>VIGIER COMBINED SCHOOL</t>
  </si>
  <si>
    <t xml:space="preserve">A-Z </t>
  </si>
  <si>
    <t>L2</t>
  </si>
  <si>
    <t>PIERROT COMBINED SCHOOL</t>
  </si>
  <si>
    <t>L3</t>
  </si>
  <si>
    <t>BELLE VUE COMBINED SCHOOL</t>
  </si>
  <si>
    <t>J-O</t>
  </si>
  <si>
    <t>L4</t>
  </si>
  <si>
    <t>GRACE COMBINED SCHOOL</t>
  </si>
  <si>
    <t>M - MICOUD SOUTH</t>
  </si>
  <si>
    <t>M1</t>
  </si>
  <si>
    <t>DUGARD COMMUNITY CENTRE</t>
  </si>
  <si>
    <t>M2 (a)</t>
  </si>
  <si>
    <t>TI ROCHER COMMUNITY CENTRE</t>
  </si>
  <si>
    <t>M2 (b)</t>
  </si>
  <si>
    <t>LA COUR VILLE COMMUNITY CENTRE</t>
  </si>
  <si>
    <t>M3 (a)</t>
  </si>
  <si>
    <t>ANSE GER SECONDARY SCHOOL</t>
  </si>
  <si>
    <t>A-G</t>
  </si>
  <si>
    <t xml:space="preserve">M3 (b) </t>
  </si>
  <si>
    <t>BLANCHARD COMBINED SCHOOL</t>
  </si>
  <si>
    <t>F-K</t>
  </si>
  <si>
    <t xml:space="preserve">M3 (c) </t>
  </si>
  <si>
    <t>DESRUISSEAUX COMBINED SCHOOL</t>
  </si>
  <si>
    <t>N - MICOUD NORTH</t>
  </si>
  <si>
    <t>G. RIGOBERT</t>
  </si>
  <si>
    <t>M. ALEXANDER</t>
  </si>
  <si>
    <t>N1</t>
  </si>
  <si>
    <t>N2</t>
  </si>
  <si>
    <t>MON REPOS COMBINED SCHOOL</t>
  </si>
  <si>
    <t>D-I</t>
  </si>
  <si>
    <t>N3</t>
  </si>
  <si>
    <t>PATIENCE COMBINED SCHOOL</t>
  </si>
  <si>
    <t>N4</t>
  </si>
  <si>
    <t>MICOUD INFANT SCHOOL</t>
  </si>
  <si>
    <t>G-J</t>
  </si>
  <si>
    <t>N5</t>
  </si>
  <si>
    <t>MICOUD SECONDARY SCHOOL</t>
  </si>
  <si>
    <t xml:space="preserve">A-C </t>
  </si>
  <si>
    <t>O - DENNERY SOUTH</t>
  </si>
  <si>
    <t>E. ESTEPHANE</t>
  </si>
  <si>
    <t>O1</t>
  </si>
  <si>
    <t>LA CAYE DAY CARE CENTRE</t>
  </si>
  <si>
    <t>O2</t>
  </si>
  <si>
    <t>DENNERY INFANT SCHOOL</t>
  </si>
  <si>
    <t>O3</t>
  </si>
  <si>
    <t>DENNERY SECONDARY SCHOOL</t>
  </si>
  <si>
    <t>K-Q</t>
  </si>
  <si>
    <t>P - Dennery North</t>
  </si>
  <si>
    <t>S. EDWARD</t>
  </si>
  <si>
    <t>P1</t>
  </si>
  <si>
    <t>GRANDE RIVIERE SECONDARY SCHOOL</t>
  </si>
  <si>
    <t>P2</t>
  </si>
  <si>
    <t>RICHFOND INFANT SCHOOL</t>
  </si>
  <si>
    <t>P3</t>
  </si>
  <si>
    <t>DERNIERE RIVIERE COMBINED SCHOOL</t>
  </si>
  <si>
    <t>P4</t>
  </si>
  <si>
    <t>LA RESSOURCE COMBINED SCHOOL</t>
  </si>
  <si>
    <t>P5</t>
  </si>
  <si>
    <t>AU LEON COMBINED SCHOOL</t>
  </si>
  <si>
    <t>Q - CASTRIES SOUTH EAST</t>
  </si>
  <si>
    <t>G. JOSEPH</t>
  </si>
  <si>
    <t>Q1</t>
  </si>
  <si>
    <t>SIR ARTHUR LEWIS COMMUNITY COLLEGE</t>
  </si>
  <si>
    <t>Q2</t>
  </si>
  <si>
    <t>TI ROCHER COMBINED SCHOOL</t>
  </si>
  <si>
    <t>Q3</t>
  </si>
  <si>
    <t>BEXON PRIMARY SCHOOL</t>
  </si>
  <si>
    <t>Q4</t>
  </si>
  <si>
    <t>RAVINE POISSON SDA SCHOOL</t>
  </si>
  <si>
    <t>Q5</t>
  </si>
  <si>
    <t>BEXON INFANT SCHOOL</t>
  </si>
  <si>
    <t>Q6 (a)</t>
  </si>
  <si>
    <t>LA CROIX MAINGOT (HESS) SCHOOL</t>
  </si>
  <si>
    <t>Q6 (b)</t>
  </si>
  <si>
    <t>BELAIR COMMUNITY CENTRE</t>
  </si>
  <si>
    <t>Q7</t>
  </si>
  <si>
    <t>ODSAN COMBINED SCHOOL</t>
  </si>
  <si>
    <t>AAAAAHvPp68=</t>
  </si>
  <si>
    <t>G-JN</t>
  </si>
  <si>
    <t>JO-L</t>
  </si>
  <si>
    <t>DARREN SAMMY STADIUM (BEAUSEJOUR)</t>
  </si>
  <si>
    <t>SAINT LUCIA GENERAL ELECTIONS 2016</t>
  </si>
  <si>
    <t>INDEP</t>
  </si>
  <si>
    <t>Lucian Green Party</t>
  </si>
  <si>
    <t>JAMES TIMOTHY BRIAN</t>
  </si>
  <si>
    <t>LA GUERRE COMBINED SCHOOL</t>
  </si>
  <si>
    <t>LA GUERRE  COMMUNITY CENTRE</t>
  </si>
  <si>
    <t>H-JOY</t>
  </si>
  <si>
    <t>B6 (b)</t>
  </si>
  <si>
    <t>BABONNEAU MULTI PURPOSE CENTRE</t>
  </si>
  <si>
    <t>JUL-L</t>
  </si>
  <si>
    <t>S. CHARLERY</t>
  </si>
  <si>
    <t>A-CHAR</t>
  </si>
  <si>
    <t>CHAS-E</t>
  </si>
  <si>
    <t>F-JN</t>
  </si>
  <si>
    <t>JO-ME</t>
  </si>
  <si>
    <t>MI-R</t>
  </si>
  <si>
    <t>A-BO</t>
  </si>
  <si>
    <t>BR-DA</t>
  </si>
  <si>
    <t>DE-FO</t>
  </si>
  <si>
    <t>FR-JI</t>
  </si>
  <si>
    <t>JN-LE</t>
  </si>
  <si>
    <t>LI-O</t>
  </si>
  <si>
    <t>P-SM</t>
  </si>
  <si>
    <t>NS-Z</t>
  </si>
  <si>
    <t>ANGLICAN PRIMARY SCHOOL</t>
  </si>
  <si>
    <t>MORNE DU DON COMBINED SCHOOL</t>
  </si>
  <si>
    <t>A-CHAN</t>
  </si>
  <si>
    <t>CHAR-E</t>
  </si>
  <si>
    <t>P-SI</t>
  </si>
  <si>
    <t>SK-Z</t>
  </si>
  <si>
    <t>FLOOD-BEAUBRUN,SARAH</t>
  </si>
  <si>
    <t>BELROSE ,FORTUNA CATHLINA</t>
  </si>
  <si>
    <t>CHARLERY, STEPHEN JOHN</t>
  </si>
  <si>
    <t>ISAAC, MARY ISELLA</t>
  </si>
  <si>
    <t>HILAIRE ERNEST</t>
  </si>
  <si>
    <t xml:space="preserve">VICTORIN, SATURINUS JOHN </t>
  </si>
  <si>
    <t xml:space="preserve">FEDEE, DOMINIC FRANCIS </t>
  </si>
  <si>
    <t xml:space="preserve"> GAJADHAR, SIMON DAVID </t>
  </si>
  <si>
    <t>STANISLAS, HEROD ADRIAN</t>
  </si>
  <si>
    <t>FELIX, JOHN BRADLEY</t>
  </si>
  <si>
    <t>JEAN PIERRE, FRANCISCO</t>
  </si>
  <si>
    <t>MONDESIR, ULRIC</t>
  </si>
  <si>
    <t>AMBROSE, PRINCE</t>
  </si>
  <si>
    <t>CHASTANET, ALLEN MICHAEL</t>
  </si>
  <si>
    <t xml:space="preserve">FERDINAND, GUIBION </t>
  </si>
  <si>
    <t>INDEPENDENT</t>
  </si>
  <si>
    <t>ROSERIE, HEBERT</t>
  </si>
  <si>
    <t>CELESTIN, CALEB</t>
  </si>
  <si>
    <t>GEDEON, JEROME</t>
  </si>
  <si>
    <t>JIMMY, HENRY</t>
  </si>
  <si>
    <t>HENRY, JOACHIM</t>
  </si>
  <si>
    <t>F. BELROSE</t>
  </si>
  <si>
    <t>H-M</t>
  </si>
  <si>
    <t>L-MAY</t>
  </si>
  <si>
    <t>MC-P</t>
  </si>
  <si>
    <t>Q-STA</t>
  </si>
  <si>
    <t>STE-Z</t>
  </si>
  <si>
    <t xml:space="preserve">D4 </t>
  </si>
  <si>
    <t>H-JN</t>
  </si>
  <si>
    <t>JOH-L</t>
  </si>
  <si>
    <t>P-SP</t>
  </si>
  <si>
    <t>ST-Z</t>
  </si>
  <si>
    <t>JOHNSONS, CENTRE RODNEY BAY</t>
  </si>
  <si>
    <t>LP</t>
  </si>
  <si>
    <t>I-JON</t>
  </si>
  <si>
    <t>JOR-K</t>
  </si>
  <si>
    <t>N-PL</t>
  </si>
  <si>
    <t>PO-S</t>
  </si>
  <si>
    <t>B-CH</t>
  </si>
  <si>
    <t>CI-D</t>
  </si>
  <si>
    <t>E-FO</t>
  </si>
  <si>
    <t>FR-HE</t>
  </si>
  <si>
    <t>HI-JOR</t>
  </si>
  <si>
    <t>JOS-L</t>
  </si>
  <si>
    <t>R-ST.J</t>
  </si>
  <si>
    <t>ST.L-Z</t>
  </si>
  <si>
    <t>S.FLOOD-BEAUBURN</t>
  </si>
  <si>
    <t>T.JAMES</t>
  </si>
  <si>
    <t>L-R</t>
  </si>
  <si>
    <t xml:space="preserve">E3 </t>
  </si>
  <si>
    <t xml:space="preserve">E4 </t>
  </si>
  <si>
    <t>L-Q</t>
  </si>
  <si>
    <t>E5(a)</t>
  </si>
  <si>
    <t>A-CI</t>
  </si>
  <si>
    <t>CL-E</t>
  </si>
  <si>
    <t xml:space="preserve">E5 </t>
  </si>
  <si>
    <t>METHODIST PARISH HALL</t>
  </si>
  <si>
    <t>H. HILAIRE</t>
  </si>
  <si>
    <t>M.ISAAC</t>
  </si>
  <si>
    <t>H-JOR</t>
  </si>
  <si>
    <t>K-MO</t>
  </si>
  <si>
    <t>MU-R</t>
  </si>
  <si>
    <t>D.FEDEE</t>
  </si>
  <si>
    <t>S.VICTORIN</t>
  </si>
  <si>
    <t>G-JOR</t>
  </si>
  <si>
    <t>JOS-O</t>
  </si>
  <si>
    <t>P-SO</t>
  </si>
  <si>
    <t>H-JOH</t>
  </si>
  <si>
    <t>JON-L</t>
  </si>
  <si>
    <t>C-G</t>
  </si>
  <si>
    <t>SO-Z</t>
  </si>
  <si>
    <t>S. GAJADHAR</t>
  </si>
  <si>
    <t>H. STANISLAS</t>
  </si>
  <si>
    <t>ST. ISIDORE'S HALL</t>
  </si>
  <si>
    <t>ETANGS COMBINED SCHOOL</t>
  </si>
  <si>
    <t>A-JN</t>
  </si>
  <si>
    <t>JO-Z</t>
  </si>
  <si>
    <t>S-Q</t>
  </si>
  <si>
    <t>J. FELIX</t>
  </si>
  <si>
    <t>G-M</t>
  </si>
  <si>
    <t>F. JN. PIERRE</t>
  </si>
  <si>
    <t>H-L</t>
  </si>
  <si>
    <t>A-K</t>
  </si>
  <si>
    <t>U. MONDESIR</t>
  </si>
  <si>
    <t>P-Q</t>
  </si>
  <si>
    <t>G-JI</t>
  </si>
  <si>
    <t>JN-L</t>
  </si>
  <si>
    <t>JO-N</t>
  </si>
  <si>
    <t>O-Z</t>
  </si>
  <si>
    <t>P. AMBROSE</t>
  </si>
  <si>
    <t>A-CE</t>
  </si>
  <si>
    <t>CH-D</t>
  </si>
  <si>
    <t>A-CH</t>
  </si>
  <si>
    <t>CL-I</t>
  </si>
  <si>
    <t>G. FERDINAND</t>
  </si>
  <si>
    <t>A. CHASTANET</t>
  </si>
  <si>
    <t>H. ROSERIE</t>
  </si>
  <si>
    <t>J. COMPTON-ANTOINE</t>
  </si>
  <si>
    <t>G. JEROME</t>
  </si>
  <si>
    <t>C. CELESTIN</t>
  </si>
  <si>
    <t>INDEP.</t>
  </si>
  <si>
    <t>J. HENERY</t>
  </si>
  <si>
    <t>J. HENRY</t>
  </si>
  <si>
    <t>C-I</t>
  </si>
  <si>
    <t>J-N</t>
  </si>
  <si>
    <t>J-MA</t>
  </si>
  <si>
    <t>MC-SP</t>
  </si>
  <si>
    <t>K-PA</t>
  </si>
  <si>
    <t>PE-Z</t>
  </si>
  <si>
    <t>PRASLIN COMMUNITY CENTRE</t>
  </si>
  <si>
    <t>JO-M</t>
  </si>
  <si>
    <t>N-SM</t>
  </si>
  <si>
    <t>H-MA</t>
  </si>
  <si>
    <t>MC-R</t>
  </si>
  <si>
    <t>H-MO</t>
  </si>
  <si>
    <t>MY-Z</t>
  </si>
  <si>
    <t>E-JON</t>
  </si>
  <si>
    <t>JOS-Z</t>
  </si>
  <si>
    <t>D-FO</t>
  </si>
  <si>
    <t>FR-JOH</t>
  </si>
  <si>
    <t>JOS-P</t>
  </si>
  <si>
    <t>Police</t>
  </si>
  <si>
    <t xml:space="preserve">Police </t>
  </si>
  <si>
    <t>CHAS-FE</t>
  </si>
  <si>
    <t>FI-JON</t>
  </si>
  <si>
    <t>Descrepancy in the total votes cast.</t>
  </si>
  <si>
    <t xml:space="preserve">The reason for the descrepancy is that the formula used to calculate the votes cast for </t>
  </si>
  <si>
    <t xml:space="preserve">INDEPENDENTS </t>
  </si>
  <si>
    <t>LPM %</t>
  </si>
  <si>
    <t>Votes Cast for LPM is missing from the summary which also makes a difference in the calculation of the toal votes cast</t>
  </si>
  <si>
    <t>In Micoud North it shows two independent candidates, including Compton-Antoine however date for the other independent was enter for LG, not that it matters much, but consistency is important.</t>
  </si>
  <si>
    <t>37377 + 46422 + 16 + 151 + 24 + 787 + 2091 = 86868</t>
  </si>
  <si>
    <t>Note the 75787 shown in the original table</t>
  </si>
  <si>
    <t>The votes not cast for Gros-Islet is incorrect due to the wrong field being reference.</t>
  </si>
  <si>
    <t>Gros-Islet was A_Gros_Islet!I4 but it should have been A_Gros_Islet!K4, as well as the percentage</t>
  </si>
  <si>
    <t>than the number of registered voters. That stat is not as important as the others but it's worth mentioning.</t>
  </si>
  <si>
    <t>Once again the descrepancy can be seen in the Gros-Islet data. It appears that while the number of police voters form part of the registered voters as they should they are not included in the data for total votes cast or not cast. Total votes cast in Gros-Islet 11195 + votes not cast 9309 = 20504. However the number of electors is 20610, making a difference of 106. If you add up all the registered police it comes to 106</t>
  </si>
  <si>
    <t>So the question is did the police vote or not?</t>
  </si>
  <si>
    <t xml:space="preserve">This seems to be the case in all the districts except for </t>
  </si>
  <si>
    <t>Choiseul, where the 118 police were accounted for in the total votes cast or votes not cast</t>
  </si>
  <si>
    <t>Laborie, where the 88 police were accounted for in the total votes cast or votes not cast</t>
  </si>
  <si>
    <t>Vieux-Fort South, where the 77 police were accounted for in the total votes cast or votes not cast</t>
  </si>
  <si>
    <t>Vieux-Fort North, where the 83 police were accounted for in the total votes cast or votes not cast</t>
  </si>
  <si>
    <t>Micoud South, where the 128 police were accounted for in the total votes cast or votes not cast</t>
  </si>
  <si>
    <t>Micoud North, where the 187 police were accounted for in the total votes cast or votes not cast</t>
  </si>
  <si>
    <t>Dennery South, where the 91 police were accounted for in the total votes cast or votes not cast</t>
  </si>
  <si>
    <t>Dennery North, where the 39 police were accounted for in the total votes cast or votes not cast</t>
  </si>
  <si>
    <t>Castries South East, where the 103 police were accounted for in the total votes cast or votes not cast</t>
  </si>
  <si>
    <t>Note that although I have adjusted the summary to match the data in the individual districts, the number of votes cast plus the number of votes not cast do not match the no. of electors. 86825 + 74745 = 161570, which is less</t>
  </si>
  <si>
    <t>Adding the total police to the number of votes cast and not cast minus the descrepancies above you will get the 162222</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</si>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</sst>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rgb="FF000000"/>
      <name val="Arial"/>
      <family val="2"/>
    </font>
    <font>
      <sz val="10"/>
      <name val="Arial"/>
      <family val="2"/>
    </font>
    <font>
      <b/>
      <sz val="10"/>
      <name val="Arial"/>
      <family val="2"/>
    </font>
    <font>
      <sz val="10"/>
      <name val="Arial"/>
      <family val="2"/>
    </font>
    <font>
      <sz val="9"/>
      <name val="Arial"/>
      <family val="2"/>
    </font>
    <font>
      <b/>
      <sz val="10"/>
      <name val="Arial"/>
      <family val="2"/>
    </font>
    <font>
      <sz val="10"/>
      <name val="Arial"/>
      <family val="2"/>
    </font>
    <font>
      <sz val="9"/>
      <name val="Arial"/>
      <family val="2"/>
    </font>
    <font>
      <sz val="10"/>
      <color rgb="FF000000"/>
      <name val="Arial"/>
      <family val="2"/>
    </font>
    <font>
      <b/>
      <sz val="10"/>
      <color rgb="FF000000"/>
      <name val="Arial"/>
      <family val="2"/>
    </font>
    <font>
      <b/>
      <sz val="12"/>
      <color rgb="FF000000"/>
      <name val="Arial"/>
      <family val="2"/>
    </font>
    <font>
      <sz val="10"/>
      <color rgb="FF0000FF"/>
      <name val="Arial"/>
      <family val="2"/>
    </font>
    <font>
      <b/>
      <sz val="9"/>
      <color rgb="FF000000"/>
      <name val="Arial"/>
      <family val="2"/>
    </font>
    <font>
      <sz val="11"/>
      <color rgb="FF000000"/>
      <name val="Times New Roman"/>
      <family val="1"/>
    </font>
    <font>
      <sz val="10"/>
      <color rgb="FF1859A8"/>
      <name val="Arial"/>
      <family val="2"/>
    </font>
    <font>
      <sz val="12"/>
      <color rgb="FF000000"/>
      <name val="Arial"/>
      <family val="2"/>
    </font>
    <font>
      <b/>
      <sz val="14"/>
      <color rgb="FF000000"/>
      <name val="Arial"/>
      <family val="2"/>
    </font>
    <font>
      <sz val="9"/>
      <color rgb="FF000000"/>
      <name val="Arial"/>
      <family val="2"/>
    </font>
  </fonts>
  <fills count="11">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7030A0"/>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4"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s>
  <cellStyleXfs count="2">
    <xf numFmtId="0" fontId="0" fillId="0" borderId="0"/>
    <xf numFmtId="9" fontId="8" fillId="0" borderId="0" applyFont="0" applyFill="0" applyBorder="0" applyAlignment="0" applyProtection="0"/>
  </cellStyleXfs>
  <cellXfs count="194">
    <xf numFmtId="0" fontId="0" fillId="0" borderId="0" xfId="0" applyFont="1" applyAlignment="1">
      <alignment vertical="center"/>
    </xf>
    <xf numFmtId="0" fontId="1" fillId="0" borderId="0" xfId="0" applyFont="1" applyAlignment="1">
      <alignment vertical="center"/>
    </xf>
    <xf numFmtId="0" fontId="9" fillId="0" borderId="0" xfId="0" applyFont="1"/>
    <xf numFmtId="0" fontId="9" fillId="0" borderId="0" xfId="0" applyFont="1" applyAlignment="1">
      <alignment horizontal="center"/>
    </xf>
    <xf numFmtId="3" fontId="9" fillId="0" borderId="0" xfId="0" applyNumberFormat="1" applyFont="1"/>
    <xf numFmtId="0" fontId="0" fillId="0" borderId="0" xfId="0" applyFont="1"/>
    <xf numFmtId="3" fontId="0" fillId="0" borderId="0" xfId="0" applyNumberFormat="1" applyFont="1"/>
    <xf numFmtId="10" fontId="0" fillId="0" borderId="0" xfId="0" applyNumberFormat="1" applyFont="1"/>
    <xf numFmtId="10" fontId="9" fillId="0" borderId="0" xfId="0" applyNumberFormat="1" applyFont="1"/>
    <xf numFmtId="0" fontId="10" fillId="0" borderId="0" xfId="0" applyFont="1"/>
    <xf numFmtId="10" fontId="10" fillId="0" borderId="0" xfId="0" applyNumberFormat="1" applyFont="1"/>
    <xf numFmtId="0" fontId="9" fillId="0" borderId="2" xfId="0" applyFont="1" applyBorder="1" applyAlignment="1">
      <alignment horizontal="left"/>
    </xf>
    <xf numFmtId="0" fontId="9" fillId="0" borderId="2" xfId="0" applyFont="1" applyBorder="1"/>
    <xf numFmtId="10" fontId="9" fillId="0" borderId="2" xfId="0" applyNumberFormat="1" applyFont="1" applyBorder="1"/>
    <xf numFmtId="0" fontId="11" fillId="0" borderId="2" xfId="0" applyFont="1" applyBorder="1"/>
    <xf numFmtId="0" fontId="0" fillId="0" borderId="2" xfId="0" applyFont="1" applyBorder="1"/>
    <xf numFmtId="0" fontId="1" fillId="0" borderId="2" xfId="0" applyFont="1" applyBorder="1" applyAlignment="1">
      <alignment vertical="center"/>
    </xf>
    <xf numFmtId="10" fontId="0" fillId="0" borderId="2" xfId="0" applyNumberFormat="1" applyFont="1" applyBorder="1"/>
    <xf numFmtId="0" fontId="9" fillId="0" borderId="2" xfId="0" applyFont="1" applyBorder="1" applyAlignment="1">
      <alignment horizontal="center"/>
    </xf>
    <xf numFmtId="0" fontId="1" fillId="0" borderId="3" xfId="0" applyFont="1" applyBorder="1" applyAlignment="1">
      <alignment vertical="center"/>
    </xf>
    <xf numFmtId="0" fontId="1" fillId="0" borderId="4" xfId="0" applyFont="1" applyBorder="1" applyAlignment="1">
      <alignment vertical="center"/>
    </xf>
    <xf numFmtId="0" fontId="12" fillId="0" borderId="2" xfId="0" applyFont="1" applyBorder="1"/>
    <xf numFmtId="0" fontId="4" fillId="0" borderId="2" xfId="0" applyFont="1" applyBorder="1" applyAlignment="1">
      <alignment vertical="center"/>
    </xf>
    <xf numFmtId="0" fontId="4" fillId="0" borderId="3" xfId="0" applyFont="1" applyBorder="1" applyAlignment="1">
      <alignment vertical="center"/>
    </xf>
    <xf numFmtId="0" fontId="4" fillId="0" borderId="4" xfId="0" applyFont="1" applyBorder="1" applyAlignment="1">
      <alignment vertical="center"/>
    </xf>
    <xf numFmtId="0" fontId="12" fillId="0" borderId="2" xfId="0" applyFont="1" applyBorder="1" applyAlignment="1">
      <alignment horizontal="left"/>
    </xf>
    <xf numFmtId="0" fontId="4" fillId="0" borderId="2" xfId="0" applyFont="1" applyBorder="1" applyAlignment="1">
      <alignment horizontal="left" vertical="center"/>
    </xf>
    <xf numFmtId="0" fontId="13" fillId="0" borderId="2" xfId="0" applyFont="1" applyBorder="1"/>
    <xf numFmtId="10" fontId="9" fillId="0" borderId="2" xfId="0" applyNumberFormat="1" applyFont="1" applyBorder="1"/>
    <xf numFmtId="0" fontId="0" fillId="0" borderId="2" xfId="0" applyFont="1" applyBorder="1"/>
    <xf numFmtId="0" fontId="0" fillId="0" borderId="0" xfId="0" applyFont="1" applyAlignment="1">
      <alignment vertical="center"/>
    </xf>
    <xf numFmtId="0" fontId="0" fillId="0" borderId="0" xfId="0" applyFont="1" applyAlignment="1">
      <alignment vertical="center"/>
    </xf>
    <xf numFmtId="0" fontId="9" fillId="0" borderId="2" xfId="0" applyFont="1" applyBorder="1"/>
    <xf numFmtId="0" fontId="6" fillId="0" borderId="0" xfId="0" applyFont="1" applyAlignment="1">
      <alignment vertical="center"/>
    </xf>
    <xf numFmtId="0" fontId="7" fillId="0" borderId="0" xfId="0" applyFont="1" applyAlignment="1">
      <alignment vertical="center"/>
    </xf>
    <xf numFmtId="0" fontId="9" fillId="0" borderId="2" xfId="0" applyFont="1" applyBorder="1" applyAlignment="1">
      <alignment horizontal="left"/>
    </xf>
    <xf numFmtId="0" fontId="11" fillId="0" borderId="2" xfId="0" applyFont="1" applyBorder="1"/>
    <xf numFmtId="0" fontId="6" fillId="0" borderId="2" xfId="0" applyFont="1" applyBorder="1" applyAlignment="1">
      <alignment vertical="center"/>
    </xf>
    <xf numFmtId="0" fontId="0" fillId="0" borderId="0" xfId="0" applyFont="1" applyAlignment="1">
      <alignment vertical="center"/>
    </xf>
    <xf numFmtId="0" fontId="0" fillId="0" borderId="0" xfId="0" applyFont="1" applyAlignment="1">
      <alignment vertical="center"/>
    </xf>
    <xf numFmtId="0" fontId="0" fillId="0" borderId="0" xfId="0" applyFont="1" applyAlignment="1">
      <alignment vertical="center"/>
    </xf>
    <xf numFmtId="0" fontId="0" fillId="0" borderId="0" xfId="0" applyFont="1" applyAlignment="1">
      <alignment vertical="center"/>
    </xf>
    <xf numFmtId="0" fontId="0" fillId="0" borderId="0" xfId="0" applyFont="1" applyAlignment="1">
      <alignment vertical="center"/>
    </xf>
    <xf numFmtId="0" fontId="2" fillId="0" borderId="0" xfId="0" applyFont="1" applyAlignment="1">
      <alignment vertical="center"/>
    </xf>
    <xf numFmtId="0" fontId="9" fillId="0" borderId="0" xfId="0" applyFont="1" applyBorder="1"/>
    <xf numFmtId="10" fontId="9" fillId="0" borderId="0" xfId="0" applyNumberFormat="1" applyFont="1" applyBorder="1"/>
    <xf numFmtId="0" fontId="0" fillId="0" borderId="0" xfId="0" applyFont="1" applyAlignment="1">
      <alignment vertical="center"/>
    </xf>
    <xf numFmtId="0" fontId="9" fillId="0" borderId="5" xfId="0" applyFont="1" applyBorder="1"/>
    <xf numFmtId="10" fontId="9" fillId="0" borderId="5" xfId="0" applyNumberFormat="1" applyFont="1" applyBorder="1"/>
    <xf numFmtId="0" fontId="2" fillId="0" borderId="1" xfId="0" applyFont="1" applyBorder="1" applyAlignment="1">
      <alignment vertical="center"/>
    </xf>
    <xf numFmtId="0" fontId="1" fillId="0" borderId="1" xfId="0" applyFont="1" applyBorder="1" applyAlignment="1">
      <alignment vertical="center"/>
    </xf>
    <xf numFmtId="0" fontId="0" fillId="0" borderId="0" xfId="0" applyFont="1" applyAlignment="1">
      <alignment vertical="center"/>
    </xf>
    <xf numFmtId="0" fontId="0" fillId="0" borderId="0" xfId="0" applyFont="1" applyAlignment="1">
      <alignment vertical="center"/>
    </xf>
    <xf numFmtId="0" fontId="0" fillId="0" borderId="0" xfId="0" applyFont="1" applyAlignment="1">
      <alignment vertical="center"/>
    </xf>
    <xf numFmtId="0" fontId="0" fillId="2" borderId="2" xfId="0" applyFont="1" applyFill="1" applyBorder="1"/>
    <xf numFmtId="10" fontId="0" fillId="2" borderId="2" xfId="0" applyNumberFormat="1" applyFont="1" applyFill="1" applyBorder="1"/>
    <xf numFmtId="0" fontId="1" fillId="2" borderId="0" xfId="0" applyFont="1" applyFill="1" applyAlignment="1">
      <alignment vertical="center"/>
    </xf>
    <xf numFmtId="0" fontId="0" fillId="2" borderId="0" xfId="0" applyFont="1" applyFill="1" applyAlignment="1">
      <alignment vertical="center"/>
    </xf>
    <xf numFmtId="0" fontId="14" fillId="0" borderId="2" xfId="0" applyFont="1" applyBorder="1"/>
    <xf numFmtId="0" fontId="2" fillId="0" borderId="2" xfId="0" applyFont="1" applyBorder="1" applyAlignment="1">
      <alignment vertical="center"/>
    </xf>
    <xf numFmtId="0" fontId="9" fillId="2" borderId="2" xfId="0" applyFont="1" applyFill="1" applyBorder="1"/>
    <xf numFmtId="0" fontId="15" fillId="0" borderId="2" xfId="0" applyFont="1" applyBorder="1"/>
    <xf numFmtId="0" fontId="0" fillId="0" borderId="0" xfId="0" applyFont="1" applyAlignment="1">
      <alignment vertical="center"/>
    </xf>
    <xf numFmtId="0" fontId="9" fillId="3" borderId="2" xfId="0" applyFont="1" applyFill="1" applyBorder="1"/>
    <xf numFmtId="10" fontId="9" fillId="3" borderId="2" xfId="0" applyNumberFormat="1" applyFont="1" applyFill="1" applyBorder="1"/>
    <xf numFmtId="0" fontId="6" fillId="3" borderId="2" xfId="0" applyFont="1" applyFill="1" applyBorder="1" applyAlignment="1">
      <alignment vertical="center"/>
    </xf>
    <xf numFmtId="0" fontId="0" fillId="3" borderId="2" xfId="0" applyFont="1" applyFill="1" applyBorder="1"/>
    <xf numFmtId="10" fontId="0" fillId="3" borderId="2" xfId="0" applyNumberFormat="1" applyFont="1" applyFill="1" applyBorder="1"/>
    <xf numFmtId="0" fontId="5" fillId="3" borderId="2" xfId="0" applyFont="1" applyFill="1" applyBorder="1" applyAlignment="1">
      <alignment vertical="center"/>
    </xf>
    <xf numFmtId="0" fontId="6" fillId="3" borderId="0" xfId="0" applyFont="1" applyFill="1" applyAlignment="1">
      <alignment vertical="center"/>
    </xf>
    <xf numFmtId="0" fontId="0" fillId="3" borderId="0" xfId="0" applyFont="1" applyFill="1" applyAlignment="1">
      <alignment vertical="center"/>
    </xf>
    <xf numFmtId="0" fontId="9" fillId="4" borderId="2" xfId="0" applyFont="1" applyFill="1" applyBorder="1"/>
    <xf numFmtId="10" fontId="9" fillId="4" borderId="2" xfId="0" applyNumberFormat="1" applyFont="1" applyFill="1" applyBorder="1"/>
    <xf numFmtId="0" fontId="6" fillId="4" borderId="2" xfId="0" applyFont="1" applyFill="1" applyBorder="1" applyAlignment="1">
      <alignment vertical="center"/>
    </xf>
    <xf numFmtId="0" fontId="0" fillId="4" borderId="2" xfId="0" applyFont="1" applyFill="1" applyBorder="1"/>
    <xf numFmtId="10" fontId="0" fillId="4" borderId="2" xfId="0" applyNumberFormat="1" applyFont="1" applyFill="1" applyBorder="1"/>
    <xf numFmtId="0" fontId="6" fillId="4" borderId="0" xfId="0" applyFont="1" applyFill="1" applyAlignment="1">
      <alignment vertical="center"/>
    </xf>
    <xf numFmtId="0" fontId="0" fillId="4" borderId="0" xfId="0" applyFont="1" applyFill="1" applyAlignment="1">
      <alignment vertical="center"/>
    </xf>
    <xf numFmtId="0" fontId="9" fillId="5" borderId="2" xfId="0" applyFont="1" applyFill="1" applyBorder="1"/>
    <xf numFmtId="10" fontId="9" fillId="5" borderId="2" xfId="0" applyNumberFormat="1" applyFont="1" applyFill="1" applyBorder="1"/>
    <xf numFmtId="0" fontId="6" fillId="5" borderId="2" xfId="0" applyFont="1" applyFill="1" applyBorder="1" applyAlignment="1">
      <alignment vertical="center"/>
    </xf>
    <xf numFmtId="0" fontId="0" fillId="5" borderId="2" xfId="0" applyFont="1" applyFill="1" applyBorder="1"/>
    <xf numFmtId="10" fontId="0" fillId="5" borderId="2" xfId="0" applyNumberFormat="1" applyFont="1" applyFill="1" applyBorder="1"/>
    <xf numFmtId="0" fontId="5" fillId="5" borderId="2" xfId="0" applyFont="1" applyFill="1" applyBorder="1" applyAlignment="1">
      <alignment vertical="center"/>
    </xf>
    <xf numFmtId="0" fontId="6" fillId="5" borderId="0" xfId="0" applyFont="1" applyFill="1" applyAlignment="1">
      <alignment vertical="center"/>
    </xf>
    <xf numFmtId="0" fontId="0" fillId="5" borderId="0" xfId="0" applyFont="1" applyFill="1" applyAlignment="1">
      <alignment vertical="center"/>
    </xf>
    <xf numFmtId="0" fontId="1" fillId="5" borderId="2" xfId="0" applyFont="1" applyFill="1" applyBorder="1" applyAlignment="1">
      <alignment vertical="center"/>
    </xf>
    <xf numFmtId="0" fontId="9" fillId="5" borderId="0" xfId="0" applyFont="1" applyFill="1" applyBorder="1"/>
    <xf numFmtId="10" fontId="9" fillId="5" borderId="0" xfId="0" applyNumberFormat="1" applyFont="1" applyFill="1" applyBorder="1"/>
    <xf numFmtId="0" fontId="1" fillId="5" borderId="0" xfId="0" applyFont="1" applyFill="1" applyAlignment="1">
      <alignment vertical="center"/>
    </xf>
    <xf numFmtId="0" fontId="1" fillId="3" borderId="2" xfId="0" applyFont="1" applyFill="1" applyBorder="1" applyAlignment="1">
      <alignment vertical="center"/>
    </xf>
    <xf numFmtId="0" fontId="9" fillId="3" borderId="0" xfId="0" applyFont="1" applyFill="1" applyBorder="1"/>
    <xf numFmtId="10" fontId="9" fillId="3" borderId="0" xfId="0" applyNumberFormat="1" applyFont="1" applyFill="1" applyBorder="1"/>
    <xf numFmtId="0" fontId="1" fillId="3" borderId="0" xfId="0" applyFont="1" applyFill="1" applyAlignment="1">
      <alignment vertical="center"/>
    </xf>
    <xf numFmtId="0" fontId="9" fillId="5" borderId="5" xfId="0" applyFont="1" applyFill="1" applyBorder="1"/>
    <xf numFmtId="10" fontId="9" fillId="5" borderId="5" xfId="0" applyNumberFormat="1" applyFont="1" applyFill="1" applyBorder="1"/>
    <xf numFmtId="0" fontId="1" fillId="5" borderId="1" xfId="0" applyFont="1" applyFill="1" applyBorder="1" applyAlignment="1">
      <alignment vertical="center"/>
    </xf>
    <xf numFmtId="0" fontId="9" fillId="3" borderId="5" xfId="0" applyFont="1" applyFill="1" applyBorder="1"/>
    <xf numFmtId="10" fontId="9" fillId="3" borderId="5" xfId="0" applyNumberFormat="1" applyFont="1" applyFill="1" applyBorder="1"/>
    <xf numFmtId="0" fontId="1" fillId="3" borderId="1" xfId="0" applyFont="1" applyFill="1" applyBorder="1" applyAlignment="1">
      <alignment vertical="center"/>
    </xf>
    <xf numFmtId="0" fontId="9" fillId="6" borderId="2" xfId="0" applyFont="1" applyFill="1" applyBorder="1"/>
    <xf numFmtId="10" fontId="9" fillId="6" borderId="2" xfId="0" applyNumberFormat="1" applyFont="1" applyFill="1" applyBorder="1"/>
    <xf numFmtId="0" fontId="1" fillId="6" borderId="2" xfId="0" applyFont="1" applyFill="1" applyBorder="1" applyAlignment="1">
      <alignment vertical="center"/>
    </xf>
    <xf numFmtId="0" fontId="0" fillId="6" borderId="2" xfId="0" applyFont="1" applyFill="1" applyBorder="1"/>
    <xf numFmtId="10" fontId="0" fillId="6" borderId="2" xfId="0" applyNumberFormat="1" applyFont="1" applyFill="1" applyBorder="1"/>
    <xf numFmtId="0" fontId="1" fillId="6" borderId="0" xfId="0" applyFont="1" applyFill="1" applyAlignment="1">
      <alignment vertical="center"/>
    </xf>
    <xf numFmtId="10" fontId="0" fillId="6" borderId="0" xfId="0" applyNumberFormat="1" applyFont="1" applyFill="1"/>
    <xf numFmtId="0" fontId="0" fillId="6" borderId="0" xfId="0" applyFont="1" applyFill="1" applyAlignment="1">
      <alignment vertical="center"/>
    </xf>
    <xf numFmtId="0" fontId="0" fillId="5" borderId="0" xfId="0" applyFont="1" applyFill="1"/>
    <xf numFmtId="3" fontId="0" fillId="5" borderId="0" xfId="0" applyNumberFormat="1" applyFont="1" applyFill="1"/>
    <xf numFmtId="10" fontId="0" fillId="5" borderId="0" xfId="0" applyNumberFormat="1" applyFont="1" applyFill="1"/>
    <xf numFmtId="0" fontId="0" fillId="3" borderId="0" xfId="0" applyFont="1" applyFill="1"/>
    <xf numFmtId="3" fontId="0" fillId="3" borderId="0" xfId="0" applyNumberFormat="1" applyFont="1" applyFill="1"/>
    <xf numFmtId="10" fontId="0" fillId="3" borderId="0" xfId="0" applyNumberFormat="1" applyFont="1" applyFill="1"/>
    <xf numFmtId="0" fontId="0" fillId="7" borderId="0" xfId="0" applyFont="1" applyFill="1"/>
    <xf numFmtId="3" fontId="0" fillId="7" borderId="0" xfId="0" applyNumberFormat="1" applyFont="1" applyFill="1"/>
    <xf numFmtId="10" fontId="0" fillId="7" borderId="0" xfId="0" applyNumberFormat="1" applyFont="1" applyFill="1"/>
    <xf numFmtId="0" fontId="0" fillId="4" borderId="0" xfId="0" applyFont="1" applyFill="1"/>
    <xf numFmtId="3" fontId="0" fillId="4" borderId="0" xfId="0" applyNumberFormat="1" applyFont="1" applyFill="1"/>
    <xf numFmtId="10" fontId="0" fillId="4" borderId="0" xfId="0" applyNumberFormat="1" applyFont="1" applyFill="1"/>
    <xf numFmtId="0" fontId="0" fillId="10" borderId="0" xfId="0" applyFont="1" applyFill="1"/>
    <xf numFmtId="3" fontId="0" fillId="10" borderId="0" xfId="0" applyNumberFormat="1" applyFont="1" applyFill="1"/>
    <xf numFmtId="10" fontId="0" fillId="10" borderId="0" xfId="0" applyNumberFormat="1" applyFont="1" applyFill="1"/>
    <xf numFmtId="0" fontId="0" fillId="6" borderId="0" xfId="0" applyFont="1" applyFill="1"/>
    <xf numFmtId="3" fontId="0" fillId="6" borderId="0" xfId="0" applyNumberFormat="1" applyFont="1" applyFill="1"/>
    <xf numFmtId="0" fontId="0" fillId="6" borderId="0" xfId="0" applyNumberFormat="1" applyFont="1" applyFill="1"/>
    <xf numFmtId="10" fontId="1" fillId="6" borderId="0" xfId="1" applyNumberFormat="1" applyFont="1" applyFill="1" applyAlignment="1">
      <alignment vertical="center"/>
    </xf>
    <xf numFmtId="9" fontId="1" fillId="10" borderId="0" xfId="1" applyFont="1" applyFill="1" applyAlignment="1">
      <alignment vertical="center"/>
    </xf>
    <xf numFmtId="0" fontId="0" fillId="4" borderId="0" xfId="0" applyNumberFormat="1" applyFont="1" applyFill="1"/>
    <xf numFmtId="0" fontId="9" fillId="8" borderId="2" xfId="0" applyFont="1" applyFill="1" applyBorder="1"/>
    <xf numFmtId="10" fontId="9" fillId="8" borderId="2" xfId="0" applyNumberFormat="1" applyFont="1" applyFill="1" applyBorder="1"/>
    <xf numFmtId="0" fontId="1" fillId="8" borderId="2" xfId="0" applyFont="1" applyFill="1" applyBorder="1" applyAlignment="1">
      <alignment vertical="center"/>
    </xf>
    <xf numFmtId="0" fontId="0" fillId="8" borderId="2" xfId="0" applyFont="1" applyFill="1" applyBorder="1"/>
    <xf numFmtId="10" fontId="0" fillId="8" borderId="2" xfId="0" applyNumberFormat="1" applyFont="1" applyFill="1" applyBorder="1"/>
    <xf numFmtId="0" fontId="12" fillId="5" borderId="2" xfId="0" applyFont="1" applyFill="1" applyBorder="1"/>
    <xf numFmtId="0" fontId="4" fillId="5" borderId="2" xfId="0" applyFont="1" applyFill="1" applyBorder="1" applyAlignment="1">
      <alignment vertical="center"/>
    </xf>
    <xf numFmtId="0" fontId="9" fillId="9" borderId="2" xfId="0" applyFont="1" applyFill="1" applyBorder="1"/>
    <xf numFmtId="10" fontId="9" fillId="9" borderId="2" xfId="0" applyNumberFormat="1" applyFont="1" applyFill="1" applyBorder="1"/>
    <xf numFmtId="0" fontId="1" fillId="9" borderId="2" xfId="0" applyFont="1" applyFill="1" applyBorder="1" applyAlignment="1">
      <alignment vertical="center"/>
    </xf>
    <xf numFmtId="0" fontId="0" fillId="9" borderId="2" xfId="0" applyFont="1" applyFill="1" applyBorder="1"/>
    <xf numFmtId="10" fontId="0" fillId="9" borderId="2" xfId="0" applyNumberFormat="1" applyFont="1" applyFill="1" applyBorder="1"/>
    <xf numFmtId="0" fontId="16" fillId="0" borderId="0" xfId="0" applyFont="1" applyAlignment="1">
      <alignment horizontal="center"/>
    </xf>
    <xf numFmtId="0" fontId="0" fillId="0" borderId="0" xfId="0" applyFont="1" applyAlignment="1">
      <alignment vertical="center"/>
    </xf>
    <xf numFmtId="0" fontId="5" fillId="0" borderId="3" xfId="0" applyFont="1" applyBorder="1" applyAlignment="1">
      <alignment horizontal="center" vertical="center"/>
    </xf>
    <xf numFmtId="0" fontId="6" fillId="0" borderId="6" xfId="0" applyFont="1" applyBorder="1"/>
    <xf numFmtId="0" fontId="6" fillId="0" borderId="4" xfId="0" applyFont="1" applyBorder="1"/>
    <xf numFmtId="0" fontId="7" fillId="0" borderId="3" xfId="0" applyFont="1" applyBorder="1" applyAlignment="1">
      <alignment horizontal="center" vertical="center"/>
    </xf>
    <xf numFmtId="0" fontId="0" fillId="0" borderId="3" xfId="0" applyFont="1" applyBorder="1" applyAlignment="1">
      <alignment horizontal="center"/>
    </xf>
    <xf numFmtId="0" fontId="0" fillId="3" borderId="3" xfId="0" applyFont="1" applyFill="1" applyBorder="1" applyAlignment="1">
      <alignment horizontal="center"/>
    </xf>
    <xf numFmtId="0" fontId="6" fillId="3" borderId="4" xfId="0" applyFont="1" applyFill="1" applyBorder="1"/>
    <xf numFmtId="0" fontId="0" fillId="4" borderId="3" xfId="0" applyFont="1" applyFill="1" applyBorder="1" applyAlignment="1">
      <alignment horizontal="center"/>
    </xf>
    <xf numFmtId="0" fontId="6" fillId="4" borderId="4" xfId="0" applyFont="1" applyFill="1" applyBorder="1"/>
    <xf numFmtId="0" fontId="0" fillId="5" borderId="3" xfId="0" applyFont="1" applyFill="1" applyBorder="1" applyAlignment="1">
      <alignment horizontal="center"/>
    </xf>
    <xf numFmtId="0" fontId="6" fillId="5" borderId="4" xfId="0" applyFont="1" applyFill="1" applyBorder="1"/>
    <xf numFmtId="0" fontId="9" fillId="0" borderId="3" xfId="0" applyFont="1" applyBorder="1" applyAlignment="1">
      <alignment horizontal="center"/>
    </xf>
    <xf numFmtId="0" fontId="12" fillId="0" borderId="3" xfId="0" applyFont="1" applyBorder="1" applyAlignment="1">
      <alignment horizontal="center"/>
    </xf>
    <xf numFmtId="0" fontId="12" fillId="5" borderId="3" xfId="0" applyFont="1" applyFill="1" applyBorder="1" applyAlignment="1">
      <alignment horizontal="center"/>
    </xf>
    <xf numFmtId="0" fontId="12" fillId="3" borderId="3" xfId="0" applyFont="1" applyFill="1" applyBorder="1" applyAlignment="1">
      <alignment horizontal="center"/>
    </xf>
    <xf numFmtId="0" fontId="12" fillId="4" borderId="3" xfId="0" applyFont="1" applyFill="1" applyBorder="1" applyAlignment="1">
      <alignment horizontal="center"/>
    </xf>
    <xf numFmtId="0" fontId="9" fillId="0" borderId="3" xfId="0" applyFont="1" applyBorder="1" applyAlignment="1">
      <alignment horizontal="left"/>
    </xf>
    <xf numFmtId="0" fontId="3" fillId="0" borderId="4" xfId="0" applyFont="1" applyBorder="1"/>
    <xf numFmtId="0" fontId="4" fillId="0" borderId="3" xfId="0" applyFont="1" applyBorder="1" applyAlignment="1">
      <alignment horizontal="center" vertical="center"/>
    </xf>
    <xf numFmtId="0" fontId="3" fillId="0" borderId="6" xfId="0" applyFont="1" applyBorder="1"/>
    <xf numFmtId="0" fontId="2" fillId="0" borderId="3" xfId="0" applyFont="1" applyBorder="1" applyAlignment="1">
      <alignment horizontal="center" vertical="center"/>
    </xf>
    <xf numFmtId="0" fontId="3" fillId="3" borderId="4" xfId="0" applyFont="1" applyFill="1" applyBorder="1"/>
    <xf numFmtId="0" fontId="17" fillId="5" borderId="3" xfId="0" applyFont="1" applyFill="1" applyBorder="1" applyAlignment="1">
      <alignment horizontal="center"/>
    </xf>
    <xf numFmtId="0" fontId="1" fillId="5" borderId="4" xfId="0" applyFont="1" applyFill="1" applyBorder="1"/>
    <xf numFmtId="0" fontId="3" fillId="5" borderId="4" xfId="0" applyFont="1" applyFill="1" applyBorder="1"/>
    <xf numFmtId="0" fontId="0" fillId="6" borderId="3" xfId="0" applyFont="1" applyFill="1" applyBorder="1" applyAlignment="1">
      <alignment horizontal="center"/>
    </xf>
    <xf numFmtId="0" fontId="3" fillId="6" borderId="4" xfId="0" applyFont="1" applyFill="1" applyBorder="1"/>
    <xf numFmtId="0" fontId="12" fillId="6" borderId="3" xfId="0" applyFont="1" applyFill="1" applyBorder="1" applyAlignment="1">
      <alignment horizontal="center"/>
    </xf>
    <xf numFmtId="0" fontId="9" fillId="3" borderId="3" xfId="0" applyFont="1" applyFill="1" applyBorder="1" applyAlignment="1">
      <alignment horizontal="center"/>
    </xf>
    <xf numFmtId="0" fontId="1" fillId="0" borderId="3" xfId="0" applyFont="1" applyBorder="1" applyAlignment="1">
      <alignment horizontal="center" vertical="center"/>
    </xf>
    <xf numFmtId="0" fontId="9" fillId="5" borderId="3" xfId="0" applyFont="1" applyFill="1" applyBorder="1" applyAlignment="1">
      <alignment horizontal="center"/>
    </xf>
    <xf numFmtId="0" fontId="9" fillId="0" borderId="3" xfId="0" applyFont="1" applyBorder="1" applyAlignment="1">
      <alignment horizontal="center" vertical="center"/>
    </xf>
    <xf numFmtId="0" fontId="9" fillId="0" borderId="4" xfId="0" applyFont="1" applyBorder="1" applyAlignment="1">
      <alignment horizontal="center"/>
    </xf>
    <xf numFmtId="0" fontId="0" fillId="3" borderId="4" xfId="0" applyFont="1" applyFill="1" applyBorder="1" applyAlignment="1">
      <alignment horizontal="center"/>
    </xf>
    <xf numFmtId="0" fontId="0" fillId="5" borderId="4" xfId="0" applyFont="1" applyFill="1" applyBorder="1" applyAlignment="1">
      <alignment horizontal="center"/>
    </xf>
    <xf numFmtId="0" fontId="0" fillId="0" borderId="4" xfId="0" applyFont="1" applyBorder="1" applyAlignment="1">
      <alignment horizontal="center"/>
    </xf>
    <xf numFmtId="0" fontId="0" fillId="8" borderId="3" xfId="0" applyFont="1" applyFill="1" applyBorder="1" applyAlignment="1">
      <alignment horizontal="center"/>
    </xf>
    <xf numFmtId="0" fontId="3" fillId="8" borderId="4" xfId="0" applyFont="1" applyFill="1" applyBorder="1"/>
    <xf numFmtId="0" fontId="12" fillId="0" borderId="3" xfId="0" applyFont="1" applyBorder="1" applyAlignment="1">
      <alignment horizontal="left"/>
    </xf>
    <xf numFmtId="0" fontId="12" fillId="8" borderId="3" xfId="0" applyFont="1" applyFill="1" applyBorder="1" applyAlignment="1">
      <alignment horizontal="center"/>
    </xf>
    <xf numFmtId="0" fontId="5" fillId="0" borderId="4" xfId="0" applyFont="1" applyBorder="1"/>
    <xf numFmtId="0" fontId="5" fillId="5" borderId="4" xfId="0" applyFont="1" applyFill="1" applyBorder="1"/>
    <xf numFmtId="0" fontId="5" fillId="3" borderId="4" xfId="0" applyFont="1" applyFill="1" applyBorder="1"/>
    <xf numFmtId="0" fontId="12" fillId="9" borderId="3" xfId="0" applyFont="1" applyFill="1" applyBorder="1" applyAlignment="1">
      <alignment horizontal="center"/>
    </xf>
    <xf numFmtId="0" fontId="4" fillId="9" borderId="4" xfId="0" applyFont="1" applyFill="1" applyBorder="1"/>
    <xf numFmtId="0" fontId="2" fillId="0" borderId="0" xfId="0" applyFont="1" applyAlignment="1">
      <alignment horizontal="center" vertical="center"/>
    </xf>
    <xf numFmtId="0" fontId="9" fillId="6" borderId="3" xfId="0" applyFont="1" applyFill="1" applyBorder="1" applyAlignment="1">
      <alignment horizontal="center"/>
    </xf>
    <xf numFmtId="0" fontId="2" fillId="6" borderId="4" xfId="0" applyFont="1" applyFill="1" applyBorder="1"/>
    <xf numFmtId="0" fontId="0" fillId="9" borderId="3" xfId="0" applyFont="1" applyFill="1" applyBorder="1" applyAlignment="1">
      <alignment horizontal="center"/>
    </xf>
    <xf numFmtId="0" fontId="3" fillId="9" borderId="4" xfId="0" applyFont="1" applyFill="1" applyBorder="1"/>
    <xf numFmtId="3" fontId="1" fillId="0" borderId="0" xfId="0" applyNumberFormat="1" applyFont="1" applyAlignment="1">
      <alignment vertical="center"/>
    </xf>
  </cellXfs>
  <cellStyles count="2">
    <cellStyle name="Normal" xfId="0" builtinId="0"/>
    <cellStyle name="Percent" xfId="1" builtinId="5"/>
  </cellStyles>
  <dxfs count="0"/>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85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92"/>
  <sheetViews>
    <sheetView tabSelected="1" workbookViewId="0">
      <pane xSplit="1" ySplit="4" topLeftCell="E10" activePane="bottomRight" state="frozen"/>
      <selection pane="topRight" activeCell="B1" sqref="B1"/>
      <selection pane="bottomLeft" activeCell="A5" sqref="A5"/>
      <selection pane="bottomRight" activeCell="B37" sqref="B37"/>
    </sheetView>
  </sheetViews>
  <sheetFormatPr defaultColWidth="17.28515625" defaultRowHeight="15" customHeight="1" x14ac:dyDescent="0.2"/>
  <cols>
    <col min="1" max="1" width="18.42578125" customWidth="1"/>
    <col min="2" max="2" width="13" customWidth="1"/>
    <col min="3" max="3" width="10.140625" customWidth="1"/>
    <col min="4" max="5" width="12.85546875" customWidth="1"/>
    <col min="6" max="6" width="13.42578125" customWidth="1"/>
    <col min="7" max="7" width="14.85546875" customWidth="1"/>
    <col min="8" max="9" width="13.42578125" customWidth="1"/>
    <col min="10" max="10" width="9.140625" customWidth="1"/>
    <col min="11" max="11" width="13.28515625" customWidth="1"/>
    <col min="12" max="17" width="9.140625" customWidth="1"/>
    <col min="18" max="18" width="13.5703125" customWidth="1"/>
    <col min="19" max="19" width="10.42578125" customWidth="1"/>
    <col min="20" max="29" width="9.140625" customWidth="1"/>
  </cols>
  <sheetData>
    <row r="1" spans="1:29" ht="16.5" customHeight="1" x14ac:dyDescent="0.25">
      <c r="A1" s="141" t="s">
        <v>391</v>
      </c>
      <c r="B1" s="142"/>
      <c r="C1" s="142"/>
      <c r="D1" s="142"/>
      <c r="E1" s="142"/>
      <c r="F1" s="142"/>
      <c r="G1" s="142"/>
      <c r="H1" s="142"/>
      <c r="I1" s="142"/>
      <c r="J1" s="142"/>
      <c r="K1" s="142"/>
      <c r="L1" s="142"/>
      <c r="M1" s="142"/>
      <c r="N1" s="142"/>
      <c r="O1" s="142"/>
      <c r="P1" s="142"/>
      <c r="Q1" s="142"/>
      <c r="R1" s="142"/>
      <c r="S1" s="142"/>
      <c r="T1" s="1"/>
      <c r="U1" s="1"/>
      <c r="V1" s="1"/>
      <c r="W1" s="1"/>
      <c r="X1" s="1"/>
      <c r="Y1" s="1"/>
      <c r="Z1" s="1"/>
      <c r="AA1" s="1"/>
      <c r="AB1" s="1"/>
      <c r="AC1" s="1"/>
    </row>
    <row r="2" spans="1:29" ht="12" customHeight="1" x14ac:dyDescent="0.2">
      <c r="A2" s="2" t="s">
        <v>0</v>
      </c>
      <c r="B2" s="3" t="s">
        <v>1</v>
      </c>
      <c r="C2" s="3" t="s">
        <v>2</v>
      </c>
      <c r="D2" s="3" t="s">
        <v>3</v>
      </c>
      <c r="E2" s="3" t="s">
        <v>4</v>
      </c>
      <c r="F2" s="3" t="s">
        <v>4</v>
      </c>
      <c r="G2" s="3" t="s">
        <v>4</v>
      </c>
      <c r="H2" s="3" t="s">
        <v>4</v>
      </c>
      <c r="I2" s="3" t="s">
        <v>5</v>
      </c>
      <c r="J2" s="3" t="s">
        <v>6</v>
      </c>
      <c r="K2" s="3" t="s">
        <v>7</v>
      </c>
      <c r="L2" s="3" t="s">
        <v>8</v>
      </c>
      <c r="M2" s="3" t="s">
        <v>9</v>
      </c>
      <c r="N2" s="3" t="s">
        <v>9</v>
      </c>
      <c r="O2" s="3" t="s">
        <v>10</v>
      </c>
      <c r="P2" s="3" t="s">
        <v>10</v>
      </c>
      <c r="Q2" s="3" t="s">
        <v>11</v>
      </c>
      <c r="R2" s="3" t="s">
        <v>11</v>
      </c>
      <c r="S2" s="3" t="s">
        <v>4</v>
      </c>
      <c r="T2" s="1"/>
      <c r="U2" s="1"/>
      <c r="V2" s="1"/>
      <c r="W2" s="1"/>
      <c r="X2" s="1"/>
      <c r="Y2" s="1"/>
      <c r="Z2" s="1"/>
      <c r="AA2" s="1"/>
      <c r="AB2" s="1"/>
      <c r="AC2" s="1"/>
    </row>
    <row r="3" spans="1:29" ht="12" customHeight="1" x14ac:dyDescent="0.2">
      <c r="A3" s="1"/>
      <c r="B3" s="1"/>
      <c r="C3" s="1"/>
      <c r="D3" s="1"/>
      <c r="E3" s="3" t="s">
        <v>12</v>
      </c>
      <c r="F3" s="3" t="s">
        <v>13</v>
      </c>
      <c r="G3" s="3" t="s">
        <v>14</v>
      </c>
      <c r="H3" s="3" t="s">
        <v>15</v>
      </c>
      <c r="I3" s="3" t="s">
        <v>16</v>
      </c>
      <c r="J3" s="1"/>
      <c r="K3" s="1"/>
      <c r="L3" s="1"/>
      <c r="M3" s="3" t="s">
        <v>15</v>
      </c>
      <c r="N3" s="3" t="s">
        <v>12</v>
      </c>
      <c r="O3" s="3" t="s">
        <v>15</v>
      </c>
      <c r="P3" s="3" t="s">
        <v>12</v>
      </c>
      <c r="Q3" s="3" t="s">
        <v>15</v>
      </c>
      <c r="R3" s="3" t="s">
        <v>12</v>
      </c>
      <c r="S3" s="3" t="s">
        <v>17</v>
      </c>
      <c r="T3" s="1"/>
      <c r="U3" s="1"/>
      <c r="V3" s="1"/>
      <c r="W3" s="1"/>
      <c r="X3" s="1"/>
      <c r="Y3" s="1"/>
      <c r="Z3" s="1"/>
      <c r="AA3" s="1"/>
      <c r="AB3" s="1"/>
      <c r="AC3" s="1"/>
    </row>
    <row r="4" spans="1:29" ht="12" customHeight="1" x14ac:dyDescent="0.2">
      <c r="A4" s="2" t="s">
        <v>18</v>
      </c>
      <c r="B4" s="4">
        <f>SUM(C4:S4)</f>
        <v>162222</v>
      </c>
      <c r="C4" s="4">
        <f>A_Gros_Islet!B4</f>
        <v>20610</v>
      </c>
      <c r="D4" s="4">
        <f>B_Babonneau!B4</f>
        <v>11265</v>
      </c>
      <c r="E4" s="4">
        <f>C_Castries_North!B4</f>
        <v>11715</v>
      </c>
      <c r="F4" s="4">
        <f>D_Castries_East!B4</f>
        <v>12330</v>
      </c>
      <c r="G4" s="4">
        <f>E_Castries_Central!B4</f>
        <v>9392</v>
      </c>
      <c r="H4" s="4">
        <f>F_Castries_South!B4</f>
        <v>8883</v>
      </c>
      <c r="I4" s="4">
        <f>G_Anse_La_Raye_and_Canaries!B4</f>
        <v>8070</v>
      </c>
      <c r="J4" s="4">
        <f>H_Soufriere!B4</f>
        <v>7858</v>
      </c>
      <c r="K4" s="4">
        <f>I_Choiseul!B4</f>
        <v>8987</v>
      </c>
      <c r="L4" s="4">
        <f>J_Laborie!B4</f>
        <v>6516</v>
      </c>
      <c r="M4" s="4">
        <f>K_Vieux_Fort_South!B4</f>
        <v>8691</v>
      </c>
      <c r="N4" s="4">
        <f>L_Vieux_Fort_North!B4</f>
        <v>6498</v>
      </c>
      <c r="O4" s="4">
        <f>M_Micoud_South!B4</f>
        <v>7018</v>
      </c>
      <c r="P4" s="4">
        <f>N_Micoud_North!B4</f>
        <v>7449</v>
      </c>
      <c r="Q4" s="4">
        <f>O_Dennery_South!B4</f>
        <v>5021</v>
      </c>
      <c r="R4" s="4">
        <f>P_Dennery_North!B4</f>
        <v>8140</v>
      </c>
      <c r="S4" s="4">
        <f>Q_Castries_South_East!B4</f>
        <v>13779</v>
      </c>
      <c r="T4" s="1"/>
      <c r="U4" s="1"/>
      <c r="V4" s="1"/>
      <c r="W4" s="1"/>
      <c r="X4" s="1"/>
      <c r="Y4" s="1"/>
      <c r="Z4" s="1"/>
      <c r="AA4" s="1"/>
      <c r="AB4" s="1"/>
      <c r="AC4" s="1"/>
    </row>
    <row r="5" spans="1:29" ht="12" customHeight="1" x14ac:dyDescent="0.2">
      <c r="A5" s="108" t="s">
        <v>19</v>
      </c>
      <c r="B5" s="109">
        <f>SUM(C5:S5)</f>
        <v>37377</v>
      </c>
      <c r="C5" s="109">
        <f>A_Gros_Islet!C4</f>
        <v>4548</v>
      </c>
      <c r="D5" s="109">
        <f>B_Babonneau!C4</f>
        <v>2483</v>
      </c>
      <c r="E5" s="109">
        <f>C_Castries_North!C4</f>
        <v>1480</v>
      </c>
      <c r="F5" s="109">
        <f>D_Castries_East!C4</f>
        <v>2903</v>
      </c>
      <c r="G5" s="109">
        <f>E_Castries_Central!C4</f>
        <v>1876</v>
      </c>
      <c r="H5" s="109">
        <f>F_Castries_South!C4</f>
        <v>2212</v>
      </c>
      <c r="I5" s="109">
        <f>G_Anse_La_Raye_and_Canaries!C4</f>
        <v>2087</v>
      </c>
      <c r="J5" s="109">
        <f>H_Soufriere!C4</f>
        <v>2104</v>
      </c>
      <c r="K5" s="109">
        <f>I_Choiseul!C4</f>
        <v>2298</v>
      </c>
      <c r="L5" s="109">
        <f>J_Laborie!C4</f>
        <v>2094</v>
      </c>
      <c r="M5" s="109">
        <f>K_Vieux_Fort_South!C4</f>
        <v>2439</v>
      </c>
      <c r="N5" s="109">
        <f>L_Vieux_Fort_North!C4</f>
        <v>1748</v>
      </c>
      <c r="O5" s="109">
        <f>M_Micoud_South!C4</f>
        <v>1409</v>
      </c>
      <c r="P5" s="109">
        <f>N_Micoud_North!C4</f>
        <v>927</v>
      </c>
      <c r="Q5" s="109">
        <f>O_Dennery_South!C4</f>
        <v>1317</v>
      </c>
      <c r="R5" s="109">
        <f>P_Dennery_North!C4</f>
        <v>2283</v>
      </c>
      <c r="S5" s="109">
        <f>Q_Castries_South_East!C4</f>
        <v>3169</v>
      </c>
      <c r="T5" s="1"/>
      <c r="U5" s="1"/>
      <c r="V5" s="1"/>
      <c r="W5" s="1"/>
      <c r="X5" s="1"/>
      <c r="Y5" s="1"/>
      <c r="Z5" s="1"/>
      <c r="AA5" s="1"/>
      <c r="AB5" s="1"/>
      <c r="AC5" s="1"/>
    </row>
    <row r="6" spans="1:29" ht="12" customHeight="1" x14ac:dyDescent="0.2">
      <c r="A6" s="108" t="s">
        <v>20</v>
      </c>
      <c r="B6" s="110">
        <f>IF((B19=0),"",(B5/B19))</f>
        <v>0.43048661099913621</v>
      </c>
      <c r="C6" s="110">
        <f>A_Gros_Islet!D4</f>
        <v>0.40625279142474319</v>
      </c>
      <c r="D6" s="110">
        <f>B_Babonneau!D4</f>
        <v>0.37977974915876417</v>
      </c>
      <c r="E6" s="110">
        <f>C_Castries_North!D4</f>
        <v>0.27798647633358375</v>
      </c>
      <c r="F6" s="110">
        <f>D_Castries_East!D4</f>
        <v>0.52221622593991723</v>
      </c>
      <c r="G6" s="110">
        <f>E_Castries_Central!D4</f>
        <v>0.4489112227805695</v>
      </c>
      <c r="H6" s="110">
        <f>F_Castries_South!D4</f>
        <v>0.49441215914170766</v>
      </c>
      <c r="I6" s="110">
        <f>G_Anse_La_Raye_and_Canaries!D4</f>
        <v>0.42863010885192032</v>
      </c>
      <c r="J6" s="110">
        <f>H_Soufriere!D4</f>
        <v>0.43979933110367891</v>
      </c>
      <c r="K6" s="110">
        <f>I_Choiseul!D4</f>
        <v>0.40486257928118391</v>
      </c>
      <c r="L6" s="110">
        <f>J_Laborie!D4</f>
        <v>0.58296213808463249</v>
      </c>
      <c r="M6" s="110">
        <f>K_Vieux_Fort_South!D4</f>
        <v>0.52508073196986005</v>
      </c>
      <c r="N6" s="110">
        <f>L_Vieux_Fort_North!D4</f>
        <v>0.56007689842999042</v>
      </c>
      <c r="O6" s="110">
        <f>M_Micoud_South!D4</f>
        <v>0.34500489715964738</v>
      </c>
      <c r="P6" s="110">
        <f>N_Micoud_North!D4</f>
        <v>0.24899274778404512</v>
      </c>
      <c r="Q6" s="110">
        <f>O_Dennery_South!D4</f>
        <v>0.44811160258591359</v>
      </c>
      <c r="R6" s="110">
        <f>P_Dennery_North!D4</f>
        <v>0.51073825503355708</v>
      </c>
      <c r="S6" s="110">
        <f>Q_Castries_South_East!D4</f>
        <v>0.41408597935450148</v>
      </c>
      <c r="T6" s="1"/>
      <c r="U6" s="1"/>
      <c r="V6" s="1"/>
      <c r="W6" s="1"/>
      <c r="X6" s="1"/>
      <c r="Y6" s="1"/>
      <c r="Z6" s="1"/>
      <c r="AA6" s="1"/>
      <c r="AB6" s="1"/>
      <c r="AC6" s="1"/>
    </row>
    <row r="7" spans="1:29" ht="12" customHeight="1" x14ac:dyDescent="0.2">
      <c r="A7" s="111" t="s">
        <v>21</v>
      </c>
      <c r="B7" s="112">
        <f>SUM(C7:S7)</f>
        <v>46422</v>
      </c>
      <c r="C7" s="112">
        <f>A_Gros_Islet!E4</f>
        <v>6339</v>
      </c>
      <c r="D7" s="112">
        <f>B_Babonneau!E4</f>
        <v>3790</v>
      </c>
      <c r="E7" s="112">
        <f>C_Castries_North!E4</f>
        <v>3774</v>
      </c>
      <c r="F7" s="112">
        <f>D_Castries_East!E4</f>
        <v>2576</v>
      </c>
      <c r="G7" s="112">
        <f>E_Castries_Central!E4</f>
        <v>2249</v>
      </c>
      <c r="H7" s="112">
        <f>F_Castries_South!E4</f>
        <v>2166</v>
      </c>
      <c r="I7" s="112">
        <f>G_Anse_La_Raye_and_Canaries!E4</f>
        <v>2472</v>
      </c>
      <c r="J7" s="112">
        <f>H_Soufriere!E4</f>
        <v>2564</v>
      </c>
      <c r="K7" s="112">
        <f>I_Choiseul!E4</f>
        <v>3192</v>
      </c>
      <c r="L7" s="112">
        <f>J_Laborie!E4</f>
        <v>1468</v>
      </c>
      <c r="M7" s="112">
        <f>K_Vieux_Fort_South!E4</f>
        <v>2101</v>
      </c>
      <c r="N7" s="112">
        <f>L_Vieux_Fort_North!E4</f>
        <v>1314</v>
      </c>
      <c r="O7" s="112">
        <f>M_Micoud_South!E4</f>
        <v>2571</v>
      </c>
      <c r="P7" s="112">
        <f>N_Micoud_North!E4</f>
        <v>1910</v>
      </c>
      <c r="Q7" s="112">
        <f>O_Dennery_South!E4</f>
        <v>1464</v>
      </c>
      <c r="R7" s="112">
        <f>P_Dennery_North!E4</f>
        <v>2147</v>
      </c>
      <c r="S7" s="112">
        <f>Q_Castries_South_East!E4</f>
        <v>4325</v>
      </c>
      <c r="T7" s="1"/>
      <c r="U7" s="1"/>
      <c r="V7" s="1"/>
      <c r="W7" s="1"/>
      <c r="X7" s="1"/>
      <c r="Y7" s="1"/>
      <c r="Z7" s="1"/>
      <c r="AA7" s="1"/>
      <c r="AB7" s="1"/>
      <c r="AC7" s="1"/>
    </row>
    <row r="8" spans="1:29" ht="12" customHeight="1" x14ac:dyDescent="0.2">
      <c r="A8" s="111" t="s">
        <v>22</v>
      </c>
      <c r="B8" s="113">
        <f>IF((B19=0),"",(B7/B19))</f>
        <v>0.5346616757846242</v>
      </c>
      <c r="C8" s="113">
        <f>A_Gros_Islet!F4</f>
        <v>0.56623492630638683</v>
      </c>
      <c r="D8" s="113">
        <f>B_Babonneau!F4</f>
        <v>0.57968797797491589</v>
      </c>
      <c r="E8" s="113">
        <f>C_Castries_North!F4</f>
        <v>0.70886551465063863</v>
      </c>
      <c r="F8" s="113">
        <f>D_Castries_East!F4</f>
        <v>0.46339269652815257</v>
      </c>
      <c r="G8" s="113">
        <f>E_Castries_Central!F4</f>
        <v>0.53816702560421148</v>
      </c>
      <c r="H8" s="113">
        <f>F_Castries_South!F4</f>
        <v>0.48413053196244971</v>
      </c>
      <c r="I8" s="113">
        <f>G_Anse_La_Raye_and_Canaries!F4</f>
        <v>0.50770178681454092</v>
      </c>
      <c r="J8" s="113">
        <f>H_Soufriere!F4</f>
        <v>0.53595317725752512</v>
      </c>
      <c r="K8" s="113">
        <f>I_Choiseul!F4</f>
        <v>0.56236786469344613</v>
      </c>
      <c r="L8" s="113">
        <f>J_Laborie!F4</f>
        <v>0.40868596881959912</v>
      </c>
      <c r="M8" s="113">
        <f>K_Vieux_Fort_South!F4</f>
        <v>0.45231431646932185</v>
      </c>
      <c r="N8" s="113">
        <f>L_Vieux_Fort_North!F4</f>
        <v>0.42101890419737265</v>
      </c>
      <c r="O8" s="113">
        <f>M_Micoud_South!F4</f>
        <v>0.62952987267384919</v>
      </c>
      <c r="P8" s="113">
        <f>N_Micoud_North!F4</f>
        <v>0.51302712865968303</v>
      </c>
      <c r="Q8" s="113">
        <f>O_Dennery_South!F4</f>
        <v>0.49812861517522966</v>
      </c>
      <c r="R8" s="113">
        <f>P_Dennery_North!F4</f>
        <v>0.48031319910514542</v>
      </c>
      <c r="S8" s="113">
        <f>Q_Castries_South_East!F4</f>
        <v>0.56513785443616882</v>
      </c>
      <c r="T8" s="1"/>
      <c r="U8" s="1"/>
      <c r="V8" s="1"/>
      <c r="W8" s="1"/>
      <c r="X8" s="1"/>
      <c r="Y8" s="1"/>
      <c r="Z8" s="1"/>
      <c r="AA8" s="1"/>
      <c r="AB8" s="1"/>
      <c r="AC8" s="1"/>
    </row>
    <row r="9" spans="1:29" ht="12" customHeight="1" x14ac:dyDescent="0.2">
      <c r="A9" s="114" t="s">
        <v>23</v>
      </c>
      <c r="B9" s="115">
        <f>SUM(C9:S9)</f>
        <v>3</v>
      </c>
      <c r="C9" s="115">
        <v>0</v>
      </c>
      <c r="D9" s="115">
        <v>0</v>
      </c>
      <c r="E9" s="115">
        <v>0</v>
      </c>
      <c r="F9" s="115">
        <v>0</v>
      </c>
      <c r="G9" s="115">
        <v>0</v>
      </c>
      <c r="H9" s="115">
        <v>0</v>
      </c>
      <c r="I9" s="115">
        <v>0</v>
      </c>
      <c r="J9" s="115">
        <f>H_Soufriere!G4</f>
        <v>3</v>
      </c>
      <c r="K9" s="115">
        <v>0</v>
      </c>
      <c r="L9" s="115">
        <v>0</v>
      </c>
      <c r="M9" s="115">
        <v>0</v>
      </c>
      <c r="N9" s="115">
        <v>0</v>
      </c>
      <c r="O9" s="115">
        <v>0</v>
      </c>
      <c r="P9" s="115">
        <v>0</v>
      </c>
      <c r="Q9" s="115">
        <v>0</v>
      </c>
      <c r="R9" s="115">
        <v>0</v>
      </c>
      <c r="S9" s="115">
        <v>0</v>
      </c>
      <c r="T9" s="1"/>
      <c r="U9" s="1"/>
      <c r="V9" s="1"/>
      <c r="W9" s="1"/>
      <c r="X9" s="1"/>
      <c r="Y9" s="1"/>
      <c r="Z9" s="1"/>
      <c r="AA9" s="1"/>
      <c r="AB9" s="1"/>
      <c r="AC9" s="1"/>
    </row>
    <row r="10" spans="1:29" ht="11.45" customHeight="1" x14ac:dyDescent="0.2">
      <c r="A10" s="114" t="s">
        <v>24</v>
      </c>
      <c r="B10" s="116">
        <f>IF((B19=0),"",(B9/B19))</f>
        <v>3.4552260293694216E-5</v>
      </c>
      <c r="C10" s="116">
        <v>0</v>
      </c>
      <c r="D10" s="116">
        <v>0</v>
      </c>
      <c r="E10" s="116">
        <v>0</v>
      </c>
      <c r="F10" s="116">
        <v>0</v>
      </c>
      <c r="G10" s="116">
        <v>0</v>
      </c>
      <c r="H10" s="116">
        <v>0</v>
      </c>
      <c r="I10" s="116">
        <v>0</v>
      </c>
      <c r="J10" s="116">
        <f>H_Soufriere!H4</f>
        <v>6.270903010033445E-4</v>
      </c>
      <c r="K10" s="116">
        <v>0</v>
      </c>
      <c r="L10" s="116">
        <v>0</v>
      </c>
      <c r="M10" s="116">
        <v>0</v>
      </c>
      <c r="N10" s="116">
        <v>0</v>
      </c>
      <c r="O10" s="116">
        <v>0</v>
      </c>
      <c r="P10" s="116">
        <v>0</v>
      </c>
      <c r="Q10" s="116">
        <v>0</v>
      </c>
      <c r="R10" s="116">
        <v>0</v>
      </c>
      <c r="S10" s="116">
        <v>0</v>
      </c>
      <c r="T10" s="1"/>
      <c r="U10" s="1"/>
      <c r="V10" s="1"/>
      <c r="W10" s="1"/>
      <c r="X10" s="1"/>
      <c r="Y10" s="1"/>
      <c r="Z10" s="1"/>
      <c r="AA10" s="1"/>
      <c r="AB10" s="1"/>
      <c r="AC10" s="1"/>
    </row>
    <row r="11" spans="1:29" s="62" customFormat="1" ht="11.45" customHeight="1" x14ac:dyDescent="0.2">
      <c r="A11" s="117" t="s">
        <v>46</v>
      </c>
      <c r="B11" s="118">
        <f>SUM(C11:S11)</f>
        <v>151</v>
      </c>
      <c r="C11" s="118">
        <f>A_Gros_Islet!G4</f>
        <v>151</v>
      </c>
      <c r="D11" s="128">
        <v>0</v>
      </c>
      <c r="E11" s="128">
        <v>0</v>
      </c>
      <c r="F11" s="128">
        <v>0</v>
      </c>
      <c r="G11" s="128">
        <v>0</v>
      </c>
      <c r="H11" s="128">
        <v>0</v>
      </c>
      <c r="I11" s="128">
        <v>0</v>
      </c>
      <c r="J11" s="128">
        <v>0</v>
      </c>
      <c r="K11" s="128">
        <v>0</v>
      </c>
      <c r="L11" s="128">
        <v>0</v>
      </c>
      <c r="M11" s="128">
        <v>0</v>
      </c>
      <c r="N11" s="128">
        <v>0</v>
      </c>
      <c r="O11" s="128">
        <v>0</v>
      </c>
      <c r="P11" s="128">
        <v>0</v>
      </c>
      <c r="Q11" s="128">
        <v>0</v>
      </c>
      <c r="R11" s="128">
        <v>0</v>
      </c>
      <c r="S11" s="128">
        <v>0</v>
      </c>
      <c r="T11" s="1"/>
      <c r="U11" s="1"/>
      <c r="V11" s="1"/>
      <c r="W11" s="1"/>
      <c r="X11" s="1"/>
      <c r="Y11" s="1"/>
      <c r="Z11" s="1"/>
      <c r="AA11" s="1"/>
      <c r="AB11" s="1"/>
      <c r="AC11" s="1"/>
    </row>
    <row r="12" spans="1:29" s="62" customFormat="1" ht="11.45" customHeight="1" x14ac:dyDescent="0.2">
      <c r="A12" s="117" t="s">
        <v>549</v>
      </c>
      <c r="B12" s="119">
        <f>IF((B19=0),"",(B11/B19))</f>
        <v>1.7391304347826088E-3</v>
      </c>
      <c r="C12" s="119">
        <f>A_Gros_Islet!H4</f>
        <v>1.3488164359088879E-2</v>
      </c>
      <c r="D12" s="119">
        <v>0</v>
      </c>
      <c r="E12" s="119">
        <v>0</v>
      </c>
      <c r="F12" s="119">
        <v>0</v>
      </c>
      <c r="G12" s="119">
        <v>0</v>
      </c>
      <c r="H12" s="119">
        <v>0</v>
      </c>
      <c r="I12" s="119">
        <v>0</v>
      </c>
      <c r="J12" s="119">
        <v>0</v>
      </c>
      <c r="K12" s="119">
        <v>0</v>
      </c>
      <c r="L12" s="119">
        <v>0</v>
      </c>
      <c r="M12" s="119">
        <v>0</v>
      </c>
      <c r="N12" s="119">
        <v>0</v>
      </c>
      <c r="O12" s="119">
        <v>0</v>
      </c>
      <c r="P12" s="119">
        <v>0</v>
      </c>
      <c r="Q12" s="119">
        <v>0</v>
      </c>
      <c r="R12" s="119">
        <v>0</v>
      </c>
      <c r="S12" s="119">
        <v>0</v>
      </c>
      <c r="T12" s="1"/>
      <c r="U12" s="1"/>
      <c r="V12" s="1"/>
      <c r="W12" s="1"/>
      <c r="X12" s="1"/>
      <c r="Y12" s="1"/>
      <c r="Z12" s="1"/>
      <c r="AA12" s="1"/>
      <c r="AB12" s="1"/>
      <c r="AC12" s="1"/>
    </row>
    <row r="13" spans="1:29" s="62" customFormat="1" ht="11.45" customHeight="1" x14ac:dyDescent="0.2">
      <c r="A13" s="123" t="s">
        <v>548</v>
      </c>
      <c r="B13" s="124">
        <f>SUM(C13:S13)</f>
        <v>24</v>
      </c>
      <c r="C13" s="125">
        <v>0</v>
      </c>
      <c r="D13" s="125">
        <v>0</v>
      </c>
      <c r="E13" s="125">
        <v>0</v>
      </c>
      <c r="F13" s="125">
        <v>0</v>
      </c>
      <c r="G13" s="124">
        <f>E_Castries_Central!G4</f>
        <v>13</v>
      </c>
      <c r="H13" s="125">
        <v>0</v>
      </c>
      <c r="I13" s="125">
        <v>0</v>
      </c>
      <c r="J13" s="125">
        <v>0</v>
      </c>
      <c r="K13" s="125">
        <v>0</v>
      </c>
      <c r="L13" s="125">
        <v>0</v>
      </c>
      <c r="M13" s="125">
        <v>0</v>
      </c>
      <c r="N13" s="125">
        <v>0</v>
      </c>
      <c r="O13" s="125">
        <v>0</v>
      </c>
      <c r="P13" s="125">
        <f>N_Micoud_North!G4</f>
        <v>4</v>
      </c>
      <c r="Q13" s="125">
        <f>O_Dennery_South!G4</f>
        <v>7</v>
      </c>
      <c r="R13" s="125">
        <v>0</v>
      </c>
      <c r="S13" s="125">
        <v>0</v>
      </c>
      <c r="T13" s="1"/>
      <c r="U13" s="1"/>
      <c r="V13" s="1"/>
      <c r="W13" s="1"/>
      <c r="X13" s="1"/>
      <c r="Y13" s="1"/>
      <c r="Z13" s="1"/>
      <c r="AA13" s="1"/>
      <c r="AB13" s="1"/>
      <c r="AC13" s="1"/>
    </row>
    <row r="14" spans="1:29" ht="12" customHeight="1" x14ac:dyDescent="0.2">
      <c r="A14" s="123" t="s">
        <v>25</v>
      </c>
      <c r="B14" s="106">
        <f>IF((B19=0),"",(B13/B19))</f>
        <v>2.7641808234955373E-4</v>
      </c>
      <c r="C14" s="126">
        <v>0</v>
      </c>
      <c r="D14" s="126">
        <v>0</v>
      </c>
      <c r="E14" s="126">
        <v>0</v>
      </c>
      <c r="F14" s="126">
        <v>0</v>
      </c>
      <c r="G14" s="126">
        <f>E_Castries_Central!H4</f>
        <v>3.1107920555156735E-3</v>
      </c>
      <c r="H14" s="126">
        <v>0</v>
      </c>
      <c r="I14" s="126">
        <v>0</v>
      </c>
      <c r="J14" s="126">
        <v>0</v>
      </c>
      <c r="K14" s="126">
        <v>0</v>
      </c>
      <c r="L14" s="126">
        <v>0</v>
      </c>
      <c r="M14" s="126">
        <v>0</v>
      </c>
      <c r="N14" s="126">
        <v>0</v>
      </c>
      <c r="O14" s="126">
        <v>0</v>
      </c>
      <c r="P14" s="126">
        <f>N_Micoud_North!H4</f>
        <v>1.0744023636852001E-3</v>
      </c>
      <c r="Q14" s="106">
        <f>O_Dennery_South!H4</f>
        <v>2.3817625042531474E-3</v>
      </c>
      <c r="R14" s="126">
        <v>0</v>
      </c>
      <c r="S14" s="126">
        <v>0</v>
      </c>
      <c r="T14" s="1"/>
      <c r="U14" s="1"/>
      <c r="V14" s="1"/>
      <c r="W14" s="1"/>
      <c r="X14" s="1"/>
      <c r="Y14" s="1"/>
      <c r="Z14" s="1"/>
      <c r="AA14" s="1"/>
      <c r="AB14" s="1"/>
      <c r="AC14" s="1"/>
    </row>
    <row r="15" spans="1:29" ht="12" customHeight="1" x14ac:dyDescent="0.2">
      <c r="A15" s="120" t="s">
        <v>26</v>
      </c>
      <c r="B15" s="121">
        <f>SUM(C15:S15)</f>
        <v>787</v>
      </c>
      <c r="C15" s="121">
        <v>0</v>
      </c>
      <c r="D15" s="121">
        <v>0</v>
      </c>
      <c r="E15" s="121">
        <v>0</v>
      </c>
      <c r="F15" s="121">
        <v>0</v>
      </c>
      <c r="G15" s="121" t="s">
        <v>571</v>
      </c>
      <c r="H15" s="121">
        <v>0</v>
      </c>
      <c r="I15" s="121">
        <v>0</v>
      </c>
      <c r="J15" s="121">
        <v>0</v>
      </c>
      <c r="K15" s="121">
        <v>0</v>
      </c>
      <c r="L15" s="121">
        <v>0</v>
      </c>
      <c r="M15" s="121">
        <v>0</v>
      </c>
      <c r="N15" s="121">
        <v>0</v>
      </c>
      <c r="O15" s="121">
        <v>0</v>
      </c>
      <c r="P15" s="121">
        <f>N_Micoud_North!I4</f>
        <v>787</v>
      </c>
      <c r="Q15" s="121">
        <v>0</v>
      </c>
      <c r="R15" s="121">
        <v>0</v>
      </c>
      <c r="S15" s="121">
        <v>0</v>
      </c>
      <c r="T15" s="1"/>
      <c r="U15" s="1"/>
      <c r="V15" s="1"/>
      <c r="W15" s="1"/>
      <c r="X15" s="1"/>
      <c r="Y15" s="1"/>
      <c r="Z15" s="1"/>
      <c r="AA15" s="1"/>
      <c r="AB15" s="1"/>
      <c r="AC15" s="1"/>
    </row>
    <row r="16" spans="1:29" ht="12" customHeight="1" x14ac:dyDescent="0.2">
      <c r="A16" s="120" t="s">
        <v>27</v>
      </c>
      <c r="B16" s="127">
        <f>IF((B19=0),"",(B15/B19))</f>
        <v>9.0642096170457809E-3</v>
      </c>
      <c r="C16" s="122">
        <v>0</v>
      </c>
      <c r="D16" s="122">
        <v>0</v>
      </c>
      <c r="E16" s="122">
        <v>0</v>
      </c>
      <c r="F16" s="122">
        <v>0</v>
      </c>
      <c r="G16" s="122">
        <v>0</v>
      </c>
      <c r="H16" s="122">
        <v>0</v>
      </c>
      <c r="I16" s="122">
        <v>0</v>
      </c>
      <c r="J16" s="122">
        <v>0</v>
      </c>
      <c r="K16" s="122">
        <v>0</v>
      </c>
      <c r="L16" s="122">
        <v>0</v>
      </c>
      <c r="M16" s="122">
        <v>0</v>
      </c>
      <c r="N16" s="122">
        <v>0</v>
      </c>
      <c r="O16" s="122">
        <v>0</v>
      </c>
      <c r="P16" s="122">
        <f>N_Micoud_North!J4</f>
        <v>0.21138866505506312</v>
      </c>
      <c r="Q16" s="122">
        <v>0</v>
      </c>
      <c r="R16" s="122">
        <v>0</v>
      </c>
      <c r="S16" s="122">
        <v>0</v>
      </c>
      <c r="T16" s="1"/>
      <c r="U16" s="1"/>
      <c r="V16" s="1"/>
      <c r="W16" s="1"/>
      <c r="X16" s="1"/>
      <c r="Y16" s="1"/>
      <c r="Z16" s="1"/>
      <c r="AA16" s="1"/>
      <c r="AB16" s="1"/>
      <c r="AC16" s="1"/>
    </row>
    <row r="17" spans="1:29" ht="12" customHeight="1" x14ac:dyDescent="0.2">
      <c r="A17" s="5" t="s">
        <v>28</v>
      </c>
      <c r="B17" s="6">
        <f>SUM(C17:S17)</f>
        <v>2091</v>
      </c>
      <c r="C17" s="6">
        <f>A_Gros_Islet!I4</f>
        <v>157</v>
      </c>
      <c r="D17" s="6">
        <f>B_Babonneau!G4</f>
        <v>265</v>
      </c>
      <c r="E17" s="6">
        <f>C_Castries_North!G4</f>
        <v>70</v>
      </c>
      <c r="F17" s="6">
        <f>D_Castries_East!G4</f>
        <v>80</v>
      </c>
      <c r="G17" s="6">
        <f>E_Castries_Central!I4</f>
        <v>41</v>
      </c>
      <c r="H17" s="6">
        <f>F_Castries_South!G4</f>
        <v>96</v>
      </c>
      <c r="I17" s="6">
        <f>G_Anse_La_Raye_and_Canaries!G4</f>
        <v>310</v>
      </c>
      <c r="J17" s="6">
        <f>H_Soufriere!I4</f>
        <v>113</v>
      </c>
      <c r="K17" s="6">
        <f>I_Choiseul!G4</f>
        <v>186</v>
      </c>
      <c r="L17" s="6">
        <f>J_Laborie!G4</f>
        <v>30</v>
      </c>
      <c r="M17" s="6">
        <f>K_Vieux_Fort_South!G4</f>
        <v>105</v>
      </c>
      <c r="N17" s="6">
        <f>L_Vieux_Fort_North!G4</f>
        <v>59</v>
      </c>
      <c r="O17" s="6">
        <f>M_Micoud_South!G4</f>
        <v>134</v>
      </c>
      <c r="P17" s="6">
        <f>N_Micoud_North!K4</f>
        <v>95</v>
      </c>
      <c r="Q17" s="6">
        <f>O_Dennery_South!I4</f>
        <v>151</v>
      </c>
      <c r="R17" s="6">
        <f>P_Dennery_North!G4</f>
        <v>40</v>
      </c>
      <c r="S17" s="6">
        <f>Q_Castries_South_East!G4</f>
        <v>159</v>
      </c>
      <c r="T17" s="1"/>
      <c r="U17" s="1"/>
      <c r="V17" s="1"/>
      <c r="W17" s="1"/>
      <c r="X17" s="1"/>
      <c r="Y17" s="1"/>
      <c r="Z17" s="1"/>
      <c r="AA17" s="1"/>
      <c r="AB17" s="1"/>
      <c r="AC17" s="1"/>
    </row>
    <row r="18" spans="1:29" ht="12" customHeight="1" x14ac:dyDescent="0.2">
      <c r="A18" s="5" t="s">
        <v>29</v>
      </c>
      <c r="B18" s="7">
        <f>IF((B19=0),"",(B17/B19))</f>
        <v>2.4082925424704867E-2</v>
      </c>
      <c r="C18" s="7">
        <f>A_Gros_Islet!J4</f>
        <v>1.4024117909781152E-2</v>
      </c>
      <c r="D18" s="7">
        <f>B_Babonneau!H4</f>
        <v>4.0532272866319975E-2</v>
      </c>
      <c r="E18" s="7">
        <f>C_Castries_North!H4</f>
        <v>1.3148009015777611E-2</v>
      </c>
      <c r="F18" s="7">
        <f>D_Castries_East!H4</f>
        <v>1.4391077531930203E-2</v>
      </c>
      <c r="G18" s="7">
        <f>E_Castries_Central!J4</f>
        <v>9.8109595597032778E-3</v>
      </c>
      <c r="H18" s="7">
        <f>F_Castries_South!H4</f>
        <v>2.1457308895842648E-2</v>
      </c>
      <c r="I18" s="7">
        <f>G_Anse_La_Raye_and_Canaries!H4</f>
        <v>6.3668104333538714E-2</v>
      </c>
      <c r="J18" s="7">
        <f>H_Soufriere!J4</f>
        <v>2.3620401337792644E-2</v>
      </c>
      <c r="K18" s="7">
        <f>I_Choiseul!H4</f>
        <v>3.2769556025369982E-2</v>
      </c>
      <c r="L18" s="7">
        <f>J_Laborie!H4</f>
        <v>8.351893095768375E-3</v>
      </c>
      <c r="M18" s="7">
        <f>K_Vieux_Fort_South!H4</f>
        <v>2.2604951560818085E-2</v>
      </c>
      <c r="N18" s="7">
        <f>L_Vieux_Fort_North!H4</f>
        <v>1.8904197372636974E-2</v>
      </c>
      <c r="O18" s="7">
        <f>M_Micoud_South!H4</f>
        <v>3.2810969637610189E-2</v>
      </c>
      <c r="P18" s="7">
        <f>N_Micoud_North!L4</f>
        <v>2.5517056137523503E-2</v>
      </c>
      <c r="Q18" s="7">
        <f>O_Dennery_South!J4</f>
        <v>5.1378019734603604E-2</v>
      </c>
      <c r="R18" s="7">
        <f>P_Dennery_North!H4</f>
        <v>8.948545861297539E-3</v>
      </c>
      <c r="S18" s="7">
        <f>Q_Castries_South_East!H4</f>
        <v>2.0776166209329674E-2</v>
      </c>
      <c r="T18" s="1"/>
      <c r="U18" s="1"/>
      <c r="V18" s="1"/>
      <c r="W18" s="1"/>
      <c r="X18" s="1"/>
      <c r="Y18" s="1"/>
      <c r="Z18" s="1"/>
      <c r="AA18" s="1"/>
      <c r="AB18" s="1"/>
      <c r="AC18" s="1"/>
    </row>
    <row r="19" spans="1:29" ht="12" customHeight="1" x14ac:dyDescent="0.2">
      <c r="A19" s="2" t="s">
        <v>30</v>
      </c>
      <c r="B19" s="4">
        <f>SUM(C19:S19)</f>
        <v>86825</v>
      </c>
      <c r="C19" s="4">
        <f>A_Gros_Islet!K4</f>
        <v>11195</v>
      </c>
      <c r="D19" s="4">
        <f>B_Babonneau!I4</f>
        <v>6538</v>
      </c>
      <c r="E19" s="4">
        <f>C_Castries_North!I4</f>
        <v>5324</v>
      </c>
      <c r="F19" s="4">
        <f>D_Castries_East!I4</f>
        <v>5559</v>
      </c>
      <c r="G19" s="4">
        <f>E_Castries_Central!K4</f>
        <v>4179</v>
      </c>
      <c r="H19" s="4">
        <f>F_Castries_South!I4</f>
        <v>4474</v>
      </c>
      <c r="I19" s="4">
        <f>G_Anse_La_Raye_and_Canaries!I4</f>
        <v>4869</v>
      </c>
      <c r="J19" s="4">
        <f>H_Soufriere!K4</f>
        <v>4784</v>
      </c>
      <c r="K19" s="4">
        <f>I_Choiseul!I4</f>
        <v>5676</v>
      </c>
      <c r="L19" s="4">
        <f>J_Laborie!I4</f>
        <v>3592</v>
      </c>
      <c r="M19" s="4">
        <f>K_Vieux_Fort_South!I4</f>
        <v>4645</v>
      </c>
      <c r="N19" s="4">
        <f>L_Vieux_Fort_North!I4</f>
        <v>3121</v>
      </c>
      <c r="O19" s="4">
        <f>M_Micoud_South!I4</f>
        <v>4084</v>
      </c>
      <c r="P19" s="4">
        <f>N_Micoud_North!M4</f>
        <v>3723</v>
      </c>
      <c r="Q19" s="4">
        <f>O_Dennery_South!K4</f>
        <v>2939</v>
      </c>
      <c r="R19" s="4">
        <f>P_Dennery_North!I4</f>
        <v>4470</v>
      </c>
      <c r="S19" s="4">
        <f>Q_Castries_South_East!I4</f>
        <v>7653</v>
      </c>
      <c r="T19" s="1"/>
      <c r="U19" s="1"/>
      <c r="V19" s="1"/>
      <c r="W19" s="1"/>
      <c r="X19" s="1"/>
      <c r="Y19" s="1"/>
      <c r="Z19" s="1"/>
      <c r="AA19" s="1"/>
      <c r="AB19" s="1"/>
      <c r="AC19" s="1"/>
    </row>
    <row r="20" spans="1:29" ht="12" customHeight="1" x14ac:dyDescent="0.2">
      <c r="A20" s="2" t="s">
        <v>31</v>
      </c>
      <c r="B20" s="8">
        <f>IF((B4=0),"",(B19/B4))</f>
        <v>0.53522333592237803</v>
      </c>
      <c r="C20" s="8">
        <f>A_Gros_Islet!L4</f>
        <v>0.54318292091217857</v>
      </c>
      <c r="D20" s="8">
        <f>B_Babonneau!J4</f>
        <v>0.58038171327119392</v>
      </c>
      <c r="E20" s="8">
        <f>C_Castries_North!J4</f>
        <v>0.4544600938967136</v>
      </c>
      <c r="F20" s="8">
        <f>D_Castries_East!J4</f>
        <v>0.45085158150851584</v>
      </c>
      <c r="G20" s="8">
        <f>E_Castries_Central!L4</f>
        <v>0.44495315161839866</v>
      </c>
      <c r="H20" s="8">
        <f>F_Castries_South!J4</f>
        <v>0.50365867387143981</v>
      </c>
      <c r="I20" s="8">
        <f>G_Anse_La_Raye_and_Canaries!J4</f>
        <v>0.60334572490706317</v>
      </c>
      <c r="J20" s="8">
        <f>H_Soufriere!L4</f>
        <v>0.60880631203868674</v>
      </c>
      <c r="K20" s="8">
        <f>I_Choiseul!J4</f>
        <v>0.63157894736842102</v>
      </c>
      <c r="L20" s="8">
        <f>J_Laborie!J4</f>
        <v>0.55125844076120323</v>
      </c>
      <c r="M20" s="8">
        <f>K_Vieux_Fort_South!J4</f>
        <v>0.53446093660108163</v>
      </c>
      <c r="N20" s="8">
        <f>L_Vieux_Fort_North!J4</f>
        <v>0.48030163127116038</v>
      </c>
      <c r="O20" s="8">
        <f>M_Micoud_South!J4</f>
        <v>0.58193217440866341</v>
      </c>
      <c r="P20" s="8">
        <f>N_Micoud_North!N4</f>
        <v>0.49979863068868302</v>
      </c>
      <c r="Q20" s="8">
        <f>O_Dennery_South!L4</f>
        <v>0.58534156542521409</v>
      </c>
      <c r="R20" s="8">
        <f>P_Dennery_North!J4</f>
        <v>0.5491400491400491</v>
      </c>
      <c r="S20" s="8">
        <f>Q_Castries_South_East!J4</f>
        <v>0.55541040714130196</v>
      </c>
      <c r="T20" s="1"/>
      <c r="U20" s="1"/>
      <c r="V20" s="1"/>
      <c r="W20" s="1"/>
      <c r="X20" s="1"/>
      <c r="Y20" s="1"/>
      <c r="Z20" s="1"/>
      <c r="AA20" s="1"/>
      <c r="AB20" s="1"/>
      <c r="AC20" s="1"/>
    </row>
    <row r="21" spans="1:29" ht="12" customHeight="1" x14ac:dyDescent="0.2">
      <c r="A21" s="2" t="s">
        <v>32</v>
      </c>
      <c r="B21" s="4">
        <f>SUM(C21:S21)</f>
        <v>74745</v>
      </c>
      <c r="C21" s="4">
        <f>A_Gros_Islet!M4</f>
        <v>9309</v>
      </c>
      <c r="D21" s="4">
        <f>B_Babonneau!K4</f>
        <v>4629</v>
      </c>
      <c r="E21" s="4">
        <f>C_Castries_North!K4</f>
        <v>6305</v>
      </c>
      <c r="F21" s="4">
        <f>D_Castries_East!K4</f>
        <v>6672</v>
      </c>
      <c r="G21" s="4">
        <f>E_Castries_Central!M4</f>
        <v>5138</v>
      </c>
      <c r="H21" s="4">
        <f>F_Castries_South!K4</f>
        <v>4369</v>
      </c>
      <c r="I21" s="4">
        <f>G_Anse_La_Raye_and_Canaries!K4</f>
        <v>3111</v>
      </c>
      <c r="J21" s="4">
        <f>H_Soufriere!M4</f>
        <v>3016</v>
      </c>
      <c r="K21" s="4">
        <f>I_Choiseul!K4</f>
        <v>3311</v>
      </c>
      <c r="L21" s="4">
        <f>J_Laborie!K4</f>
        <v>2924</v>
      </c>
      <c r="M21" s="4">
        <f>K_Vieux_Fort_South!K4</f>
        <v>4046</v>
      </c>
      <c r="N21" s="4">
        <f>L_Vieux_Fort_North!K4</f>
        <v>3377</v>
      </c>
      <c r="O21" s="4">
        <f>M_Micoud_South!K4</f>
        <v>2934</v>
      </c>
      <c r="P21" s="4">
        <f>N_Micoud_North!O4</f>
        <v>3726</v>
      </c>
      <c r="Q21" s="4">
        <f>O_Dennery_South!M4</f>
        <v>2082</v>
      </c>
      <c r="R21" s="4">
        <f>P_Dennery_North!K4</f>
        <v>3670</v>
      </c>
      <c r="S21" s="4">
        <f>Q_Castries_South_East!K4</f>
        <v>6126</v>
      </c>
      <c r="T21" s="1"/>
      <c r="U21" s="1"/>
      <c r="V21" s="1"/>
      <c r="W21" s="1"/>
      <c r="X21" s="1"/>
      <c r="Y21" s="1"/>
      <c r="Z21" s="1"/>
      <c r="AA21" s="1"/>
      <c r="AB21" s="1"/>
      <c r="AC21" s="1"/>
    </row>
    <row r="22" spans="1:29" ht="12" customHeight="1" x14ac:dyDescent="0.2">
      <c r="A22" s="2" t="s">
        <v>33</v>
      </c>
      <c r="B22" s="8">
        <f>IF((B4=0),"",(B21/B4))</f>
        <v>0.46075748048969928</v>
      </c>
      <c r="C22" s="8">
        <f>A_Gros_Islet!N4</f>
        <v>0.45167394468704514</v>
      </c>
      <c r="D22" s="8">
        <f>B_Babonneau!L4</f>
        <v>0.41091877496671103</v>
      </c>
      <c r="E22" s="8">
        <f>C_Castries_North!L4</f>
        <v>0.53819889031156631</v>
      </c>
      <c r="F22" s="8">
        <f>D_Castries_East!L4</f>
        <v>0.54111922141119217</v>
      </c>
      <c r="G22" s="8">
        <f>E_Castries_Central!N4</f>
        <v>0.54706132879045999</v>
      </c>
      <c r="H22" s="8">
        <f>F_Castries_South!L4</f>
        <v>0.49183834290217271</v>
      </c>
      <c r="I22" s="8">
        <f>G_Anse_La_Raye_and_Canaries!L4</f>
        <v>0.38550185873605947</v>
      </c>
      <c r="J22" s="8">
        <f>H_Soufriere!N4</f>
        <v>0.38381267498091115</v>
      </c>
      <c r="K22" s="8">
        <f>I_Choiseul!L4</f>
        <v>0.36842105263157893</v>
      </c>
      <c r="L22" s="8">
        <f>J_Laborie!L4</f>
        <v>0.44874155923879683</v>
      </c>
      <c r="M22" s="8">
        <f>K_Vieux_Fort_South!L4</f>
        <v>0.46553906339891843</v>
      </c>
      <c r="N22" s="8">
        <f>L_Vieux_Fort_North!L4</f>
        <v>0.51969836872883968</v>
      </c>
      <c r="O22" s="8">
        <f>M_Micoud_South!L4</f>
        <v>0.41806782559133654</v>
      </c>
      <c r="P22" s="8">
        <f>N_Micoud_North!P4</f>
        <v>0.50020136931131698</v>
      </c>
      <c r="Q22" s="8">
        <f>O_Dennery_South!N4</f>
        <v>0.41465843457478591</v>
      </c>
      <c r="R22" s="8">
        <f>P_Dennery_North!L4</f>
        <v>0.45085995085995084</v>
      </c>
      <c r="S22" s="8">
        <f>Q_Castries_South_East!L4</f>
        <v>0.44458959285869804</v>
      </c>
      <c r="T22" s="1"/>
      <c r="U22" s="1"/>
      <c r="V22" s="1"/>
      <c r="W22" s="1"/>
      <c r="X22" s="1"/>
      <c r="Y22" s="1"/>
      <c r="Z22" s="1"/>
      <c r="AA22" s="1"/>
      <c r="AB22" s="1"/>
      <c r="AC22" s="1"/>
    </row>
    <row r="23" spans="1:29" ht="12.75" customHeight="1" x14ac:dyDescent="0.2">
      <c r="A23" s="1" t="s">
        <v>542</v>
      </c>
      <c r="B23" s="1">
        <f>SUM(C23:S23)</f>
        <v>1566</v>
      </c>
      <c r="C23" s="1">
        <v>106</v>
      </c>
      <c r="D23" s="1">
        <v>98</v>
      </c>
      <c r="E23" s="1">
        <v>86</v>
      </c>
      <c r="F23" s="1">
        <v>99</v>
      </c>
      <c r="G23" s="1">
        <v>75</v>
      </c>
      <c r="H23" s="1">
        <v>40</v>
      </c>
      <c r="I23" s="1">
        <v>90</v>
      </c>
      <c r="J23" s="1">
        <v>58</v>
      </c>
      <c r="K23" s="1">
        <v>118</v>
      </c>
      <c r="L23" s="1">
        <v>88</v>
      </c>
      <c r="M23" s="1">
        <v>77</v>
      </c>
      <c r="N23" s="1">
        <v>83</v>
      </c>
      <c r="O23" s="1">
        <v>128</v>
      </c>
      <c r="P23" s="1">
        <v>187</v>
      </c>
      <c r="Q23" s="1">
        <v>91</v>
      </c>
      <c r="R23" s="1">
        <v>39</v>
      </c>
      <c r="S23" s="1">
        <v>103</v>
      </c>
      <c r="T23" s="1"/>
      <c r="U23" s="1"/>
      <c r="V23" s="1"/>
      <c r="W23" s="1"/>
      <c r="X23" s="1"/>
      <c r="Y23" s="1"/>
      <c r="Z23" s="1"/>
      <c r="AA23" s="1"/>
      <c r="AB23" s="1"/>
      <c r="AC23" s="1"/>
    </row>
    <row r="24" spans="1:29" ht="12.75"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ht="12.75" customHeight="1" x14ac:dyDescent="0.2">
      <c r="A25" s="1"/>
      <c r="B25" s="1"/>
      <c r="C25" s="1"/>
      <c r="D25" s="1"/>
      <c r="E25" s="1"/>
      <c r="F25" s="1"/>
      <c r="G25" s="193">
        <f>SUM(B5,B7,B9,B11,B13,B15,B17)</f>
        <v>86855</v>
      </c>
      <c r="H25" s="1"/>
      <c r="I25" s="1"/>
      <c r="J25" s="1"/>
      <c r="K25" s="1"/>
      <c r="L25" s="1"/>
      <c r="M25" s="1"/>
      <c r="N25" s="1"/>
      <c r="O25" s="1"/>
      <c r="P25" s="1"/>
      <c r="Q25" s="1"/>
      <c r="R25" s="1"/>
      <c r="S25" s="1"/>
      <c r="T25" s="1"/>
      <c r="U25" s="1"/>
      <c r="V25" s="1"/>
      <c r="W25" s="1"/>
      <c r="X25" s="1"/>
      <c r="Y25" s="1"/>
      <c r="Z25" s="1"/>
      <c r="AA25" s="1"/>
      <c r="AB25" s="1"/>
      <c r="AC25" s="1"/>
    </row>
    <row r="26" spans="1:29" ht="12.75" customHeight="1" x14ac:dyDescent="0.2">
      <c r="A26" s="1"/>
      <c r="B26" s="1" t="s">
        <v>546</v>
      </c>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ht="12.75" customHeight="1" x14ac:dyDescent="0.2">
      <c r="A27" s="1"/>
      <c r="B27" s="1" t="s">
        <v>552</v>
      </c>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1:29" ht="12.75" customHeight="1" x14ac:dyDescent="0.2">
      <c r="A28" s="1"/>
      <c r="B28" s="1" t="s">
        <v>553</v>
      </c>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1:29" ht="12.75" customHeight="1" x14ac:dyDescent="0.2">
      <c r="A29" s="1"/>
      <c r="B29" s="1" t="s">
        <v>547</v>
      </c>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1:29" ht="12.75" customHeight="1" x14ac:dyDescent="0.2">
      <c r="A30" s="1"/>
      <c r="B30" s="1" t="s">
        <v>555</v>
      </c>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1:29" ht="12.75" customHeight="1" x14ac:dyDescent="0.2">
      <c r="A31" s="1"/>
      <c r="B31" s="1" t="s">
        <v>550</v>
      </c>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1:29" ht="12.75" customHeight="1" x14ac:dyDescent="0.2">
      <c r="A32" s="1">
        <v>163136</v>
      </c>
      <c r="B32" s="1" t="s">
        <v>551</v>
      </c>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1:29" ht="12.75" customHeight="1" x14ac:dyDescent="0.2">
      <c r="A33" s="1"/>
      <c r="B33" s="1" t="s">
        <v>554</v>
      </c>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1:29" ht="12.75" customHeight="1" x14ac:dyDescent="0.2">
      <c r="A34" s="1">
        <f>163499-118-88-77-83-128-187-91-39-103</f>
        <v>162585</v>
      </c>
      <c r="B34" s="1" t="s">
        <v>569</v>
      </c>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1:29" ht="12.75" customHeight="1" x14ac:dyDescent="0.2">
      <c r="A35" s="1"/>
      <c r="B35" s="1" t="s">
        <v>556</v>
      </c>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1:29" ht="12.75" customHeight="1" x14ac:dyDescent="0.2">
      <c r="A36" s="1"/>
      <c r="B36" s="1" t="s">
        <v>557</v>
      </c>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1:29" ht="12.75" customHeight="1" x14ac:dyDescent="0.2">
      <c r="A37" s="1"/>
      <c r="B37" s="1" t="s">
        <v>558</v>
      </c>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ht="12.75" customHeight="1" x14ac:dyDescent="0.2">
      <c r="A38" s="1"/>
      <c r="B38" s="1" t="s">
        <v>559</v>
      </c>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ht="12.75" customHeight="1" x14ac:dyDescent="0.2">
      <c r="A39" s="1"/>
      <c r="B39" s="1" t="s">
        <v>560</v>
      </c>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ht="12.75" customHeight="1" x14ac:dyDescent="0.2">
      <c r="A40" s="1"/>
      <c r="B40" s="1" t="s">
        <v>561</v>
      </c>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ht="12.75" customHeight="1" x14ac:dyDescent="0.2">
      <c r="A41" s="1"/>
      <c r="B41" s="1" t="s">
        <v>562</v>
      </c>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1:29" ht="12.75" customHeight="1" x14ac:dyDescent="0.2">
      <c r="A42" s="1"/>
      <c r="B42" s="1" t="s">
        <v>563</v>
      </c>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1:29" ht="12.75" customHeight="1" x14ac:dyDescent="0.2">
      <c r="A43" s="1"/>
      <c r="B43" s="1" t="s">
        <v>564</v>
      </c>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1:29" ht="12.75" customHeight="1" x14ac:dyDescent="0.2">
      <c r="A44" s="1"/>
      <c r="B44" s="1" t="s">
        <v>565</v>
      </c>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1:29" ht="12.75" customHeight="1" x14ac:dyDescent="0.2">
      <c r="A45" s="1"/>
      <c r="B45" s="1" t="s">
        <v>566</v>
      </c>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1:29" ht="12.75" customHeight="1" x14ac:dyDescent="0.2">
      <c r="A46" s="1"/>
      <c r="B46" s="1" t="s">
        <v>567</v>
      </c>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1:29" ht="12.75" customHeight="1" x14ac:dyDescent="0.2">
      <c r="A47" s="1"/>
      <c r="B47" s="1" t="s">
        <v>568</v>
      </c>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1:29" ht="12.75" customHeight="1" x14ac:dyDescent="0.2">
      <c r="A48" s="1"/>
      <c r="B48" s="1" t="s">
        <v>570</v>
      </c>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1:29"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1:29"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1:29"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1:29"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1:29"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1:29"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1:29"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1:29"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1:29"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1:29"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1:29"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1:29"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1:29"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1:29"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1:29"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1:29"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1:29"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1:29"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1:29"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1:29"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1:29"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1:29"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1:29"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1:29"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1:29"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1:29"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1:29"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1:29"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1:29"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1:29"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1:29"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1:29"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1:29"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1:29"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1:29"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1:29"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1:29"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1:29"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1:29"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1:29"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1:29"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1:29"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1:29"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1:29"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1:29"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1:29"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1:29"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1:29"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1:29"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1:29"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1:29"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1:29"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1:29"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1:29"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1:29"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1:29"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1:29"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1:29"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1:29"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1:29"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1:29"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1:29"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1:29"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1:29"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1:29"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1:29"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1:29"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1:29"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1:29"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1:29"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1:29"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1:29"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1:29"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1:29"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1:29"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1:29"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1:29"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1:29"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1:29"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1:29"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1:29"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1:29"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1:29"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1:29"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1:29"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1:29"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1:29"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1:29"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1:29"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1:29"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1:29"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1:29"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1:29"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1:29"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1:29"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1:29"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1:29"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1:29"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1:29"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1:29"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1:29"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1:29"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1:29"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1:29"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1:29"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1:29"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1:29"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1:29"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1:29"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1:29"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1:29"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1:29"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1:29"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1:29"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1:29"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1:29"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1:29"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1:29"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1:29"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1:29"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1:29"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1:29"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1:29"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1:29"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1:29"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1:29"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1:29"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1:29"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1:29"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1:29"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1:29"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1:29"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1:29"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1:29"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1:29"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1:29"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1:29"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1:29"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1:29"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1:29"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1:29"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1:29"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1:29"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1:29"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1:29"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1:29"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1:29"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1:29"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1:29"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1:29"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1:29"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1:29"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1:29"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1:29"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1:29"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1:29"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1:29"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1:29"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1:29"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1:29"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1:29"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1:29"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1:29"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1:29"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1:29"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1:29"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1:29"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1:29"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1:29"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1:29"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1:29"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1:29"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1:29"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1:29"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1:29"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1:29"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1:29"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1:29"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1:29"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1:29"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1:29"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1:29"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1:29"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1:29"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1:29"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1:29"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1:29"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1:29"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1:29"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1:29"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1:29"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1:29"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1:29"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1:29"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1:29"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1:29"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1:29"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1:29"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1:29"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1:29"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1:29"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1:29"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1:29"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1:29"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1:29"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1:29"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1:29"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1:29"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1:29"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1:29"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1:29"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1:29"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1:29"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1:29"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1:29"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1:29"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1:29"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1:29"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1:29"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1:29"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1:29"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1:29"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1:29"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1:29"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1:29"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1:29"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1:29"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1:29"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1:29"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1:29"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1:29"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1:29"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1:29"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1:29"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1:29"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1:29"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1:29"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1:29"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1:29"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1:29"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1:29"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1:29"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1:29"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1:29"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1:29"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1:29"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1:29"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1:29"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1:29"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1:29"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1:29"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1:29"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1:29"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1:29"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1:29"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1:29"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1:29"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1:29"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1:29"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1:29"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1:29"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1:29"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1:29"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1:29"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1:29"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1:29"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1:29"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1:29"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1:29"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1:29"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1:29"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1:29"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1:29"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1:29"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1:29"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1:29"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1:29"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1:29"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1:29"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1:29"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1:29"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1:29"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1:29"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1:29"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1:29"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1:29"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1:29"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1:29"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1:29"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1:29"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1:29"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1:29"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1:29"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1:29"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1:29"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1:29"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1:29"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1:29"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1:29"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1:29"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1:29"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1:29"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1:29"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1:29"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1:29"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1:29"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1:29"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1:29"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1:29"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1:29"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1:29"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1:29"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1:29"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1:29"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1:29"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1:29"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1:29"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1:29"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1:29"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1:29"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1:29"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1:29"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1:29"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1:29"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1:29"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1:29"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1:29"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1:29"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1:29"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1:29"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1:29"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1:29"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1:29"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1:29"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1:29"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1:29"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1:29"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1:29"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1:29"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1:29"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1:29"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1:29"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1:29"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1:29"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1:29"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1:29"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1:29"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1:29"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1:29"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1:29"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1:29"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1:29"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1:29"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1:29"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1:29"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1:29"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1:29"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1:29"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1:29"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1:29"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1:29"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1:29"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1:29"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1:29"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1:29"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1:29"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1:29"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1:29"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1:29"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1:29"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1:29"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1:29"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1:29"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1:29"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1:29"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1:29"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1:29"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1:29"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1:29"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1:29"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1:29"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1:29"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1:29"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1:29"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1:29"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1:29"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1:29"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1:29"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1:29"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1:29"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1:29"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1:29"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1:29"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1:29"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1:29"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1:29"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1:29"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1:29"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1:29"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1:29"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1:29"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1:29"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1:29"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1:29"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1:29"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1:29"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1:29"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1:29"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1:29"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1:29"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1:29"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1:29"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1:29"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1:29"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1:29"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1:29"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1:29"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1:29"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1:29"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1:29"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1:29"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1:29"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1:29"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1:29"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1:29"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1:29"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1:29"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1:29"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1:29"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1:29"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1:29"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1:29"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1:29"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1:29"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1:29"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1:29"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1:29"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1:29"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1:29"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1:29"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1:29"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1:29"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1:29"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1:29"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1:29"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1:29"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1:29"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1:29"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1:29"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1:29"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1:29"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1:29"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1:29"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1:29"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1:29"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1:29"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1:29"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1:29"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1:29"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1:29"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1:29"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1:29"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1:29"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1:29"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1:29"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1:29"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1:29"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1:29"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1:29"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1:29"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1:29"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1:29"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1:29"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1:29"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1:29"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1:29"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1:29"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1:29"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1:29"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1:29"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1:29"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1:29"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1:29"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1:29"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1:29"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1:29"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1:29"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1:29"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1:29"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1:29"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1:29"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1:29"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1:29"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1:29"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1:29"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1:29"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1:29"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1:29"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1:29"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1:29"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1:29"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1:29"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1:29"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1:29"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1:29"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1:29"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1:29"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1:29"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1:29"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1:29"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1:29"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1:29"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1:29"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1:29"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1:29"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1:29"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1:29"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1:29"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1:29"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1:29"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1:29"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1:29"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1:29"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1:29"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1:29"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1:29"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1:29"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1:29"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1:29"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1:29"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1:29"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1:29"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1:29"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1:29"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1:29"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1:29"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1:29"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1:29"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1:29"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1:29"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1:29"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1:29"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1:29"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1:29"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1:29"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1:29"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1:29"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1:29"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1:29"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1:29"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1:29"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1:29"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1:29"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1:29"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1:29"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1:29"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1:29"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1:29"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1:29"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1:29"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1:29"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1:29"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1:29"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1:29"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1:29"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1:29"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1:29"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1:29"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1:29"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1:29"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1:29"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1:29"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1:29"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1:29"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1:29"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1:29"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1:29"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1:29"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1:29"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1:29"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1:29"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1:29"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1:29"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1:29"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1:29"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1:29"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1:29"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1:29"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1:29"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1:29"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1:29"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1:29"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1:29"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1:29"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1:29"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1:29"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1:29"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1:29"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1:29"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1:29"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1:29"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1:29"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1:29"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1:29"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1:29"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1:29"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1:29"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1:29"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1:29"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1:29"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1:29"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1:29"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1:29"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1:29"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1:29"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1:29"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1:29"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1:29"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1:29"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1:29"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1:29"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1:29"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1:29"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1:29"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1:29"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1:29"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1:29"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1:29"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1:29"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1:29"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1:29"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1:29"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1:29"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1:29"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1:29"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1:29"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1:29"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1:29"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1:29"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1:29"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1:29"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1:29"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1:29"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1:29"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1:29"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1:29"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1:29"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1:29"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1:29"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1:29"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1:29"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1:29"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1:29"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1:29"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1:29"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1:29"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1:29"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1:29"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1:29"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1:29"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1:29"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1:29"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1:29"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1:29"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1:29"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1:29"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1:29"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1:29"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1:29"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1:29"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1:29"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1:29"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1:29"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1:29"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1:29"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1:29"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1:29"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1:29"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1:29"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1:29"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1:29"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1:29"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1:29"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1:29"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1:29"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1:29"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1:29"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1:29"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1:29"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1:29"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1:29"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1:29"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1:29"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1:29"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1:29"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1:29"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1:29"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1:29"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1:29"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1:29"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1:29"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1:29"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1:29"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1:29"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1:29"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1:29"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1:29"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1:29"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1:29"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1:29"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1:29"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1:29"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1:29"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1:29"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1:29"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1:29"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1:29"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1:29"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1:29"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1:29"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1:29"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1:29"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1:29"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1:29"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1:29"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1:29"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1:29"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1:29"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1:29"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1:29"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1:29"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1:29"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1:29"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1:29"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1:29"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1:29"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1:29"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1:29"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1:29"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1:29"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1:29"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1:29"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1:29"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1:29"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1:29"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1:29"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1:29"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1:29"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1:29"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1:29"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1:29"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1:29"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1:29"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1:29"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1:29"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1:29"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1:29"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1:29"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1:29"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1:29"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1:29"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1:29"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1:29"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1:29"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1:29"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1:29"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1:29"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1:29"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1:29"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1:29"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1:29"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1:29"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1:29"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1:29"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1:29"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1:29"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1:29"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1:29"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1:29"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1:29"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1:29"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1:29"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1:29"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1:29"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1:29"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1:29"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1:29"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1:29"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1:29"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1:29"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1:29"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1:29"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1:29"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1:29"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1:29"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1:29"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1:29"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1:29"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1:29"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1:29"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1:29"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1:29"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1:29"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1:29"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1:29"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1:29"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1:29"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1:29"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1:29"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1:29"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1:29"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1:29"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1:29"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1:29"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1:29"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1:29"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1:29"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1:29"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1:29"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1:29"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1:29"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1:29"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1:29"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1:29"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1:29"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1:29"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1:29"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1:29"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1:29"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1:29"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1:29"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1:29"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1:29"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1:29"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1:29"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1:29"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1:29"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1:29"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1:29"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1:29"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1:29"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1:29"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1:29"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1:29"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1:29"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1:29"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1:29"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1:29"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1:29"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1:29"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1:29"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1:29"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1:29"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1:29"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1:29"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1:29"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1:29"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1:29"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1:29"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1:29"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1:29"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1:29"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1:29"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1:29"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1:29"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1:29"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1:29"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1:29"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1:29"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1:29"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1:29"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1:29"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1:29"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1:29"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1:29"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1:29"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1:29"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1:29"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1:29"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1:29"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1:29"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1:29"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1:29"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1:29"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1:29"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1:29"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1:29"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1:29"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1:29"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1:29"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1:29"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1:29"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1:29"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1:29"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1:29"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1:29"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1:29"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1:29"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sheetData>
  <mergeCells count="1">
    <mergeCell ref="A1:S1"/>
  </mergeCells>
  <pageMargins left="0.75" right="0.75" top="1" bottom="1"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88"/>
  <sheetViews>
    <sheetView workbookViewId="0">
      <pane ySplit="2" topLeftCell="A4" activePane="bottomLeft" state="frozen"/>
      <selection pane="bottomLeft" activeCell="B36" sqref="B36"/>
    </sheetView>
  </sheetViews>
  <sheetFormatPr defaultColWidth="17.28515625" defaultRowHeight="15" customHeight="1" x14ac:dyDescent="0.2"/>
  <cols>
    <col min="1" max="1" width="6.7109375" customWidth="1"/>
    <col min="2" max="2" width="27.28515625" customWidth="1"/>
    <col min="3" max="3" width="32.7109375" customWidth="1"/>
    <col min="4" max="4" width="12.5703125" customWidth="1"/>
    <col min="5" max="5" width="9.28515625" customWidth="1"/>
    <col min="6" max="15" width="9.140625" customWidth="1"/>
    <col min="16" max="26" width="10" customWidth="1"/>
  </cols>
  <sheetData>
    <row r="1" spans="1:26" ht="16.5" customHeight="1" x14ac:dyDescent="0.25">
      <c r="A1" s="141" t="s">
        <v>391</v>
      </c>
      <c r="B1" s="142"/>
      <c r="C1" s="142"/>
      <c r="D1" s="142"/>
      <c r="E1" s="142"/>
      <c r="F1" s="1"/>
      <c r="G1" s="1"/>
      <c r="H1" s="1"/>
      <c r="I1" s="1"/>
      <c r="J1" s="1"/>
      <c r="K1" s="1"/>
      <c r="L1" s="1"/>
      <c r="M1" s="1"/>
      <c r="N1" s="1"/>
      <c r="O1" s="1"/>
      <c r="P1" s="1"/>
      <c r="Q1" s="1"/>
      <c r="R1" s="1"/>
      <c r="S1" s="1"/>
      <c r="T1" s="1"/>
      <c r="U1" s="1"/>
      <c r="V1" s="1"/>
      <c r="W1" s="1"/>
      <c r="X1" s="1"/>
      <c r="Y1" s="1"/>
      <c r="Z1" s="1"/>
    </row>
    <row r="2" spans="1:26" ht="12" customHeight="1" x14ac:dyDescent="0.2">
      <c r="A2" s="1"/>
      <c r="B2" s="2" t="s">
        <v>34</v>
      </c>
      <c r="C2" s="2" t="s">
        <v>35</v>
      </c>
      <c r="D2" s="2" t="s">
        <v>36</v>
      </c>
      <c r="E2" s="2" t="s">
        <v>37</v>
      </c>
      <c r="F2" s="1"/>
      <c r="G2" s="1"/>
      <c r="H2" s="1"/>
      <c r="I2" s="1"/>
      <c r="J2" s="1"/>
      <c r="K2" s="1"/>
      <c r="L2" s="1"/>
      <c r="M2" s="1"/>
      <c r="N2" s="1"/>
      <c r="O2" s="1"/>
      <c r="P2" s="1"/>
      <c r="Q2" s="1"/>
      <c r="R2" s="1"/>
      <c r="S2" s="1"/>
      <c r="T2" s="1"/>
      <c r="U2" s="1"/>
      <c r="V2" s="1"/>
      <c r="W2" s="1"/>
      <c r="X2" s="1"/>
      <c r="Y2" s="1"/>
      <c r="Z2" s="1"/>
    </row>
    <row r="3" spans="1:26" ht="12" customHeight="1" x14ac:dyDescent="0.2">
      <c r="A3" s="2" t="s">
        <v>38</v>
      </c>
      <c r="B3" s="2" t="s">
        <v>39</v>
      </c>
      <c r="C3" s="2">
        <f>A_Gros_Islet!B4</f>
        <v>20610</v>
      </c>
      <c r="D3" s="2">
        <v>11195</v>
      </c>
      <c r="E3" s="8">
        <f>A_Gros_Islet!J4</f>
        <v>1.4024117909781152E-2</v>
      </c>
      <c r="F3" s="1"/>
      <c r="G3" s="1"/>
      <c r="H3" s="1"/>
      <c r="I3" s="1"/>
      <c r="J3" s="1"/>
      <c r="K3" s="1"/>
      <c r="L3" s="1"/>
      <c r="M3" s="1"/>
      <c r="N3" s="1"/>
      <c r="O3" s="1"/>
      <c r="P3" s="1"/>
      <c r="Q3" s="1"/>
      <c r="R3" s="1"/>
      <c r="S3" s="1"/>
      <c r="T3" s="1"/>
      <c r="U3" s="1"/>
      <c r="V3" s="1"/>
      <c r="W3" s="1"/>
      <c r="X3" s="1"/>
      <c r="Y3" s="1"/>
      <c r="Z3" s="1"/>
    </row>
    <row r="4" spans="1:26" ht="12" customHeight="1" x14ac:dyDescent="0.2">
      <c r="A4" s="2" t="s">
        <v>40</v>
      </c>
      <c r="B4" s="2" t="s">
        <v>41</v>
      </c>
      <c r="C4" s="2" t="s">
        <v>42</v>
      </c>
      <c r="D4" s="2">
        <f>A_Gros_Islet!C4</f>
        <v>4548</v>
      </c>
      <c r="E4" s="8">
        <f>A_Gros_Islet!D4</f>
        <v>0.40625279142474319</v>
      </c>
      <c r="F4" s="1"/>
      <c r="G4" s="1"/>
      <c r="H4" s="1"/>
      <c r="I4" s="1"/>
      <c r="J4" s="1"/>
      <c r="K4" s="1"/>
      <c r="L4" s="1"/>
      <c r="M4" s="1"/>
      <c r="N4" s="1"/>
      <c r="O4" s="1"/>
      <c r="P4" s="1"/>
      <c r="Q4" s="1"/>
      <c r="R4" s="1"/>
      <c r="S4" s="1"/>
      <c r="T4" s="1"/>
      <c r="U4" s="1"/>
      <c r="V4" s="1"/>
      <c r="W4" s="1"/>
      <c r="X4" s="1"/>
      <c r="Y4" s="1"/>
      <c r="Z4" s="1"/>
    </row>
    <row r="5" spans="1:26" ht="12" customHeight="1" x14ac:dyDescent="0.2">
      <c r="A5" s="5" t="s">
        <v>43</v>
      </c>
      <c r="B5" s="5" t="s">
        <v>44</v>
      </c>
      <c r="C5" s="5" t="s">
        <v>45</v>
      </c>
      <c r="D5" s="5">
        <f>A_Gros_Islet!E4</f>
        <v>6339</v>
      </c>
      <c r="E5" s="7">
        <f>A_Gros_Islet!F4</f>
        <v>0.56623492630638683</v>
      </c>
      <c r="F5" s="1"/>
      <c r="G5" s="1"/>
      <c r="H5" s="1"/>
      <c r="I5" s="1"/>
      <c r="J5" s="1"/>
      <c r="K5" s="1"/>
      <c r="L5" s="1"/>
      <c r="M5" s="1"/>
      <c r="N5" s="1"/>
      <c r="O5" s="1"/>
      <c r="P5" s="1"/>
      <c r="Q5" s="1"/>
      <c r="R5" s="1"/>
      <c r="S5" s="1"/>
      <c r="T5" s="1"/>
      <c r="U5" s="1"/>
      <c r="V5" s="1"/>
      <c r="W5" s="1"/>
      <c r="X5" s="1"/>
      <c r="Y5" s="1"/>
      <c r="Z5" s="1"/>
    </row>
    <row r="6" spans="1:26" ht="12" customHeight="1" x14ac:dyDescent="0.2">
      <c r="A6" s="5" t="s">
        <v>46</v>
      </c>
      <c r="B6" s="5" t="s">
        <v>47</v>
      </c>
      <c r="C6" s="5" t="s">
        <v>48</v>
      </c>
      <c r="D6" s="5">
        <f>A_Gros_Islet!G4</f>
        <v>151</v>
      </c>
      <c r="E6" s="7">
        <f>A_Gros_Islet!H4</f>
        <v>1.3488164359088879E-2</v>
      </c>
      <c r="F6" s="1"/>
      <c r="G6" s="1"/>
      <c r="H6" s="1"/>
      <c r="I6" s="1"/>
      <c r="J6" s="1"/>
      <c r="K6" s="1"/>
      <c r="L6" s="1"/>
      <c r="M6" s="1"/>
      <c r="N6" s="1"/>
      <c r="O6" s="1"/>
      <c r="P6" s="1"/>
      <c r="Q6" s="1"/>
      <c r="R6" s="1"/>
      <c r="S6" s="1"/>
      <c r="T6" s="1"/>
      <c r="U6" s="1"/>
      <c r="V6" s="1"/>
      <c r="W6" s="1"/>
      <c r="X6" s="1"/>
      <c r="Y6" s="1"/>
      <c r="Z6" s="1"/>
    </row>
    <row r="7" spans="1:26" ht="12" customHeight="1" x14ac:dyDescent="0.2">
      <c r="A7" s="1"/>
      <c r="B7" s="1"/>
      <c r="C7" s="5" t="s">
        <v>49</v>
      </c>
      <c r="D7" s="5">
        <f>A_Gros_Islet!I4</f>
        <v>157</v>
      </c>
      <c r="E7" s="7">
        <f>A_Gros_Islet!J4</f>
        <v>1.4024117909781152E-2</v>
      </c>
      <c r="F7" s="1"/>
      <c r="G7" s="1"/>
      <c r="H7" s="1"/>
      <c r="I7" s="1"/>
      <c r="J7" s="1"/>
      <c r="K7" s="1"/>
      <c r="L7" s="1"/>
      <c r="M7" s="1"/>
      <c r="N7" s="1"/>
      <c r="O7" s="1"/>
      <c r="P7" s="1"/>
      <c r="Q7" s="1"/>
      <c r="R7" s="1"/>
      <c r="S7" s="1"/>
      <c r="T7" s="1"/>
      <c r="U7" s="1"/>
      <c r="V7" s="1"/>
      <c r="W7" s="1"/>
      <c r="X7" s="1"/>
      <c r="Y7" s="1"/>
      <c r="Z7" s="1"/>
    </row>
    <row r="8" spans="1:26" ht="12" customHeight="1" x14ac:dyDescent="0.2">
      <c r="A8" s="2" t="s">
        <v>50</v>
      </c>
      <c r="B8" s="2" t="s">
        <v>51</v>
      </c>
      <c r="C8" s="2">
        <f>B_Babonneau!B4</f>
        <v>11265</v>
      </c>
      <c r="D8" s="2">
        <v>6538</v>
      </c>
      <c r="E8" s="8">
        <f>B_Babonneau!J4</f>
        <v>0.58038171327119392</v>
      </c>
      <c r="F8" s="1"/>
      <c r="G8" s="1"/>
      <c r="H8" s="1"/>
      <c r="I8" s="1"/>
      <c r="J8" s="1"/>
      <c r="K8" s="1"/>
      <c r="L8" s="1"/>
      <c r="M8" s="1"/>
      <c r="N8" s="1"/>
      <c r="O8" s="1"/>
      <c r="P8" s="1"/>
      <c r="Q8" s="1"/>
      <c r="R8" s="1"/>
      <c r="S8" s="1"/>
      <c r="T8" s="1"/>
      <c r="U8" s="1"/>
      <c r="V8" s="1"/>
      <c r="W8" s="1"/>
      <c r="X8" s="1"/>
      <c r="Y8" s="1"/>
      <c r="Z8" s="1"/>
    </row>
    <row r="9" spans="1:26" ht="12" customHeight="1" x14ac:dyDescent="0.2">
      <c r="A9" s="5" t="s">
        <v>43</v>
      </c>
      <c r="B9" s="5" t="s">
        <v>44</v>
      </c>
      <c r="C9" s="5" t="s">
        <v>52</v>
      </c>
      <c r="D9" s="5">
        <f>B_Babonneau!E4</f>
        <v>3790</v>
      </c>
      <c r="E9" s="7">
        <f>B_Babonneau!F4</f>
        <v>0.57968797797491589</v>
      </c>
      <c r="F9" s="1"/>
      <c r="G9" s="1"/>
      <c r="H9" s="1"/>
      <c r="I9" s="1"/>
      <c r="J9" s="1"/>
      <c r="K9" s="1"/>
      <c r="L9" s="1"/>
      <c r="M9" s="1"/>
      <c r="N9" s="1"/>
      <c r="O9" s="1"/>
      <c r="P9" s="1"/>
      <c r="Q9" s="1"/>
      <c r="R9" s="1"/>
      <c r="S9" s="1"/>
      <c r="T9" s="1"/>
      <c r="U9" s="1"/>
      <c r="V9" s="1"/>
      <c r="W9" s="1"/>
      <c r="X9" s="1"/>
      <c r="Y9" s="1"/>
      <c r="Z9" s="1"/>
    </row>
    <row r="10" spans="1:26" ht="12" customHeight="1" x14ac:dyDescent="0.2">
      <c r="A10" s="2" t="s">
        <v>40</v>
      </c>
      <c r="B10" s="2" t="s">
        <v>41</v>
      </c>
      <c r="C10" s="2" t="s">
        <v>53</v>
      </c>
      <c r="D10" s="2">
        <f>B_Babonneau!C4</f>
        <v>2483</v>
      </c>
      <c r="E10" s="8">
        <f>B_Babonneau!D4</f>
        <v>0.37977974915876417</v>
      </c>
      <c r="F10" s="1"/>
      <c r="G10" s="1"/>
      <c r="H10" s="1"/>
      <c r="I10" s="1"/>
      <c r="J10" s="1"/>
      <c r="K10" s="1"/>
      <c r="L10" s="1"/>
      <c r="M10" s="1"/>
      <c r="N10" s="1"/>
      <c r="O10" s="1"/>
      <c r="P10" s="1"/>
      <c r="Q10" s="1"/>
      <c r="R10" s="1"/>
      <c r="S10" s="1"/>
      <c r="T10" s="1"/>
      <c r="U10" s="1"/>
      <c r="V10" s="1"/>
      <c r="W10" s="1"/>
      <c r="X10" s="1"/>
      <c r="Y10" s="1"/>
      <c r="Z10" s="1"/>
    </row>
    <row r="11" spans="1:26" ht="12" customHeight="1" x14ac:dyDescent="0.2">
      <c r="A11" s="1"/>
      <c r="B11" s="1"/>
      <c r="C11" s="5" t="s">
        <v>49</v>
      </c>
      <c r="D11" s="5">
        <f>B_Babonneau!G4</f>
        <v>265</v>
      </c>
      <c r="E11" s="7">
        <f>B_Babonneau!H4</f>
        <v>4.0532272866319975E-2</v>
      </c>
      <c r="F11" s="1"/>
      <c r="G11" s="1"/>
      <c r="H11" s="1"/>
      <c r="I11" s="1"/>
      <c r="J11" s="1"/>
      <c r="K11" s="1"/>
      <c r="L11" s="1"/>
      <c r="M11" s="1"/>
      <c r="N11" s="1"/>
      <c r="O11" s="1"/>
      <c r="P11" s="1"/>
      <c r="Q11" s="1"/>
      <c r="R11" s="1"/>
      <c r="S11" s="1"/>
      <c r="T11" s="1"/>
      <c r="U11" s="1"/>
      <c r="V11" s="1"/>
      <c r="W11" s="1"/>
      <c r="X11" s="1"/>
      <c r="Y11" s="1"/>
      <c r="Z11" s="1"/>
    </row>
    <row r="12" spans="1:26" ht="12" customHeight="1" x14ac:dyDescent="0.2">
      <c r="A12" s="2" t="s">
        <v>54</v>
      </c>
      <c r="B12" s="2" t="s">
        <v>55</v>
      </c>
      <c r="C12" s="2">
        <f>C_Castries_North!B4</f>
        <v>11715</v>
      </c>
      <c r="D12" s="2">
        <f>C_Castries_North!I4</f>
        <v>5324</v>
      </c>
      <c r="E12" s="8">
        <f>C_Castries_North!J4</f>
        <v>0.4544600938967136</v>
      </c>
      <c r="F12" s="1"/>
      <c r="G12" s="1"/>
      <c r="H12" s="1"/>
      <c r="I12" s="1"/>
      <c r="J12" s="1"/>
      <c r="K12" s="1"/>
      <c r="L12" s="1"/>
      <c r="M12" s="1"/>
      <c r="N12" s="1"/>
      <c r="O12" s="1"/>
      <c r="P12" s="1"/>
      <c r="Q12" s="1"/>
      <c r="R12" s="1"/>
      <c r="S12" s="1"/>
      <c r="T12" s="1"/>
      <c r="U12" s="1"/>
      <c r="V12" s="1"/>
      <c r="W12" s="1"/>
      <c r="X12" s="1"/>
      <c r="Y12" s="1"/>
      <c r="Z12" s="1"/>
    </row>
    <row r="13" spans="1:26" ht="12" customHeight="1" x14ac:dyDescent="0.2">
      <c r="A13" s="2" t="s">
        <v>43</v>
      </c>
      <c r="B13" s="2" t="s">
        <v>44</v>
      </c>
      <c r="C13" s="2" t="s">
        <v>56</v>
      </c>
      <c r="D13" s="2">
        <f>C_Castries_North!E4</f>
        <v>3774</v>
      </c>
      <c r="E13" s="8">
        <f>C_Castries_North!F4</f>
        <v>0.70886551465063863</v>
      </c>
      <c r="F13" s="1"/>
      <c r="G13" s="1"/>
      <c r="H13" s="1"/>
      <c r="I13" s="1"/>
      <c r="J13" s="1"/>
      <c r="K13" s="1"/>
      <c r="L13" s="1"/>
      <c r="M13" s="1"/>
      <c r="N13" s="1"/>
      <c r="O13" s="1"/>
      <c r="P13" s="1"/>
      <c r="Q13" s="1"/>
      <c r="R13" s="1"/>
      <c r="S13" s="1"/>
      <c r="T13" s="1"/>
      <c r="U13" s="1"/>
      <c r="V13" s="1"/>
      <c r="W13" s="1"/>
      <c r="X13" s="1"/>
      <c r="Y13" s="1"/>
      <c r="Z13" s="1"/>
    </row>
    <row r="14" spans="1:26" ht="12" customHeight="1" x14ac:dyDescent="0.2">
      <c r="A14" s="5" t="s">
        <v>40</v>
      </c>
      <c r="B14" s="5" t="s">
        <v>41</v>
      </c>
      <c r="C14" s="2" t="s">
        <v>423</v>
      </c>
      <c r="D14" s="5">
        <f>C_Castries_North!C4</f>
        <v>1480</v>
      </c>
      <c r="E14" s="7">
        <f>C_Castries_North!D4</f>
        <v>0.27798647633358375</v>
      </c>
      <c r="F14" s="1"/>
      <c r="G14" s="1"/>
      <c r="H14" s="1"/>
      <c r="I14" s="1"/>
      <c r="J14" s="1"/>
      <c r="K14" s="1"/>
      <c r="L14" s="1"/>
      <c r="M14" s="1"/>
      <c r="N14" s="1"/>
      <c r="O14" s="1"/>
      <c r="P14" s="1"/>
      <c r="Q14" s="1"/>
      <c r="R14" s="1"/>
      <c r="S14" s="1"/>
      <c r="T14" s="1"/>
      <c r="U14" s="1"/>
      <c r="V14" s="1"/>
      <c r="W14" s="1"/>
      <c r="X14" s="1"/>
      <c r="Y14" s="1"/>
      <c r="Z14" s="1"/>
    </row>
    <row r="15" spans="1:26" ht="12" customHeight="1" x14ac:dyDescent="0.2">
      <c r="A15" s="1"/>
      <c r="B15" s="1"/>
      <c r="C15" s="5" t="s">
        <v>49</v>
      </c>
      <c r="D15" s="5">
        <f>C_Castries_North!G4</f>
        <v>70</v>
      </c>
      <c r="E15" s="7">
        <f>C_Castries_North!H4</f>
        <v>1.3148009015777611E-2</v>
      </c>
      <c r="F15" s="1"/>
      <c r="G15" s="1"/>
      <c r="H15" s="1"/>
      <c r="I15" s="1"/>
      <c r="J15" s="1"/>
      <c r="K15" s="1"/>
      <c r="L15" s="1"/>
      <c r="M15" s="1"/>
      <c r="N15" s="1"/>
      <c r="O15" s="1"/>
      <c r="P15" s="1"/>
      <c r="Q15" s="1"/>
      <c r="R15" s="1"/>
      <c r="S15" s="1"/>
      <c r="T15" s="1"/>
      <c r="U15" s="1"/>
      <c r="V15" s="1"/>
      <c r="W15" s="1"/>
      <c r="X15" s="1"/>
      <c r="Y15" s="1"/>
      <c r="Z15" s="1"/>
    </row>
    <row r="16" spans="1:26" ht="12" customHeight="1" x14ac:dyDescent="0.2">
      <c r="A16" s="2" t="s">
        <v>57</v>
      </c>
      <c r="B16" s="2" t="s">
        <v>58</v>
      </c>
      <c r="C16" s="2">
        <f>D_Castries_East!B4</f>
        <v>12330</v>
      </c>
      <c r="D16" s="2">
        <f>D_Castries_East!I4</f>
        <v>5559</v>
      </c>
      <c r="E16" s="8">
        <f>D_Castries_East!J4</f>
        <v>0.45085158150851584</v>
      </c>
      <c r="F16" s="1"/>
      <c r="G16" s="1"/>
      <c r="H16" s="1"/>
      <c r="I16" s="1"/>
      <c r="J16" s="1"/>
      <c r="K16" s="1"/>
      <c r="L16" s="1"/>
      <c r="M16" s="1"/>
      <c r="N16" s="1"/>
      <c r="O16" s="1"/>
      <c r="P16" s="1"/>
      <c r="Q16" s="1"/>
      <c r="R16" s="1"/>
      <c r="S16" s="1"/>
      <c r="T16" s="1"/>
      <c r="U16" s="1"/>
      <c r="V16" s="1"/>
      <c r="W16" s="1"/>
      <c r="X16" s="1"/>
      <c r="Y16" s="1"/>
      <c r="Z16" s="1"/>
    </row>
    <row r="17" spans="1:26" ht="12" customHeight="1" x14ac:dyDescent="0.2">
      <c r="A17" s="5" t="s">
        <v>43</v>
      </c>
      <c r="B17" s="5" t="s">
        <v>44</v>
      </c>
      <c r="C17" s="2" t="s">
        <v>422</v>
      </c>
      <c r="D17" s="5">
        <f>D_Castries_East!E4</f>
        <v>2576</v>
      </c>
      <c r="E17" s="7">
        <f>D_Castries_East!F4</f>
        <v>0.46339269652815257</v>
      </c>
      <c r="F17" s="1"/>
      <c r="G17" s="1"/>
      <c r="H17" s="1"/>
      <c r="I17" s="1"/>
      <c r="J17" s="1"/>
      <c r="K17" s="1"/>
      <c r="L17" s="1"/>
      <c r="M17" s="1"/>
      <c r="N17" s="1"/>
      <c r="O17" s="1"/>
      <c r="P17" s="1"/>
      <c r="Q17" s="1"/>
      <c r="R17" s="1"/>
      <c r="S17" s="1"/>
      <c r="T17" s="1"/>
      <c r="U17" s="1"/>
      <c r="V17" s="1"/>
      <c r="W17" s="1"/>
      <c r="X17" s="1"/>
      <c r="Y17" s="1"/>
      <c r="Z17" s="1"/>
    </row>
    <row r="18" spans="1:26" ht="12" customHeight="1" x14ac:dyDescent="0.2">
      <c r="A18" s="2" t="s">
        <v>40</v>
      </c>
      <c r="B18" s="2" t="s">
        <v>41</v>
      </c>
      <c r="C18" s="2" t="s">
        <v>59</v>
      </c>
      <c r="D18" s="2">
        <f>D_Castries_East!C4</f>
        <v>2903</v>
      </c>
      <c r="E18" s="8">
        <f>D_Castries_East!D4</f>
        <v>0.52221622593991723</v>
      </c>
      <c r="F18" s="1"/>
      <c r="G18" s="1"/>
      <c r="H18" s="1"/>
      <c r="I18" s="1"/>
      <c r="J18" s="1"/>
      <c r="K18" s="1"/>
      <c r="L18" s="1"/>
      <c r="M18" s="1"/>
      <c r="N18" s="1"/>
      <c r="O18" s="1"/>
      <c r="P18" s="1"/>
      <c r="Q18" s="1"/>
      <c r="R18" s="1"/>
      <c r="S18" s="1"/>
      <c r="T18" s="1"/>
      <c r="U18" s="1"/>
      <c r="V18" s="1"/>
      <c r="W18" s="1"/>
      <c r="X18" s="1"/>
      <c r="Y18" s="1"/>
      <c r="Z18" s="1"/>
    </row>
    <row r="19" spans="1:26" ht="12" customHeight="1" x14ac:dyDescent="0.2">
      <c r="A19" s="1"/>
      <c r="B19" s="1"/>
      <c r="C19" s="5" t="s">
        <v>49</v>
      </c>
      <c r="D19" s="5">
        <f>D_Castries_East!G4</f>
        <v>80</v>
      </c>
      <c r="E19" s="7">
        <f>D_Castries_East!H4</f>
        <v>1.4391077531930203E-2</v>
      </c>
      <c r="F19" s="1"/>
      <c r="G19" s="1"/>
      <c r="H19" s="1"/>
      <c r="I19" s="1"/>
      <c r="J19" s="1"/>
      <c r="K19" s="1"/>
      <c r="L19" s="1"/>
      <c r="M19" s="1"/>
      <c r="N19" s="1"/>
      <c r="O19" s="1"/>
      <c r="P19" s="1"/>
      <c r="Q19" s="1"/>
      <c r="R19" s="1"/>
      <c r="S19" s="1"/>
      <c r="T19" s="1"/>
      <c r="U19" s="1"/>
      <c r="V19" s="1"/>
      <c r="W19" s="1"/>
      <c r="X19" s="1"/>
      <c r="Y19" s="1"/>
      <c r="Z19" s="1"/>
    </row>
    <row r="20" spans="1:26" ht="12" customHeight="1" x14ac:dyDescent="0.2">
      <c r="A20" s="2" t="s">
        <v>60</v>
      </c>
      <c r="B20" s="2" t="s">
        <v>61</v>
      </c>
      <c r="C20" s="2">
        <f>E_Castries_Central!B4</f>
        <v>9392</v>
      </c>
      <c r="D20" s="2">
        <f>E_Castries_Central!K4</f>
        <v>4179</v>
      </c>
      <c r="E20" s="8">
        <f>E_Castries_Central!L4</f>
        <v>0.44495315161839866</v>
      </c>
      <c r="F20" s="1"/>
      <c r="G20" s="1"/>
      <c r="H20" s="1"/>
      <c r="I20" s="1"/>
      <c r="J20" s="1"/>
      <c r="K20" s="1"/>
      <c r="L20" s="1"/>
      <c r="M20" s="1"/>
      <c r="N20" s="1"/>
      <c r="O20" s="1"/>
      <c r="P20" s="1"/>
      <c r="Q20" s="1"/>
      <c r="R20" s="1"/>
      <c r="S20" s="1"/>
      <c r="T20" s="1"/>
      <c r="U20" s="1"/>
      <c r="V20" s="1"/>
      <c r="W20" s="1"/>
      <c r="X20" s="1"/>
      <c r="Y20" s="1"/>
      <c r="Z20" s="1"/>
    </row>
    <row r="21" spans="1:26" ht="12" customHeight="1" x14ac:dyDescent="0.2">
      <c r="A21" s="5" t="s">
        <v>40</v>
      </c>
      <c r="B21" s="5" t="s">
        <v>41</v>
      </c>
      <c r="C21" s="5" t="s">
        <v>62</v>
      </c>
      <c r="D21" s="5">
        <f>E_Castries_Central!C4</f>
        <v>1876</v>
      </c>
      <c r="E21" s="7">
        <f>E_Castries_Central!D4</f>
        <v>0.4489112227805695</v>
      </c>
      <c r="F21" s="1"/>
      <c r="G21" s="1"/>
      <c r="H21" s="1"/>
      <c r="I21" s="1"/>
      <c r="J21" s="1"/>
      <c r="K21" s="1"/>
      <c r="L21" s="1"/>
      <c r="M21" s="1"/>
      <c r="N21" s="1"/>
      <c r="O21" s="1"/>
      <c r="P21" s="1"/>
      <c r="Q21" s="1"/>
      <c r="R21" s="1"/>
      <c r="S21" s="1"/>
      <c r="T21" s="1"/>
      <c r="U21" s="1"/>
      <c r="V21" s="1"/>
      <c r="W21" s="1"/>
      <c r="X21" s="1"/>
      <c r="Y21" s="1"/>
      <c r="Z21" s="1"/>
    </row>
    <row r="22" spans="1:26" ht="12" customHeight="1" x14ac:dyDescent="0.2">
      <c r="A22" s="5" t="s">
        <v>392</v>
      </c>
      <c r="B22" s="5" t="s">
        <v>69</v>
      </c>
      <c r="C22" s="2" t="s">
        <v>394</v>
      </c>
      <c r="D22" s="5">
        <v>13</v>
      </c>
      <c r="E22" s="7">
        <v>3.0999999999999999E-3</v>
      </c>
      <c r="F22" s="1"/>
      <c r="G22" s="1"/>
      <c r="H22" s="1"/>
      <c r="I22" s="1"/>
      <c r="J22" s="1"/>
      <c r="K22" s="1"/>
      <c r="L22" s="1"/>
      <c r="M22" s="1"/>
      <c r="N22" s="1"/>
      <c r="O22" s="1"/>
      <c r="P22" s="1"/>
      <c r="Q22" s="1"/>
      <c r="R22" s="1"/>
      <c r="S22" s="1"/>
      <c r="T22" s="1"/>
      <c r="U22" s="1"/>
      <c r="V22" s="1"/>
      <c r="W22" s="1"/>
      <c r="X22" s="1"/>
      <c r="Y22" s="1"/>
      <c r="Z22" s="1"/>
    </row>
    <row r="23" spans="1:26" ht="12" customHeight="1" x14ac:dyDescent="0.2">
      <c r="A23" s="2" t="s">
        <v>43</v>
      </c>
      <c r="B23" s="2" t="s">
        <v>44</v>
      </c>
      <c r="C23" s="2" t="s">
        <v>421</v>
      </c>
      <c r="D23" s="2">
        <f>E_Castries_Central!E4</f>
        <v>2249</v>
      </c>
      <c r="E23" s="8">
        <f>E_Castries_Central!F4</f>
        <v>0.53816702560421148</v>
      </c>
      <c r="F23" s="1"/>
      <c r="G23" s="1"/>
      <c r="H23" s="1"/>
      <c r="I23" s="1"/>
      <c r="J23" s="1"/>
      <c r="K23" s="1"/>
      <c r="L23" s="1"/>
      <c r="M23" s="1"/>
      <c r="N23" s="1"/>
      <c r="O23" s="1"/>
      <c r="P23" s="1"/>
      <c r="Q23" s="1"/>
      <c r="R23" s="1"/>
      <c r="S23" s="1"/>
      <c r="T23" s="1"/>
      <c r="U23" s="1"/>
      <c r="V23" s="1"/>
      <c r="W23" s="1"/>
      <c r="X23" s="1"/>
      <c r="Y23" s="1"/>
      <c r="Z23" s="1"/>
    </row>
    <row r="24" spans="1:26" ht="12" customHeight="1" x14ac:dyDescent="0.2">
      <c r="A24" s="1"/>
      <c r="B24" s="1"/>
      <c r="C24" s="5" t="s">
        <v>49</v>
      </c>
      <c r="D24" s="5">
        <f>E_Castries_Central!I4</f>
        <v>41</v>
      </c>
      <c r="E24" s="7">
        <f>E_Castries_Central!J4</f>
        <v>9.8109595597032778E-3</v>
      </c>
      <c r="F24" s="1"/>
      <c r="G24" s="1"/>
      <c r="H24" s="1"/>
      <c r="I24" s="1"/>
      <c r="J24" s="1"/>
      <c r="K24" s="1"/>
      <c r="L24" s="1"/>
      <c r="M24" s="1"/>
      <c r="N24" s="1"/>
      <c r="O24" s="1"/>
      <c r="P24" s="1"/>
      <c r="Q24" s="1"/>
      <c r="R24" s="1"/>
      <c r="S24" s="1"/>
      <c r="T24" s="1"/>
      <c r="U24" s="1"/>
      <c r="V24" s="1"/>
      <c r="W24" s="1"/>
      <c r="X24" s="1"/>
      <c r="Y24" s="1"/>
      <c r="Z24" s="1"/>
    </row>
    <row r="25" spans="1:26" ht="12" customHeight="1" x14ac:dyDescent="0.2">
      <c r="A25" s="2" t="s">
        <v>64</v>
      </c>
      <c r="B25" s="2" t="s">
        <v>65</v>
      </c>
      <c r="C25" s="2">
        <f>F_Castries_South!B4</f>
        <v>8883</v>
      </c>
      <c r="D25" s="2">
        <f>F_Castries_South!I4</f>
        <v>4474</v>
      </c>
      <c r="E25" s="8">
        <f>F_Castries_South!J4</f>
        <v>0.50365867387143981</v>
      </c>
      <c r="F25" s="1"/>
      <c r="G25" s="1"/>
      <c r="H25" s="1"/>
      <c r="I25" s="1"/>
      <c r="J25" s="1"/>
      <c r="K25" s="1"/>
      <c r="L25" s="1"/>
      <c r="M25" s="1"/>
      <c r="N25" s="1"/>
      <c r="O25" s="1"/>
      <c r="P25" s="1"/>
      <c r="Q25" s="1"/>
      <c r="R25" s="1"/>
      <c r="S25" s="1"/>
      <c r="T25" s="1"/>
      <c r="U25" s="1"/>
      <c r="V25" s="1"/>
      <c r="W25" s="1"/>
      <c r="X25" s="1"/>
      <c r="Y25" s="1"/>
      <c r="Z25" s="1"/>
    </row>
    <row r="26" spans="1:26" ht="12" customHeight="1" x14ac:dyDescent="0.2">
      <c r="A26" s="5" t="s">
        <v>43</v>
      </c>
      <c r="B26" s="5" t="s">
        <v>44</v>
      </c>
      <c r="C26" s="2" t="s">
        <v>424</v>
      </c>
      <c r="D26" s="5">
        <f>F_Castries_South!E4</f>
        <v>2166</v>
      </c>
      <c r="E26" s="7">
        <f>F_Castries_South!F4</f>
        <v>0.48413053196244971</v>
      </c>
      <c r="F26" s="1"/>
      <c r="G26" s="1"/>
      <c r="H26" s="1"/>
      <c r="I26" s="1"/>
      <c r="J26" s="1"/>
      <c r="K26" s="1"/>
      <c r="L26" s="1"/>
      <c r="M26" s="1"/>
      <c r="N26" s="1"/>
      <c r="O26" s="1"/>
      <c r="P26" s="1"/>
      <c r="Q26" s="1"/>
      <c r="R26" s="1"/>
      <c r="S26" s="1"/>
      <c r="T26" s="1"/>
      <c r="U26" s="1"/>
      <c r="V26" s="1"/>
      <c r="W26" s="1"/>
      <c r="X26" s="1"/>
      <c r="Y26" s="1"/>
      <c r="Z26" s="1"/>
    </row>
    <row r="27" spans="1:26" ht="12" customHeight="1" x14ac:dyDescent="0.2">
      <c r="A27" s="2" t="s">
        <v>40</v>
      </c>
      <c r="B27" s="2" t="s">
        <v>41</v>
      </c>
      <c r="C27" s="2" t="s">
        <v>425</v>
      </c>
      <c r="D27" s="2">
        <f>F_Castries_South!C4</f>
        <v>2212</v>
      </c>
      <c r="E27" s="8">
        <f>F_Castries_South!D4</f>
        <v>0.49441215914170766</v>
      </c>
      <c r="F27" s="1"/>
      <c r="G27" s="1"/>
      <c r="H27" s="1"/>
      <c r="I27" s="1"/>
      <c r="J27" s="1"/>
      <c r="K27" s="1"/>
      <c r="L27" s="1"/>
      <c r="M27" s="1"/>
      <c r="N27" s="1"/>
      <c r="O27" s="1"/>
      <c r="P27" s="1"/>
      <c r="Q27" s="1"/>
      <c r="R27" s="1"/>
      <c r="S27" s="1"/>
      <c r="T27" s="1"/>
      <c r="U27" s="1"/>
      <c r="V27" s="1"/>
      <c r="W27" s="1"/>
      <c r="X27" s="1"/>
      <c r="Y27" s="1"/>
      <c r="Z27" s="1"/>
    </row>
    <row r="28" spans="1:26" ht="12" customHeight="1" x14ac:dyDescent="0.2">
      <c r="A28" s="1"/>
      <c r="B28" s="1"/>
      <c r="C28" s="5" t="s">
        <v>49</v>
      </c>
      <c r="D28" s="5">
        <f>F_Castries_South!G4</f>
        <v>96</v>
      </c>
      <c r="E28" s="7">
        <f>F_Castries_South!H4</f>
        <v>2.1457308895842648E-2</v>
      </c>
      <c r="F28" s="1"/>
      <c r="G28" s="1"/>
      <c r="H28" s="1"/>
      <c r="I28" s="1"/>
      <c r="J28" s="1"/>
      <c r="K28" s="1"/>
      <c r="L28" s="1"/>
      <c r="M28" s="1"/>
      <c r="N28" s="1"/>
      <c r="O28" s="1"/>
      <c r="P28" s="1"/>
      <c r="Q28" s="1"/>
      <c r="R28" s="1"/>
      <c r="S28" s="1"/>
      <c r="T28" s="1"/>
      <c r="U28" s="1"/>
      <c r="V28" s="1"/>
      <c r="W28" s="1"/>
      <c r="X28" s="1"/>
      <c r="Y28" s="1"/>
      <c r="Z28" s="1"/>
    </row>
    <row r="29" spans="1:26" ht="12" customHeight="1" x14ac:dyDescent="0.2">
      <c r="A29" s="2" t="s">
        <v>66</v>
      </c>
      <c r="B29" s="2" t="s">
        <v>67</v>
      </c>
      <c r="C29" s="2">
        <f>G_Anse_La_Raye_and_Canaries!B4</f>
        <v>8070</v>
      </c>
      <c r="D29" s="2">
        <f>G_Anse_La_Raye_and_Canaries!I4</f>
        <v>4869</v>
      </c>
      <c r="E29" s="8">
        <f>G_Anse_La_Raye_and_Canaries!J4</f>
        <v>0.60334572490706317</v>
      </c>
      <c r="F29" s="1"/>
      <c r="G29" s="1"/>
      <c r="H29" s="1"/>
      <c r="I29" s="1"/>
      <c r="J29" s="1"/>
      <c r="K29" s="1"/>
      <c r="L29" s="1"/>
      <c r="M29" s="1"/>
      <c r="N29" s="1"/>
      <c r="O29" s="1"/>
      <c r="P29" s="1"/>
      <c r="Q29" s="1"/>
      <c r="R29" s="1"/>
      <c r="S29" s="1"/>
      <c r="T29" s="1"/>
      <c r="U29" s="1"/>
      <c r="V29" s="1"/>
      <c r="W29" s="1"/>
      <c r="X29" s="1"/>
      <c r="Y29" s="1"/>
      <c r="Z29" s="1"/>
    </row>
    <row r="30" spans="1:26" ht="12" customHeight="1" x14ac:dyDescent="0.2">
      <c r="A30" s="2" t="s">
        <v>40</v>
      </c>
      <c r="B30" s="2" t="s">
        <v>41</v>
      </c>
      <c r="C30" s="2" t="s">
        <v>426</v>
      </c>
      <c r="D30" s="2">
        <f>G_Anse_La_Raye_and_Canaries!C4</f>
        <v>2087</v>
      </c>
      <c r="E30" s="8">
        <f>G_Anse_La_Raye_and_Canaries!D4</f>
        <v>0.42863010885192032</v>
      </c>
      <c r="F30" s="1"/>
      <c r="G30" s="1"/>
      <c r="H30" s="1"/>
      <c r="I30" s="1"/>
      <c r="J30" s="1"/>
      <c r="K30" s="1"/>
      <c r="L30" s="1"/>
      <c r="M30" s="1"/>
      <c r="N30" s="1"/>
      <c r="O30" s="1"/>
      <c r="P30" s="1"/>
      <c r="Q30" s="1"/>
      <c r="R30" s="1"/>
      <c r="S30" s="1"/>
      <c r="T30" s="1"/>
      <c r="U30" s="1"/>
      <c r="V30" s="1"/>
      <c r="W30" s="1"/>
      <c r="X30" s="1"/>
      <c r="Y30" s="1"/>
      <c r="Z30" s="1"/>
    </row>
    <row r="31" spans="1:26" ht="12" customHeight="1" x14ac:dyDescent="0.2">
      <c r="A31" s="5" t="s">
        <v>43</v>
      </c>
      <c r="B31" s="5" t="s">
        <v>44</v>
      </c>
      <c r="C31" s="2" t="s">
        <v>427</v>
      </c>
      <c r="D31" s="5">
        <f>G_Anse_La_Raye_and_Canaries!E4</f>
        <v>2472</v>
      </c>
      <c r="E31" s="7">
        <f>G_Anse_La_Raye_and_Canaries!F4</f>
        <v>0.50770178681454092</v>
      </c>
      <c r="F31" s="1"/>
      <c r="G31" s="1"/>
      <c r="H31" s="1"/>
      <c r="I31" s="1"/>
      <c r="J31" s="1"/>
      <c r="K31" s="1"/>
      <c r="L31" s="1"/>
      <c r="M31" s="1"/>
      <c r="N31" s="1"/>
      <c r="O31" s="1"/>
      <c r="P31" s="1"/>
      <c r="Q31" s="1"/>
      <c r="R31" s="1"/>
      <c r="S31" s="1"/>
      <c r="T31" s="1"/>
      <c r="U31" s="1"/>
      <c r="V31" s="1"/>
      <c r="W31" s="1"/>
      <c r="X31" s="1"/>
      <c r="Y31" s="1"/>
      <c r="Z31" s="1"/>
    </row>
    <row r="32" spans="1:26" ht="12" customHeight="1" x14ac:dyDescent="0.2">
      <c r="A32" s="1"/>
      <c r="B32" s="1"/>
      <c r="C32" s="5" t="s">
        <v>49</v>
      </c>
      <c r="D32" s="5">
        <f>G_Anse_La_Raye_and_Canaries!G4</f>
        <v>310</v>
      </c>
      <c r="E32" s="7">
        <f>G_Anse_La_Raye_and_Canaries!H4</f>
        <v>6.3668104333538714E-2</v>
      </c>
      <c r="F32" s="1"/>
      <c r="G32" s="1"/>
      <c r="H32" s="1"/>
      <c r="I32" s="1"/>
      <c r="J32" s="1"/>
      <c r="K32" s="1"/>
      <c r="L32" s="1"/>
      <c r="M32" s="1"/>
      <c r="N32" s="1"/>
      <c r="O32" s="1"/>
      <c r="P32" s="1"/>
      <c r="Q32" s="1"/>
      <c r="R32" s="1"/>
      <c r="S32" s="1"/>
      <c r="T32" s="1"/>
      <c r="U32" s="1"/>
      <c r="V32" s="1"/>
      <c r="W32" s="1"/>
      <c r="X32" s="1"/>
      <c r="Y32" s="1"/>
      <c r="Z32" s="1"/>
    </row>
    <row r="33" spans="1:26" ht="12" customHeight="1" x14ac:dyDescent="0.2">
      <c r="A33" s="2" t="s">
        <v>70</v>
      </c>
      <c r="B33" s="2" t="s">
        <v>71</v>
      </c>
      <c r="C33" s="2">
        <f>H_Soufriere!B4</f>
        <v>7858</v>
      </c>
      <c r="D33" s="2">
        <f>H_Soufriere!K4</f>
        <v>4784</v>
      </c>
      <c r="E33" s="8">
        <f>H_Soufriere!L4</f>
        <v>0.60880631203868674</v>
      </c>
      <c r="F33" s="1"/>
      <c r="G33" s="1"/>
      <c r="H33" s="1"/>
      <c r="I33" s="1"/>
      <c r="J33" s="1"/>
      <c r="K33" s="1"/>
      <c r="L33" s="1"/>
      <c r="M33" s="1"/>
      <c r="N33" s="1"/>
      <c r="O33" s="1"/>
      <c r="P33" s="1"/>
      <c r="Q33" s="1"/>
      <c r="R33" s="1"/>
      <c r="S33" s="1"/>
      <c r="T33" s="1"/>
      <c r="U33" s="1"/>
      <c r="V33" s="1"/>
      <c r="W33" s="1"/>
      <c r="X33" s="1"/>
      <c r="Y33" s="1"/>
      <c r="Z33" s="1"/>
    </row>
    <row r="34" spans="1:26" ht="12" customHeight="1" x14ac:dyDescent="0.2">
      <c r="A34" s="5" t="s">
        <v>63</v>
      </c>
      <c r="B34" s="5" t="s">
        <v>393</v>
      </c>
      <c r="C34" s="2" t="s">
        <v>428</v>
      </c>
      <c r="D34" s="5">
        <f>H_Soufriere!G4</f>
        <v>3</v>
      </c>
      <c r="E34" s="7">
        <f>H_Soufriere!H4</f>
        <v>6.270903010033445E-4</v>
      </c>
      <c r="F34" s="1"/>
      <c r="G34" s="1"/>
      <c r="H34" s="1"/>
      <c r="I34" s="1"/>
      <c r="J34" s="1"/>
      <c r="K34" s="1"/>
      <c r="L34" s="1"/>
      <c r="M34" s="1"/>
      <c r="N34" s="1"/>
      <c r="O34" s="1"/>
      <c r="P34" s="1"/>
      <c r="Q34" s="1"/>
      <c r="R34" s="1"/>
      <c r="S34" s="1"/>
      <c r="T34" s="1"/>
      <c r="U34" s="1"/>
      <c r="V34" s="1"/>
      <c r="W34" s="1"/>
      <c r="X34" s="1"/>
      <c r="Y34" s="1"/>
      <c r="Z34" s="1"/>
    </row>
    <row r="35" spans="1:26" ht="12" customHeight="1" x14ac:dyDescent="0.2">
      <c r="A35" s="5" t="s">
        <v>43</v>
      </c>
      <c r="B35" s="5" t="s">
        <v>44</v>
      </c>
      <c r="C35" s="5" t="s">
        <v>429</v>
      </c>
      <c r="D35" s="5">
        <f>H_Soufriere!E4</f>
        <v>2564</v>
      </c>
      <c r="E35" s="7">
        <f>H_Soufriere!F4</f>
        <v>0.53595317725752512</v>
      </c>
      <c r="F35" s="1"/>
      <c r="G35" s="1"/>
      <c r="H35" s="1"/>
      <c r="I35" s="1"/>
      <c r="J35" s="1"/>
      <c r="K35" s="1"/>
      <c r="L35" s="1"/>
      <c r="M35" s="1"/>
      <c r="N35" s="1"/>
      <c r="O35" s="1"/>
      <c r="P35" s="1"/>
      <c r="Q35" s="1"/>
      <c r="R35" s="1"/>
      <c r="S35" s="1"/>
      <c r="T35" s="1"/>
      <c r="U35" s="1"/>
      <c r="V35" s="1"/>
      <c r="W35" s="1"/>
      <c r="X35" s="1"/>
      <c r="Y35" s="1"/>
      <c r="Z35" s="1"/>
    </row>
    <row r="36" spans="1:26" ht="12" customHeight="1" x14ac:dyDescent="0.2">
      <c r="A36" s="2" t="s">
        <v>40</v>
      </c>
      <c r="B36" s="2" t="s">
        <v>41</v>
      </c>
      <c r="C36" s="2" t="s">
        <v>72</v>
      </c>
      <c r="D36" s="2">
        <f>H_Soufriere!C4</f>
        <v>2104</v>
      </c>
      <c r="E36" s="8">
        <f>H_Soufriere!D4</f>
        <v>0.43979933110367891</v>
      </c>
      <c r="F36" s="1"/>
      <c r="G36" s="1"/>
      <c r="H36" s="1"/>
      <c r="I36" s="1"/>
      <c r="J36" s="1"/>
      <c r="K36" s="1"/>
      <c r="L36" s="1"/>
      <c r="M36" s="1"/>
      <c r="N36" s="1"/>
      <c r="O36" s="1"/>
      <c r="P36" s="1"/>
      <c r="Q36" s="1"/>
      <c r="R36" s="1"/>
      <c r="S36" s="1"/>
      <c r="T36" s="1"/>
      <c r="U36" s="1"/>
      <c r="V36" s="1"/>
      <c r="W36" s="1"/>
      <c r="X36" s="1"/>
      <c r="Y36" s="1"/>
      <c r="Z36" s="1"/>
    </row>
    <row r="37" spans="1:26" ht="12" customHeight="1" x14ac:dyDescent="0.2">
      <c r="A37" s="1"/>
      <c r="B37" s="1"/>
      <c r="C37" s="5" t="s">
        <v>49</v>
      </c>
      <c r="D37" s="5">
        <f>H_Soufriere!I4</f>
        <v>113</v>
      </c>
      <c r="E37" s="7">
        <f>H_Soufriere!J4</f>
        <v>2.3620401337792644E-2</v>
      </c>
      <c r="F37" s="1"/>
      <c r="G37" s="1"/>
      <c r="H37" s="1"/>
      <c r="I37" s="1"/>
      <c r="J37" s="1"/>
      <c r="K37" s="1"/>
      <c r="L37" s="1"/>
      <c r="M37" s="1"/>
      <c r="N37" s="1"/>
      <c r="O37" s="1"/>
      <c r="P37" s="1"/>
      <c r="Q37" s="1"/>
      <c r="R37" s="1"/>
      <c r="S37" s="1"/>
      <c r="T37" s="1"/>
      <c r="U37" s="1"/>
      <c r="V37" s="1"/>
      <c r="W37" s="1"/>
      <c r="X37" s="1"/>
      <c r="Y37" s="1"/>
      <c r="Z37" s="1"/>
    </row>
    <row r="38" spans="1:26" ht="12" customHeight="1" x14ac:dyDescent="0.2">
      <c r="A38" s="2" t="s">
        <v>73</v>
      </c>
      <c r="B38" s="2" t="s">
        <v>74</v>
      </c>
      <c r="C38" s="2">
        <f>I_Choiseul!B4</f>
        <v>8987</v>
      </c>
      <c r="D38" s="2">
        <f>I_Choiseul!I4</f>
        <v>5676</v>
      </c>
      <c r="E38" s="8">
        <f>I_Choiseul!J4</f>
        <v>0.63157894736842102</v>
      </c>
      <c r="F38" s="1"/>
      <c r="G38" s="1"/>
      <c r="H38" s="1"/>
      <c r="I38" s="1"/>
      <c r="J38" s="1"/>
      <c r="K38" s="1"/>
      <c r="L38" s="1"/>
      <c r="M38" s="1"/>
      <c r="N38" s="1"/>
      <c r="O38" s="1"/>
      <c r="P38" s="1"/>
      <c r="Q38" s="1"/>
      <c r="R38" s="1"/>
      <c r="S38" s="1"/>
      <c r="T38" s="1"/>
      <c r="U38" s="1"/>
      <c r="V38" s="1"/>
      <c r="W38" s="1"/>
      <c r="X38" s="1"/>
      <c r="Y38" s="1"/>
      <c r="Z38" s="1"/>
    </row>
    <row r="39" spans="1:26" ht="12" customHeight="1" x14ac:dyDescent="0.2">
      <c r="A39" s="5" t="s">
        <v>43</v>
      </c>
      <c r="B39" s="5" t="s">
        <v>44</v>
      </c>
      <c r="C39" s="5" t="s">
        <v>430</v>
      </c>
      <c r="D39" s="5">
        <f>I_Choiseul!E4</f>
        <v>3192</v>
      </c>
      <c r="E39" s="7">
        <f>I_Choiseul!F4</f>
        <v>0.56236786469344613</v>
      </c>
      <c r="F39" s="1"/>
      <c r="G39" s="1"/>
      <c r="H39" s="1"/>
      <c r="I39" s="1"/>
      <c r="J39" s="1"/>
      <c r="K39" s="1"/>
      <c r="L39" s="1"/>
      <c r="M39" s="1"/>
      <c r="N39" s="1"/>
      <c r="O39" s="1"/>
      <c r="P39" s="1"/>
      <c r="Q39" s="1"/>
      <c r="R39" s="1"/>
      <c r="S39" s="1"/>
      <c r="T39" s="1"/>
      <c r="U39" s="1"/>
      <c r="V39" s="1"/>
      <c r="W39" s="1"/>
      <c r="X39" s="1"/>
      <c r="Y39" s="1"/>
      <c r="Z39" s="1"/>
    </row>
    <row r="40" spans="1:26" ht="12" customHeight="1" x14ac:dyDescent="0.2">
      <c r="A40" s="2" t="s">
        <v>40</v>
      </c>
      <c r="B40" s="2" t="s">
        <v>41</v>
      </c>
      <c r="C40" s="2" t="s">
        <v>75</v>
      </c>
      <c r="D40" s="2">
        <f>I_Choiseul!C4</f>
        <v>2298</v>
      </c>
      <c r="E40" s="8">
        <f>I_Choiseul!D4</f>
        <v>0.40486257928118391</v>
      </c>
      <c r="F40" s="1"/>
      <c r="G40" s="1"/>
      <c r="H40" s="1"/>
      <c r="I40" s="1"/>
      <c r="J40" s="1"/>
      <c r="K40" s="1"/>
      <c r="L40" s="1"/>
      <c r="M40" s="1"/>
      <c r="N40" s="1"/>
      <c r="O40" s="1"/>
      <c r="P40" s="1"/>
      <c r="Q40" s="1"/>
      <c r="R40" s="1"/>
      <c r="S40" s="1"/>
      <c r="T40" s="1"/>
      <c r="U40" s="1"/>
      <c r="V40" s="1"/>
      <c r="W40" s="1"/>
      <c r="X40" s="1"/>
      <c r="Y40" s="1"/>
      <c r="Z40" s="1"/>
    </row>
    <row r="41" spans="1:26" ht="12" customHeight="1" x14ac:dyDescent="0.2">
      <c r="A41" s="1"/>
      <c r="B41" s="1"/>
      <c r="C41" s="5" t="s">
        <v>49</v>
      </c>
      <c r="D41" s="5">
        <f>I_Choiseul!G4</f>
        <v>186</v>
      </c>
      <c r="E41" s="7">
        <f>I_Choiseul!H4</f>
        <v>3.2769556025369982E-2</v>
      </c>
      <c r="F41" s="1"/>
      <c r="G41" s="1"/>
      <c r="H41" s="1"/>
      <c r="I41" s="1"/>
      <c r="J41" s="1"/>
      <c r="K41" s="1"/>
      <c r="L41" s="1"/>
      <c r="M41" s="1"/>
      <c r="N41" s="1"/>
      <c r="O41" s="1"/>
      <c r="P41" s="1"/>
      <c r="Q41" s="1"/>
      <c r="R41" s="1"/>
      <c r="S41" s="1"/>
      <c r="T41" s="1"/>
      <c r="U41" s="1"/>
      <c r="V41" s="1"/>
      <c r="W41" s="1"/>
      <c r="X41" s="1"/>
      <c r="Y41" s="1"/>
      <c r="Z41" s="1"/>
    </row>
    <row r="42" spans="1:26" ht="12" customHeight="1" x14ac:dyDescent="0.2">
      <c r="A42" s="2" t="s">
        <v>76</v>
      </c>
      <c r="B42" s="2" t="s">
        <v>77</v>
      </c>
      <c r="C42" s="2">
        <f>J_Laborie!B4</f>
        <v>6516</v>
      </c>
      <c r="D42" s="2">
        <f>J_Laborie!I4</f>
        <v>3592</v>
      </c>
      <c r="E42" s="8">
        <f>I_Choiseul!J4</f>
        <v>0.63157894736842102</v>
      </c>
      <c r="F42" s="1"/>
      <c r="G42" s="1"/>
      <c r="H42" s="1"/>
      <c r="I42" s="1"/>
      <c r="J42" s="1"/>
      <c r="K42" s="1"/>
      <c r="L42" s="1"/>
      <c r="M42" s="1"/>
      <c r="N42" s="1"/>
      <c r="O42" s="1"/>
      <c r="P42" s="1"/>
      <c r="Q42" s="1"/>
      <c r="R42" s="1"/>
      <c r="S42" s="1"/>
      <c r="T42" s="1"/>
      <c r="U42" s="1"/>
      <c r="V42" s="1"/>
      <c r="W42" s="1"/>
      <c r="X42" s="1"/>
      <c r="Y42" s="1"/>
      <c r="Z42" s="1"/>
    </row>
    <row r="43" spans="1:26" ht="12" customHeight="1" x14ac:dyDescent="0.2">
      <c r="A43" s="2" t="s">
        <v>40</v>
      </c>
      <c r="B43" s="2" t="s">
        <v>41</v>
      </c>
      <c r="C43" s="2" t="s">
        <v>78</v>
      </c>
      <c r="D43" s="2">
        <f>J_Laborie!C4</f>
        <v>2094</v>
      </c>
      <c r="E43" s="8">
        <f>I_Choiseul!D4</f>
        <v>0.40486257928118391</v>
      </c>
      <c r="F43" s="1"/>
      <c r="G43" s="1"/>
      <c r="H43" s="1"/>
      <c r="I43" s="1"/>
      <c r="J43" s="1"/>
      <c r="K43" s="1"/>
      <c r="L43" s="1"/>
      <c r="M43" s="1"/>
      <c r="N43" s="1"/>
      <c r="O43" s="1"/>
      <c r="P43" s="1"/>
      <c r="Q43" s="1"/>
      <c r="R43" s="1"/>
      <c r="S43" s="1"/>
      <c r="T43" s="1"/>
      <c r="U43" s="1"/>
      <c r="V43" s="1"/>
      <c r="W43" s="1"/>
      <c r="X43" s="1"/>
      <c r="Y43" s="1"/>
      <c r="Z43" s="1"/>
    </row>
    <row r="44" spans="1:26" ht="12" customHeight="1" x14ac:dyDescent="0.2">
      <c r="A44" s="5" t="s">
        <v>43</v>
      </c>
      <c r="B44" s="5" t="s">
        <v>44</v>
      </c>
      <c r="C44" s="5" t="s">
        <v>431</v>
      </c>
      <c r="D44" s="5">
        <f>J_Laborie!E4</f>
        <v>1468</v>
      </c>
      <c r="E44" s="7">
        <f>J_Laborie!F4</f>
        <v>0.40868596881959912</v>
      </c>
      <c r="F44" s="1"/>
      <c r="G44" s="1"/>
      <c r="H44" s="1"/>
      <c r="I44" s="1"/>
      <c r="J44" s="1"/>
      <c r="K44" s="1"/>
      <c r="L44" s="1"/>
      <c r="M44" s="1"/>
      <c r="N44" s="1"/>
      <c r="O44" s="1"/>
      <c r="P44" s="1"/>
      <c r="Q44" s="1"/>
      <c r="R44" s="1"/>
      <c r="S44" s="1"/>
      <c r="T44" s="1"/>
      <c r="U44" s="1"/>
      <c r="V44" s="1"/>
      <c r="W44" s="1"/>
      <c r="X44" s="1"/>
      <c r="Y44" s="1"/>
      <c r="Z44" s="1"/>
    </row>
    <row r="45" spans="1:26" ht="12" customHeight="1" x14ac:dyDescent="0.2">
      <c r="A45" s="1"/>
      <c r="B45" s="1"/>
      <c r="C45" s="5" t="s">
        <v>49</v>
      </c>
      <c r="D45" s="5">
        <f>J_Laborie!G4</f>
        <v>30</v>
      </c>
      <c r="E45" s="7">
        <f>J_Laborie!H4</f>
        <v>8.351893095768375E-3</v>
      </c>
      <c r="F45" s="1"/>
      <c r="G45" s="1"/>
      <c r="H45" s="1"/>
      <c r="I45" s="1"/>
      <c r="J45" s="1"/>
      <c r="K45" s="1"/>
      <c r="L45" s="1"/>
      <c r="M45" s="1"/>
      <c r="N45" s="1"/>
      <c r="O45" s="1"/>
      <c r="P45" s="1"/>
      <c r="Q45" s="1"/>
      <c r="R45" s="1"/>
      <c r="S45" s="1"/>
      <c r="T45" s="1"/>
      <c r="U45" s="1"/>
      <c r="V45" s="1"/>
      <c r="W45" s="1"/>
      <c r="X45" s="1"/>
      <c r="Y45" s="1"/>
      <c r="Z45" s="1"/>
    </row>
    <row r="46" spans="1:26" ht="12" customHeight="1" x14ac:dyDescent="0.2">
      <c r="A46" s="2" t="s">
        <v>79</v>
      </c>
      <c r="B46" s="2" t="s">
        <v>80</v>
      </c>
      <c r="C46" s="2">
        <f>K_Vieux_Fort_South!B4</f>
        <v>8691</v>
      </c>
      <c r="D46" s="2">
        <f>K_Vieux_Fort_South!I4</f>
        <v>4645</v>
      </c>
      <c r="E46" s="8">
        <f>K_Vieux_Fort_South!J4</f>
        <v>0.53446093660108163</v>
      </c>
      <c r="F46" s="1"/>
      <c r="G46" s="1"/>
      <c r="H46" s="1"/>
      <c r="I46" s="1"/>
      <c r="J46" s="1"/>
      <c r="K46" s="1"/>
      <c r="L46" s="1"/>
      <c r="M46" s="1"/>
      <c r="N46" s="1"/>
      <c r="O46" s="1"/>
      <c r="P46" s="1"/>
      <c r="Q46" s="1"/>
      <c r="R46" s="1"/>
      <c r="S46" s="1"/>
      <c r="T46" s="1"/>
      <c r="U46" s="1"/>
      <c r="V46" s="1"/>
      <c r="W46" s="1"/>
      <c r="X46" s="1"/>
      <c r="Y46" s="1"/>
      <c r="Z46" s="1"/>
    </row>
    <row r="47" spans="1:26" ht="12" customHeight="1" x14ac:dyDescent="0.2">
      <c r="A47" s="2" t="s">
        <v>40</v>
      </c>
      <c r="B47" s="2" t="s">
        <v>41</v>
      </c>
      <c r="C47" s="2" t="s">
        <v>81</v>
      </c>
      <c r="D47" s="2">
        <f>K_Vieux_Fort_South!C4</f>
        <v>2439</v>
      </c>
      <c r="E47" s="8">
        <f>K_Vieux_Fort_South!D4</f>
        <v>0.52508073196986005</v>
      </c>
      <c r="F47" s="1"/>
      <c r="G47" s="1"/>
      <c r="H47" s="1"/>
      <c r="I47" s="1"/>
      <c r="J47" s="1"/>
      <c r="K47" s="1"/>
      <c r="L47" s="1"/>
      <c r="M47" s="1"/>
      <c r="N47" s="1"/>
      <c r="O47" s="1"/>
      <c r="P47" s="1"/>
      <c r="Q47" s="1"/>
      <c r="R47" s="1"/>
      <c r="S47" s="1"/>
      <c r="T47" s="1"/>
      <c r="U47" s="1"/>
      <c r="V47" s="1"/>
      <c r="W47" s="1"/>
      <c r="X47" s="1"/>
      <c r="Y47" s="1"/>
      <c r="Z47" s="1"/>
    </row>
    <row r="48" spans="1:26" ht="12" customHeight="1" x14ac:dyDescent="0.2">
      <c r="A48" s="5" t="s">
        <v>43</v>
      </c>
      <c r="B48" s="5" t="s">
        <v>44</v>
      </c>
      <c r="C48" s="2" t="s">
        <v>432</v>
      </c>
      <c r="D48" s="5">
        <f>K_Vieux_Fort_South!E4</f>
        <v>2101</v>
      </c>
      <c r="E48" s="7">
        <f>K_Vieux_Fort_South!F4</f>
        <v>0.45231431646932185</v>
      </c>
      <c r="F48" s="1"/>
      <c r="G48" s="1"/>
      <c r="H48" s="1"/>
      <c r="I48" s="1"/>
      <c r="J48" s="1"/>
      <c r="K48" s="1"/>
      <c r="L48" s="1"/>
      <c r="M48" s="1"/>
      <c r="N48" s="1"/>
      <c r="O48" s="1"/>
      <c r="P48" s="1"/>
      <c r="Q48" s="1"/>
      <c r="R48" s="1"/>
      <c r="S48" s="1"/>
      <c r="T48" s="1"/>
      <c r="U48" s="1"/>
      <c r="V48" s="1"/>
      <c r="W48" s="1"/>
      <c r="X48" s="1"/>
      <c r="Y48" s="1"/>
      <c r="Z48" s="1"/>
    </row>
    <row r="49" spans="1:26" ht="12" customHeight="1" x14ac:dyDescent="0.2">
      <c r="A49" s="1"/>
      <c r="B49" s="1"/>
      <c r="C49" s="5" t="s">
        <v>49</v>
      </c>
      <c r="D49" s="5">
        <f>K_Vieux_Fort_South!G4</f>
        <v>105</v>
      </c>
      <c r="E49" s="7">
        <f>K_Vieux_Fort_South!H4</f>
        <v>2.2604951560818085E-2</v>
      </c>
      <c r="F49" s="1"/>
      <c r="G49" s="1"/>
      <c r="H49" s="1"/>
      <c r="I49" s="1"/>
      <c r="J49" s="1"/>
      <c r="K49" s="1"/>
      <c r="L49" s="1"/>
      <c r="M49" s="1"/>
      <c r="N49" s="1"/>
      <c r="O49" s="1"/>
      <c r="P49" s="1"/>
      <c r="Q49" s="1"/>
      <c r="R49" s="1"/>
      <c r="S49" s="1"/>
      <c r="T49" s="1"/>
      <c r="U49" s="1"/>
      <c r="V49" s="1"/>
      <c r="W49" s="1"/>
      <c r="X49" s="1"/>
      <c r="Y49" s="1"/>
      <c r="Z49" s="1"/>
    </row>
    <row r="50" spans="1:26" ht="12" customHeight="1" x14ac:dyDescent="0.2">
      <c r="A50" s="2" t="s">
        <v>82</v>
      </c>
      <c r="B50" s="2" t="s">
        <v>83</v>
      </c>
      <c r="C50" s="2">
        <f>L_Vieux_Fort_North!B4</f>
        <v>6498</v>
      </c>
      <c r="D50" s="2">
        <f>L_Vieux_Fort_North!I4</f>
        <v>3121</v>
      </c>
      <c r="E50" s="8">
        <f>L_Vieux_Fort_North!J4</f>
        <v>0.48030163127116038</v>
      </c>
      <c r="F50" s="1"/>
      <c r="G50" s="1"/>
      <c r="H50" s="1"/>
      <c r="I50" s="1"/>
      <c r="J50" s="1"/>
      <c r="K50" s="1"/>
      <c r="L50" s="1"/>
      <c r="M50" s="1"/>
      <c r="N50" s="1"/>
      <c r="O50" s="1"/>
      <c r="P50" s="1"/>
      <c r="Q50" s="1"/>
      <c r="R50" s="1"/>
      <c r="S50" s="1"/>
      <c r="T50" s="1"/>
      <c r="U50" s="1"/>
      <c r="V50" s="1"/>
      <c r="W50" s="1"/>
      <c r="X50" s="1"/>
      <c r="Y50" s="1"/>
      <c r="Z50" s="1"/>
    </row>
    <row r="51" spans="1:26" ht="12" customHeight="1" x14ac:dyDescent="0.2">
      <c r="A51" s="5" t="s">
        <v>43</v>
      </c>
      <c r="B51" s="5" t="s">
        <v>44</v>
      </c>
      <c r="C51" s="2" t="s">
        <v>433</v>
      </c>
      <c r="D51" s="5">
        <f>L_Vieux_Fort_North!E4</f>
        <v>1314</v>
      </c>
      <c r="E51" s="7">
        <f>L_Vieux_Fort_North!F4</f>
        <v>0.42101890419737265</v>
      </c>
      <c r="F51" s="1"/>
      <c r="G51" s="1"/>
      <c r="H51" s="1"/>
      <c r="I51" s="1"/>
      <c r="J51" s="1"/>
      <c r="K51" s="1"/>
      <c r="L51" s="1"/>
      <c r="M51" s="1"/>
      <c r="N51" s="1"/>
      <c r="O51" s="1"/>
      <c r="P51" s="1"/>
      <c r="Q51" s="1"/>
      <c r="R51" s="1"/>
      <c r="S51" s="1"/>
      <c r="T51" s="1"/>
      <c r="U51" s="1"/>
      <c r="V51" s="1"/>
      <c r="W51" s="1"/>
      <c r="X51" s="1"/>
      <c r="Y51" s="1"/>
      <c r="Z51" s="1"/>
    </row>
    <row r="52" spans="1:26" ht="12" customHeight="1" x14ac:dyDescent="0.2">
      <c r="A52" s="2" t="s">
        <v>40</v>
      </c>
      <c r="B52" s="2" t="s">
        <v>41</v>
      </c>
      <c r="C52" s="2" t="s">
        <v>84</v>
      </c>
      <c r="D52" s="2">
        <f>L_Vieux_Fort_North!C4</f>
        <v>1748</v>
      </c>
      <c r="E52" s="8">
        <f>L_Vieux_Fort_North!D4</f>
        <v>0.56007689842999042</v>
      </c>
      <c r="F52" s="1"/>
      <c r="G52" s="1"/>
      <c r="H52" s="1"/>
      <c r="I52" s="1"/>
      <c r="J52" s="1"/>
      <c r="K52" s="1"/>
      <c r="L52" s="1"/>
      <c r="M52" s="1"/>
      <c r="N52" s="1"/>
      <c r="O52" s="1"/>
      <c r="P52" s="1"/>
      <c r="Q52" s="1"/>
      <c r="R52" s="1"/>
      <c r="S52" s="1"/>
      <c r="T52" s="1"/>
      <c r="U52" s="1"/>
      <c r="V52" s="1"/>
      <c r="W52" s="1"/>
      <c r="X52" s="1"/>
      <c r="Y52" s="1"/>
      <c r="Z52" s="1"/>
    </row>
    <row r="53" spans="1:26" ht="12" customHeight="1" x14ac:dyDescent="0.2">
      <c r="A53" s="1"/>
      <c r="B53" s="1"/>
      <c r="C53" s="5" t="s">
        <v>49</v>
      </c>
      <c r="D53" s="5">
        <f>L_Vieux_Fort_North!G4</f>
        <v>59</v>
      </c>
      <c r="E53" s="7">
        <f>L_Vieux_Fort_North!H4</f>
        <v>1.8904197372636974E-2</v>
      </c>
      <c r="F53" s="1"/>
      <c r="G53" s="1"/>
      <c r="H53" s="1"/>
      <c r="I53" s="1"/>
      <c r="J53" s="1"/>
      <c r="K53" s="1"/>
      <c r="L53" s="1"/>
      <c r="M53" s="1"/>
      <c r="N53" s="1"/>
      <c r="O53" s="1"/>
      <c r="P53" s="1"/>
      <c r="Q53" s="1"/>
      <c r="R53" s="1"/>
      <c r="S53" s="1"/>
      <c r="T53" s="1"/>
      <c r="U53" s="1"/>
      <c r="V53" s="1"/>
      <c r="W53" s="1"/>
      <c r="X53" s="1"/>
      <c r="Y53" s="1"/>
      <c r="Z53" s="1"/>
    </row>
    <row r="54" spans="1:26" ht="12" customHeight="1" x14ac:dyDescent="0.2">
      <c r="A54" s="2" t="s">
        <v>85</v>
      </c>
      <c r="B54" s="2" t="s">
        <v>86</v>
      </c>
      <c r="C54" s="2">
        <f>M_Micoud_South!B4</f>
        <v>7018</v>
      </c>
      <c r="D54" s="2">
        <f>M_Micoud_South!I4</f>
        <v>4084</v>
      </c>
      <c r="E54" s="8">
        <f>M_Micoud_South!J4</f>
        <v>0.58193217440866341</v>
      </c>
      <c r="F54" s="1"/>
      <c r="G54" s="1"/>
      <c r="H54" s="1"/>
      <c r="I54" s="1"/>
      <c r="J54" s="1"/>
      <c r="K54" s="1"/>
      <c r="L54" s="1"/>
      <c r="M54" s="1"/>
      <c r="N54" s="1"/>
      <c r="O54" s="1"/>
      <c r="P54" s="1"/>
      <c r="Q54" s="1"/>
      <c r="R54" s="1"/>
      <c r="S54" s="1"/>
      <c r="T54" s="1"/>
      <c r="U54" s="1"/>
      <c r="V54" s="1"/>
      <c r="W54" s="1"/>
      <c r="X54" s="1"/>
      <c r="Y54" s="1"/>
      <c r="Z54" s="1"/>
    </row>
    <row r="55" spans="1:26" ht="12" customHeight="1" x14ac:dyDescent="0.2">
      <c r="A55" s="5" t="s">
        <v>40</v>
      </c>
      <c r="B55" s="5" t="s">
        <v>41</v>
      </c>
      <c r="C55" s="2" t="s">
        <v>435</v>
      </c>
      <c r="D55" s="5">
        <f>M_Micoud_South!C4</f>
        <v>1409</v>
      </c>
      <c r="E55" s="7">
        <f>M_Micoud_South!D4</f>
        <v>0.34500489715964738</v>
      </c>
      <c r="F55" s="1"/>
      <c r="G55" s="1"/>
      <c r="H55" s="1"/>
      <c r="I55" s="1"/>
      <c r="J55" s="1"/>
      <c r="K55" s="1"/>
      <c r="L55" s="1"/>
      <c r="M55" s="1"/>
      <c r="N55" s="1"/>
      <c r="O55" s="1"/>
      <c r="P55" s="1"/>
      <c r="Q55" s="1"/>
      <c r="R55" s="1"/>
      <c r="S55" s="1"/>
      <c r="T55" s="1"/>
      <c r="U55" s="1"/>
      <c r="V55" s="1"/>
      <c r="W55" s="1"/>
      <c r="X55" s="1"/>
      <c r="Y55" s="1"/>
      <c r="Z55" s="1"/>
    </row>
    <row r="56" spans="1:26" ht="12" customHeight="1" x14ac:dyDescent="0.2">
      <c r="A56" s="2" t="s">
        <v>43</v>
      </c>
      <c r="B56" s="2" t="s">
        <v>44</v>
      </c>
      <c r="C56" s="5" t="s">
        <v>434</v>
      </c>
      <c r="D56" s="2">
        <f>M_Micoud_South!E4</f>
        <v>2571</v>
      </c>
      <c r="E56" s="8">
        <f>M_Micoud_South!F4</f>
        <v>0.62952987267384919</v>
      </c>
      <c r="F56" s="1"/>
      <c r="G56" s="1"/>
      <c r="H56" s="1"/>
      <c r="I56" s="1"/>
      <c r="J56" s="1"/>
      <c r="K56" s="1"/>
      <c r="L56" s="1"/>
      <c r="M56" s="1"/>
      <c r="N56" s="1"/>
      <c r="O56" s="1"/>
      <c r="P56" s="1"/>
      <c r="Q56" s="1"/>
      <c r="R56" s="1"/>
      <c r="S56" s="1"/>
      <c r="T56" s="1"/>
      <c r="U56" s="1"/>
      <c r="V56" s="1"/>
      <c r="W56" s="1"/>
      <c r="X56" s="1"/>
      <c r="Y56" s="1"/>
      <c r="Z56" s="1"/>
    </row>
    <row r="57" spans="1:26" ht="12" customHeight="1" x14ac:dyDescent="0.2">
      <c r="A57" s="1"/>
      <c r="B57" s="1"/>
      <c r="C57" s="5" t="s">
        <v>49</v>
      </c>
      <c r="D57" s="5">
        <f>M_Micoud_South!G4</f>
        <v>134</v>
      </c>
      <c r="E57" s="7">
        <f>M_Micoud_South!H4</f>
        <v>3.2810969637610189E-2</v>
      </c>
      <c r="F57" s="1"/>
      <c r="G57" s="1"/>
      <c r="H57" s="1"/>
      <c r="I57" s="1"/>
      <c r="J57" s="1"/>
      <c r="K57" s="1"/>
      <c r="L57" s="1"/>
      <c r="M57" s="1"/>
      <c r="N57" s="1"/>
      <c r="O57" s="1"/>
      <c r="P57" s="1"/>
      <c r="Q57" s="1"/>
      <c r="R57" s="1"/>
      <c r="S57" s="1"/>
      <c r="T57" s="1"/>
      <c r="U57" s="1"/>
      <c r="V57" s="1"/>
      <c r="W57" s="1"/>
      <c r="X57" s="1"/>
      <c r="Y57" s="1"/>
      <c r="Z57" s="1"/>
    </row>
    <row r="58" spans="1:26" ht="12" customHeight="1" x14ac:dyDescent="0.2">
      <c r="A58" s="2" t="s">
        <v>87</v>
      </c>
      <c r="B58" s="2" t="s">
        <v>88</v>
      </c>
      <c r="C58" s="2">
        <f>N_Micoud_North!B4</f>
        <v>7449</v>
      </c>
      <c r="D58" s="2">
        <f>N_Micoud_North!M4</f>
        <v>3723</v>
      </c>
      <c r="E58" s="8">
        <f>N_Micoud_North!N4</f>
        <v>0.49979863068868302</v>
      </c>
      <c r="F58" s="1"/>
      <c r="G58" s="1"/>
      <c r="H58" s="1"/>
      <c r="I58" s="1"/>
      <c r="J58" s="1"/>
      <c r="K58" s="1"/>
      <c r="L58" s="1"/>
      <c r="M58" s="1"/>
      <c r="N58" s="1"/>
      <c r="O58" s="1"/>
      <c r="P58" s="1"/>
      <c r="Q58" s="1"/>
      <c r="R58" s="1"/>
      <c r="S58" s="1"/>
      <c r="T58" s="1"/>
      <c r="U58" s="1"/>
      <c r="V58" s="1"/>
      <c r="W58" s="1"/>
      <c r="X58" s="1"/>
      <c r="Y58" s="1"/>
      <c r="Z58" s="1"/>
    </row>
    <row r="59" spans="1:26" ht="12" customHeight="1" x14ac:dyDescent="0.2">
      <c r="A59" s="2" t="s">
        <v>392</v>
      </c>
      <c r="B59" s="2" t="s">
        <v>436</v>
      </c>
      <c r="C59" s="5" t="s">
        <v>89</v>
      </c>
      <c r="D59" s="5">
        <f>N_Micoud_North!G4</f>
        <v>4</v>
      </c>
      <c r="E59" s="7">
        <f>N_Micoud_North!H4</f>
        <v>1.0744023636852001E-3</v>
      </c>
      <c r="F59" s="1"/>
      <c r="G59" s="1"/>
      <c r="H59" s="1"/>
      <c r="I59" s="1"/>
      <c r="J59" s="1"/>
      <c r="K59" s="1"/>
      <c r="L59" s="1"/>
      <c r="M59" s="1"/>
      <c r="N59" s="1"/>
      <c r="O59" s="1"/>
      <c r="P59" s="1"/>
      <c r="Q59" s="1"/>
      <c r="R59" s="1"/>
      <c r="S59" s="1"/>
      <c r="T59" s="1"/>
      <c r="U59" s="1"/>
      <c r="V59" s="1"/>
      <c r="W59" s="1"/>
      <c r="X59" s="1"/>
      <c r="Y59" s="1"/>
      <c r="Z59" s="1"/>
    </row>
    <row r="60" spans="1:26" ht="12" customHeight="1" x14ac:dyDescent="0.2">
      <c r="A60" s="5" t="s">
        <v>68</v>
      </c>
      <c r="B60" s="5" t="s">
        <v>69</v>
      </c>
      <c r="C60" s="5" t="s">
        <v>90</v>
      </c>
      <c r="D60" s="5">
        <f>N_Micoud_North!I4</f>
        <v>787</v>
      </c>
      <c r="E60" s="7">
        <f>N_Micoud_North!J4</f>
        <v>0.21138866505506312</v>
      </c>
      <c r="F60" s="1"/>
      <c r="G60" s="1"/>
      <c r="H60" s="1"/>
      <c r="I60" s="1"/>
      <c r="J60" s="1"/>
      <c r="K60" s="1"/>
      <c r="L60" s="1"/>
      <c r="M60" s="1"/>
      <c r="N60" s="1"/>
      <c r="O60" s="1"/>
      <c r="P60" s="1"/>
      <c r="Q60" s="1"/>
      <c r="R60" s="1"/>
      <c r="S60" s="1"/>
      <c r="T60" s="1"/>
      <c r="U60" s="1"/>
      <c r="V60" s="1"/>
      <c r="W60" s="1"/>
      <c r="X60" s="1"/>
      <c r="Y60" s="1"/>
      <c r="Z60" s="1"/>
    </row>
    <row r="61" spans="1:26" ht="12" customHeight="1" x14ac:dyDescent="0.2">
      <c r="A61" s="5" t="s">
        <v>40</v>
      </c>
      <c r="B61" s="5" t="s">
        <v>41</v>
      </c>
      <c r="C61" s="5" t="s">
        <v>437</v>
      </c>
      <c r="D61" s="5">
        <f>N_Micoud_North!C4</f>
        <v>927</v>
      </c>
      <c r="E61" s="7">
        <f>N_Micoud_North!D4</f>
        <v>0.24899274778404512</v>
      </c>
      <c r="F61" s="1"/>
      <c r="G61" s="1"/>
      <c r="H61" s="1"/>
      <c r="I61" s="1"/>
      <c r="J61" s="1"/>
      <c r="K61" s="1"/>
      <c r="L61" s="1"/>
      <c r="M61" s="1"/>
      <c r="N61" s="1"/>
      <c r="O61" s="1"/>
      <c r="P61" s="1"/>
      <c r="Q61" s="1"/>
      <c r="R61" s="1"/>
      <c r="S61" s="1"/>
      <c r="T61" s="1"/>
      <c r="U61" s="1"/>
      <c r="V61" s="1"/>
      <c r="W61" s="1"/>
      <c r="X61" s="1"/>
      <c r="Y61" s="1"/>
      <c r="Z61" s="1"/>
    </row>
    <row r="62" spans="1:26" ht="12" customHeight="1" x14ac:dyDescent="0.2">
      <c r="A62" s="2" t="s">
        <v>43</v>
      </c>
      <c r="B62" s="2" t="s">
        <v>44</v>
      </c>
      <c r="C62" s="2" t="s">
        <v>91</v>
      </c>
      <c r="D62" s="2">
        <f>N_Micoud_North!E4</f>
        <v>1910</v>
      </c>
      <c r="E62" s="8">
        <f>N_Micoud_North!F4</f>
        <v>0.51302712865968303</v>
      </c>
      <c r="F62" s="1"/>
      <c r="G62" s="1"/>
      <c r="H62" s="1"/>
      <c r="I62" s="1"/>
      <c r="J62" s="1"/>
      <c r="K62" s="1"/>
      <c r="L62" s="1"/>
      <c r="M62" s="1"/>
      <c r="N62" s="1"/>
      <c r="O62" s="1"/>
      <c r="P62" s="1"/>
      <c r="Q62" s="1"/>
      <c r="R62" s="1"/>
      <c r="S62" s="1"/>
      <c r="T62" s="1"/>
      <c r="U62" s="1"/>
      <c r="V62" s="1"/>
      <c r="W62" s="1"/>
      <c r="X62" s="1"/>
      <c r="Y62" s="1"/>
      <c r="Z62" s="1"/>
    </row>
    <row r="63" spans="1:26" ht="12" customHeight="1" x14ac:dyDescent="0.2">
      <c r="A63" s="1"/>
      <c r="B63" s="1"/>
      <c r="C63" s="5" t="s">
        <v>49</v>
      </c>
      <c r="D63" s="5">
        <f>N_Micoud_North!K4</f>
        <v>95</v>
      </c>
      <c r="E63" s="7">
        <f>N_Micoud_North!L4</f>
        <v>2.5517056137523503E-2</v>
      </c>
      <c r="F63" s="1"/>
      <c r="G63" s="1"/>
      <c r="H63" s="1"/>
      <c r="I63" s="1"/>
      <c r="J63" s="1"/>
      <c r="K63" s="1"/>
      <c r="L63" s="1"/>
      <c r="M63" s="1"/>
      <c r="N63" s="1"/>
      <c r="O63" s="1"/>
      <c r="P63" s="1"/>
      <c r="Q63" s="1"/>
      <c r="R63" s="1"/>
      <c r="S63" s="1"/>
      <c r="T63" s="1"/>
      <c r="U63" s="1"/>
      <c r="V63" s="1"/>
      <c r="W63" s="1"/>
      <c r="X63" s="1"/>
      <c r="Y63" s="1"/>
      <c r="Z63" s="1"/>
    </row>
    <row r="64" spans="1:26" ht="12" customHeight="1" x14ac:dyDescent="0.2">
      <c r="A64" s="2" t="s">
        <v>92</v>
      </c>
      <c r="B64" s="2" t="s">
        <v>93</v>
      </c>
      <c r="C64" s="2">
        <f>O_Dennery_South!B4</f>
        <v>5021</v>
      </c>
      <c r="D64" s="2">
        <f>O_Dennery_South!K4</f>
        <v>2939</v>
      </c>
      <c r="E64" s="8">
        <f>O_Dennery_South!L4</f>
        <v>0.58534156542521409</v>
      </c>
      <c r="F64" s="1"/>
      <c r="G64" s="1"/>
      <c r="H64" s="1"/>
      <c r="I64" s="1"/>
      <c r="J64" s="1"/>
      <c r="K64" s="1"/>
      <c r="L64" s="1"/>
      <c r="M64" s="1"/>
      <c r="N64" s="1"/>
      <c r="O64" s="1"/>
      <c r="P64" s="1"/>
      <c r="Q64" s="1"/>
      <c r="R64" s="1"/>
      <c r="S64" s="1"/>
      <c r="T64" s="1"/>
      <c r="U64" s="1"/>
      <c r="V64" s="1"/>
      <c r="W64" s="1"/>
      <c r="X64" s="1"/>
      <c r="Y64" s="1"/>
      <c r="Z64" s="1"/>
    </row>
    <row r="65" spans="1:26" ht="12" customHeight="1" x14ac:dyDescent="0.2">
      <c r="A65" s="5" t="s">
        <v>392</v>
      </c>
      <c r="B65" s="5" t="s">
        <v>436</v>
      </c>
      <c r="C65" s="5" t="s">
        <v>438</v>
      </c>
      <c r="D65" s="5">
        <f>O_Dennery_South!G4</f>
        <v>7</v>
      </c>
      <c r="E65" s="7">
        <f>O_Dennery_South!H4</f>
        <v>2.3817625042531474E-3</v>
      </c>
      <c r="F65" s="1"/>
      <c r="G65" s="1"/>
      <c r="H65" s="1"/>
      <c r="I65" s="1"/>
      <c r="J65" s="1"/>
      <c r="K65" s="1"/>
      <c r="L65" s="1"/>
      <c r="M65" s="1"/>
      <c r="N65" s="1"/>
      <c r="O65" s="1"/>
      <c r="P65" s="1"/>
      <c r="Q65" s="1"/>
      <c r="R65" s="1"/>
      <c r="S65" s="1"/>
      <c r="T65" s="1"/>
      <c r="U65" s="1"/>
      <c r="V65" s="1"/>
      <c r="W65" s="1"/>
      <c r="X65" s="1"/>
      <c r="Y65" s="1"/>
      <c r="Z65" s="1"/>
    </row>
    <row r="66" spans="1:26" ht="12" customHeight="1" x14ac:dyDescent="0.2">
      <c r="A66" s="2" t="s">
        <v>43</v>
      </c>
      <c r="B66" s="2" t="s">
        <v>44</v>
      </c>
      <c r="C66" s="2" t="s">
        <v>94</v>
      </c>
      <c r="D66" s="2">
        <f>O_Dennery_South!E4</f>
        <v>1464</v>
      </c>
      <c r="E66" s="8">
        <f>O_Dennery_South!F4</f>
        <v>0.49812861517522966</v>
      </c>
      <c r="F66" s="1"/>
      <c r="G66" s="1"/>
      <c r="H66" s="1"/>
      <c r="I66" s="1"/>
      <c r="J66" s="1"/>
      <c r="K66" s="1"/>
      <c r="L66" s="1"/>
      <c r="M66" s="1"/>
      <c r="N66" s="1"/>
      <c r="O66" s="1"/>
      <c r="P66" s="1"/>
      <c r="Q66" s="1"/>
      <c r="R66" s="1"/>
      <c r="S66" s="1"/>
      <c r="T66" s="1"/>
      <c r="U66" s="1"/>
      <c r="V66" s="1"/>
      <c r="W66" s="1"/>
      <c r="X66" s="1"/>
      <c r="Y66" s="1"/>
      <c r="Z66" s="1"/>
    </row>
    <row r="67" spans="1:26" ht="12" customHeight="1" x14ac:dyDescent="0.2">
      <c r="A67" s="5" t="s">
        <v>40</v>
      </c>
      <c r="B67" s="5" t="s">
        <v>41</v>
      </c>
      <c r="C67" s="5" t="s">
        <v>439</v>
      </c>
      <c r="D67" s="5">
        <f>O_Dennery_South!C4</f>
        <v>1317</v>
      </c>
      <c r="E67" s="7">
        <f>O_Dennery_South!D4</f>
        <v>0.44811160258591359</v>
      </c>
      <c r="F67" s="1"/>
      <c r="G67" s="1"/>
      <c r="H67" s="1"/>
      <c r="I67" s="1"/>
      <c r="J67" s="1"/>
      <c r="K67" s="1"/>
      <c r="L67" s="1"/>
      <c r="M67" s="1"/>
      <c r="N67" s="1"/>
      <c r="O67" s="1"/>
      <c r="P67" s="1"/>
      <c r="Q67" s="1"/>
      <c r="R67" s="1"/>
      <c r="S67" s="1"/>
      <c r="T67" s="1"/>
      <c r="U67" s="1"/>
      <c r="V67" s="1"/>
      <c r="W67" s="1"/>
      <c r="X67" s="1"/>
      <c r="Y67" s="1"/>
      <c r="Z67" s="1"/>
    </row>
    <row r="68" spans="1:26" ht="12" customHeight="1" x14ac:dyDescent="0.2">
      <c r="A68" s="1"/>
      <c r="B68" s="1"/>
      <c r="C68" s="5" t="s">
        <v>49</v>
      </c>
      <c r="D68" s="5">
        <f>O_Dennery_South!I4</f>
        <v>151</v>
      </c>
      <c r="E68" s="7">
        <f>O_Dennery_South!J4</f>
        <v>5.1378019734603604E-2</v>
      </c>
      <c r="F68" s="1"/>
      <c r="G68" s="1"/>
      <c r="H68" s="1"/>
      <c r="I68" s="1"/>
      <c r="J68" s="1"/>
      <c r="K68" s="1"/>
      <c r="L68" s="1"/>
      <c r="M68" s="1"/>
      <c r="N68" s="1"/>
      <c r="O68" s="1"/>
      <c r="P68" s="1"/>
      <c r="Q68" s="1"/>
      <c r="R68" s="1"/>
      <c r="S68" s="1"/>
      <c r="T68" s="1"/>
      <c r="U68" s="1"/>
      <c r="V68" s="1"/>
      <c r="W68" s="1"/>
      <c r="X68" s="1"/>
      <c r="Y68" s="1"/>
      <c r="Z68" s="1"/>
    </row>
    <row r="69" spans="1:26" ht="12" customHeight="1" x14ac:dyDescent="0.2">
      <c r="A69" s="2" t="s">
        <v>95</v>
      </c>
      <c r="B69" s="2" t="s">
        <v>96</v>
      </c>
      <c r="C69" s="2">
        <f>P_Dennery_North!B4</f>
        <v>8140</v>
      </c>
      <c r="D69" s="2">
        <f>P_Dennery_North!I4</f>
        <v>4470</v>
      </c>
      <c r="E69" s="8">
        <f>P_Dennery_North!J4</f>
        <v>0.5491400491400491</v>
      </c>
      <c r="F69" s="1"/>
      <c r="G69" s="1"/>
      <c r="H69" s="1"/>
      <c r="I69" s="1"/>
      <c r="J69" s="1"/>
      <c r="K69" s="1"/>
      <c r="L69" s="1"/>
      <c r="M69" s="1"/>
      <c r="N69" s="1"/>
      <c r="O69" s="1"/>
      <c r="P69" s="1"/>
      <c r="Q69" s="1"/>
      <c r="R69" s="1"/>
      <c r="S69" s="1"/>
      <c r="T69" s="1"/>
      <c r="U69" s="1"/>
      <c r="V69" s="1"/>
      <c r="W69" s="1"/>
      <c r="X69" s="1"/>
      <c r="Y69" s="1"/>
      <c r="Z69" s="1"/>
    </row>
    <row r="70" spans="1:26" ht="12" customHeight="1" x14ac:dyDescent="0.2">
      <c r="A70" s="5" t="s">
        <v>43</v>
      </c>
      <c r="B70" s="5" t="s">
        <v>44</v>
      </c>
      <c r="C70" s="5" t="s">
        <v>440</v>
      </c>
      <c r="D70" s="5">
        <f>P_Dennery_North!E4</f>
        <v>2147</v>
      </c>
      <c r="E70" s="7">
        <f>P_Dennery_North!F4</f>
        <v>0.48031319910514542</v>
      </c>
      <c r="F70" s="1"/>
      <c r="G70" s="1"/>
      <c r="H70" s="1"/>
      <c r="I70" s="1"/>
      <c r="J70" s="1"/>
      <c r="K70" s="1"/>
      <c r="L70" s="1"/>
      <c r="M70" s="1"/>
      <c r="N70" s="1"/>
      <c r="O70" s="1"/>
      <c r="P70" s="1"/>
      <c r="Q70" s="1"/>
      <c r="R70" s="1"/>
      <c r="S70" s="1"/>
      <c r="T70" s="1"/>
      <c r="U70" s="1"/>
      <c r="V70" s="1"/>
      <c r="W70" s="1"/>
      <c r="X70" s="1"/>
      <c r="Y70" s="1"/>
      <c r="Z70" s="1"/>
    </row>
    <row r="71" spans="1:26" ht="12" customHeight="1" x14ac:dyDescent="0.2">
      <c r="A71" s="2" t="s">
        <v>40</v>
      </c>
      <c r="B71" s="2" t="s">
        <v>41</v>
      </c>
      <c r="C71" s="2" t="s">
        <v>97</v>
      </c>
      <c r="D71" s="2">
        <f>P_Dennery_North!C4</f>
        <v>2283</v>
      </c>
      <c r="E71" s="8">
        <f>P_Dennery_North!D4</f>
        <v>0.51073825503355708</v>
      </c>
      <c r="F71" s="1"/>
      <c r="G71" s="1"/>
      <c r="H71" s="1"/>
      <c r="I71" s="1"/>
      <c r="J71" s="1"/>
      <c r="K71" s="1"/>
      <c r="L71" s="1"/>
      <c r="M71" s="1"/>
      <c r="N71" s="1"/>
      <c r="O71" s="1"/>
      <c r="P71" s="1"/>
      <c r="Q71" s="1"/>
      <c r="R71" s="1"/>
      <c r="S71" s="1"/>
      <c r="T71" s="1"/>
      <c r="U71" s="1"/>
      <c r="V71" s="1"/>
      <c r="W71" s="1"/>
      <c r="X71" s="1"/>
      <c r="Y71" s="1"/>
      <c r="Z71" s="1"/>
    </row>
    <row r="72" spans="1:26" ht="12" customHeight="1" x14ac:dyDescent="0.2">
      <c r="A72" s="1"/>
      <c r="B72" s="1"/>
      <c r="C72" s="5" t="s">
        <v>49</v>
      </c>
      <c r="D72" s="5">
        <f>P_Dennery_North!G4</f>
        <v>40</v>
      </c>
      <c r="E72" s="7">
        <f>P_Dennery_North!H4</f>
        <v>8.948545861297539E-3</v>
      </c>
      <c r="F72" s="1"/>
      <c r="G72" s="1"/>
      <c r="H72" s="1"/>
      <c r="I72" s="1"/>
      <c r="J72" s="1"/>
      <c r="K72" s="1"/>
      <c r="L72" s="1"/>
      <c r="M72" s="1"/>
      <c r="N72" s="1"/>
      <c r="O72" s="1"/>
      <c r="P72" s="1"/>
      <c r="Q72" s="1"/>
      <c r="R72" s="1"/>
      <c r="S72" s="1"/>
      <c r="T72" s="1"/>
      <c r="U72" s="1"/>
      <c r="V72" s="1"/>
      <c r="W72" s="1"/>
      <c r="X72" s="1"/>
      <c r="Y72" s="1"/>
      <c r="Z72" s="1"/>
    </row>
    <row r="73" spans="1:26" ht="12" customHeight="1" x14ac:dyDescent="0.2">
      <c r="A73" s="2" t="s">
        <v>98</v>
      </c>
      <c r="B73" s="2" t="s">
        <v>99</v>
      </c>
      <c r="C73" s="2">
        <f>Q_Castries_South_East!B4</f>
        <v>13779</v>
      </c>
      <c r="D73" s="2">
        <f>Q_Castries_South_East!I4</f>
        <v>7653</v>
      </c>
      <c r="E73" s="8">
        <f>Q_Castries_South_East!J4</f>
        <v>0.55541040714130196</v>
      </c>
      <c r="F73" s="1"/>
      <c r="G73" s="1"/>
      <c r="H73" s="1"/>
      <c r="I73" s="1"/>
      <c r="J73" s="1"/>
      <c r="K73" s="1"/>
      <c r="L73" s="1"/>
      <c r="M73" s="1"/>
      <c r="N73" s="1"/>
      <c r="O73" s="1"/>
      <c r="P73" s="1"/>
      <c r="Q73" s="1"/>
      <c r="R73" s="1"/>
      <c r="S73" s="1"/>
      <c r="T73" s="1"/>
      <c r="U73" s="1"/>
      <c r="V73" s="1"/>
      <c r="W73" s="1"/>
      <c r="X73" s="1"/>
      <c r="Y73" s="1"/>
      <c r="Z73" s="1"/>
    </row>
    <row r="74" spans="1:26" ht="12" customHeight="1" x14ac:dyDescent="0.2">
      <c r="A74" s="2" t="s">
        <v>43</v>
      </c>
      <c r="B74" s="2" t="s">
        <v>44</v>
      </c>
      <c r="C74" s="2" t="s">
        <v>100</v>
      </c>
      <c r="D74" s="2">
        <f>Q_Castries_South_East!E4</f>
        <v>4325</v>
      </c>
      <c r="E74" s="8">
        <f>Q_Castries_South_East!F4</f>
        <v>0.56513785443616882</v>
      </c>
      <c r="F74" s="1"/>
      <c r="G74" s="1"/>
      <c r="H74" s="1"/>
      <c r="I74" s="1"/>
      <c r="J74" s="1"/>
      <c r="K74" s="1"/>
      <c r="L74" s="1"/>
      <c r="M74" s="1"/>
      <c r="N74" s="1"/>
      <c r="O74" s="1"/>
      <c r="P74" s="1"/>
      <c r="Q74" s="1"/>
      <c r="R74" s="1"/>
      <c r="S74" s="1"/>
      <c r="T74" s="1"/>
      <c r="U74" s="1"/>
      <c r="V74" s="1"/>
      <c r="W74" s="1"/>
      <c r="X74" s="1"/>
      <c r="Y74" s="1"/>
      <c r="Z74" s="1"/>
    </row>
    <row r="75" spans="1:26" ht="12" customHeight="1" x14ac:dyDescent="0.2">
      <c r="A75" s="5" t="s">
        <v>40</v>
      </c>
      <c r="B75" s="5" t="s">
        <v>41</v>
      </c>
      <c r="C75" s="2" t="s">
        <v>441</v>
      </c>
      <c r="D75" s="5">
        <f>Q_Castries_South_East!C4</f>
        <v>3169</v>
      </c>
      <c r="E75" s="7">
        <f>Q_Castries_South_East!D4</f>
        <v>0.41408597935450148</v>
      </c>
      <c r="F75" s="1"/>
      <c r="G75" s="1"/>
      <c r="H75" s="1"/>
      <c r="I75" s="1"/>
      <c r="J75" s="1"/>
      <c r="K75" s="1"/>
      <c r="L75" s="1"/>
      <c r="M75" s="1"/>
      <c r="N75" s="1"/>
      <c r="O75" s="1"/>
      <c r="P75" s="1"/>
      <c r="Q75" s="1"/>
      <c r="R75" s="1"/>
      <c r="S75" s="1"/>
      <c r="T75" s="1"/>
      <c r="U75" s="1"/>
      <c r="V75" s="1"/>
      <c r="W75" s="1"/>
      <c r="X75" s="1"/>
      <c r="Y75" s="1"/>
      <c r="Z75" s="1"/>
    </row>
    <row r="76" spans="1:26" ht="12" customHeight="1" x14ac:dyDescent="0.2">
      <c r="A76" s="1"/>
      <c r="B76" s="1"/>
      <c r="C76" s="5" t="s">
        <v>49</v>
      </c>
      <c r="D76" s="5">
        <f>Q_Castries_South_East!G4</f>
        <v>159</v>
      </c>
      <c r="E76" s="7">
        <f>Q_Castries_South_East!H4</f>
        <v>2.0776166209329674E-2</v>
      </c>
      <c r="F76" s="1"/>
      <c r="G76" s="1"/>
      <c r="H76" s="1"/>
      <c r="I76" s="1"/>
      <c r="J76" s="1"/>
      <c r="K76" s="1"/>
      <c r="L76" s="1"/>
      <c r="M76" s="1"/>
      <c r="N76" s="1"/>
      <c r="O76" s="1"/>
      <c r="P76" s="1"/>
      <c r="Q76" s="1"/>
      <c r="R76" s="1"/>
      <c r="S76" s="1"/>
      <c r="T76" s="1"/>
      <c r="U76" s="1"/>
      <c r="V76" s="1"/>
      <c r="W76" s="1"/>
      <c r="X76" s="1"/>
      <c r="Y76" s="1"/>
      <c r="Z76" s="1"/>
    </row>
    <row r="77" spans="1:26" ht="15" customHeight="1" x14ac:dyDescent="0.25">
      <c r="A77" s="1"/>
      <c r="B77" s="9" t="s">
        <v>101</v>
      </c>
      <c r="C77" s="9">
        <f>SUM(C3,C8,C12,C16,C20,C25,C29,C33,C38,C42,C46,C50,C54,C58,C64,C69,C73)</f>
        <v>162222</v>
      </c>
      <c r="D77" s="9">
        <f>SUM(D3,D8,D12,D16,D20,D25,D29,D33,D38,D42,D46,D50,D54,D58,D64,D69,D73)</f>
        <v>86825</v>
      </c>
      <c r="E77" s="10">
        <f>D77/C77</f>
        <v>0.53522333592237803</v>
      </c>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sheetData>
  <mergeCells count="1">
    <mergeCell ref="A1:E1"/>
  </mergeCells>
  <pageMargins left="0.75" right="0.75" top="1" bottom="1" header="0.3" footer="0.3"/>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1006"/>
  <sheetViews>
    <sheetView zoomScaleNormal="100" zoomScaleSheetLayoutView="90" workbookViewId="0">
      <pane xSplit="1" ySplit="4" topLeftCell="B5" activePane="bottomRight" state="frozen"/>
      <selection pane="topRight" activeCell="B1" sqref="B1"/>
      <selection pane="bottomLeft" activeCell="A5" sqref="A5"/>
      <selection pane="bottomRight" activeCell="B4" sqref="B4"/>
    </sheetView>
  </sheetViews>
  <sheetFormatPr defaultColWidth="17.28515625" defaultRowHeight="15" customHeight="1" x14ac:dyDescent="0.2"/>
  <cols>
    <col min="1" max="1" width="11.28515625" style="30" customWidth="1"/>
    <col min="2" max="2" width="8.42578125" style="30" customWidth="1"/>
    <col min="3" max="3" width="10.28515625" style="85" customWidth="1"/>
    <col min="4" max="4" width="14.5703125" style="85" customWidth="1"/>
    <col min="5" max="5" width="9" style="70" customWidth="1"/>
    <col min="6" max="6" width="9.140625" style="70" customWidth="1"/>
    <col min="7" max="7" width="7.28515625" style="77" customWidth="1"/>
    <col min="8" max="8" width="9.5703125" style="77" customWidth="1"/>
    <col min="9" max="9" width="8" style="30" customWidth="1"/>
    <col min="10" max="10" width="11.140625" style="30" customWidth="1"/>
    <col min="11" max="11" width="10.42578125" style="30" customWidth="1"/>
    <col min="12" max="12" width="11.28515625" style="30" customWidth="1"/>
    <col min="13" max="13" width="8.7109375" style="30" customWidth="1"/>
    <col min="14" max="14" width="10.28515625" style="30" customWidth="1"/>
    <col min="15" max="24" width="11.42578125" style="30" customWidth="1"/>
    <col min="25" max="16384" width="17.28515625" style="30"/>
  </cols>
  <sheetData>
    <row r="1" spans="1:24" ht="12.75" customHeight="1" x14ac:dyDescent="0.2">
      <c r="A1" s="143" t="s">
        <v>102</v>
      </c>
      <c r="B1" s="144"/>
      <c r="C1" s="144"/>
      <c r="D1" s="144"/>
      <c r="E1" s="144"/>
      <c r="F1" s="144"/>
      <c r="G1" s="144"/>
      <c r="H1" s="144"/>
      <c r="I1" s="144"/>
      <c r="J1" s="144"/>
      <c r="K1" s="144"/>
      <c r="L1" s="144"/>
      <c r="M1" s="144"/>
      <c r="N1" s="145"/>
      <c r="O1" s="33"/>
      <c r="P1" s="33"/>
      <c r="Q1" s="33"/>
      <c r="R1" s="33"/>
      <c r="S1" s="33"/>
      <c r="T1" s="33"/>
      <c r="U1" s="33"/>
      <c r="V1" s="33"/>
      <c r="W1" s="33"/>
      <c r="X1" s="33"/>
    </row>
    <row r="2" spans="1:24" ht="12" customHeight="1" x14ac:dyDescent="0.2">
      <c r="A2" s="155" t="s">
        <v>103</v>
      </c>
      <c r="B2" s="145"/>
      <c r="C2" s="156" t="s">
        <v>104</v>
      </c>
      <c r="D2" s="153"/>
      <c r="E2" s="157" t="s">
        <v>105</v>
      </c>
      <c r="F2" s="149"/>
      <c r="G2" s="158" t="s">
        <v>106</v>
      </c>
      <c r="H2" s="151"/>
      <c r="I2" s="146"/>
      <c r="J2" s="144"/>
      <c r="K2" s="144"/>
      <c r="L2" s="144"/>
      <c r="M2" s="144"/>
      <c r="N2" s="145"/>
      <c r="O2" s="34"/>
      <c r="P2" s="33"/>
      <c r="Q2" s="33"/>
      <c r="R2" s="33"/>
      <c r="S2" s="33"/>
      <c r="T2" s="33"/>
      <c r="U2" s="33"/>
      <c r="V2" s="33"/>
      <c r="W2" s="33"/>
      <c r="X2" s="33"/>
    </row>
    <row r="3" spans="1:24" ht="12" customHeight="1" x14ac:dyDescent="0.2">
      <c r="A3" s="154" t="s">
        <v>101</v>
      </c>
      <c r="B3" s="145"/>
      <c r="C3" s="152" t="s">
        <v>40</v>
      </c>
      <c r="D3" s="153"/>
      <c r="E3" s="148" t="s">
        <v>43</v>
      </c>
      <c r="F3" s="149"/>
      <c r="G3" s="150" t="s">
        <v>46</v>
      </c>
      <c r="H3" s="151"/>
      <c r="I3" s="147" t="s">
        <v>107</v>
      </c>
      <c r="J3" s="145"/>
      <c r="K3" s="147" t="s">
        <v>30</v>
      </c>
      <c r="L3" s="145"/>
      <c r="M3" s="147" t="s">
        <v>108</v>
      </c>
      <c r="N3" s="145"/>
      <c r="O3" s="33"/>
      <c r="P3" s="33"/>
      <c r="Q3" s="33"/>
      <c r="R3" s="33"/>
      <c r="S3" s="33"/>
      <c r="T3" s="33"/>
      <c r="U3" s="33"/>
      <c r="V3" s="33"/>
      <c r="W3" s="33"/>
      <c r="X3" s="33"/>
    </row>
    <row r="4" spans="1:24" ht="12" customHeight="1" x14ac:dyDescent="0.2">
      <c r="A4" s="35"/>
      <c r="B4" s="32">
        <f>+B13+B14+B24+B25+B31+B32+B34+B35+B43+B44+B51+B52+B65+B66+B79+B80</f>
        <v>20610</v>
      </c>
      <c r="C4" s="78">
        <f>SUM(C13+C14,C24,C31,C34,C43,C51,C65,C79,C80)</f>
        <v>4548</v>
      </c>
      <c r="D4" s="79">
        <f>IF((K4=0),"",(C4/K4))</f>
        <v>0.40625279142474319</v>
      </c>
      <c r="E4" s="63">
        <f>SUM(E13+E14,E24,E31,E34,E43,E51,E65,E79,E80)</f>
        <v>6339</v>
      </c>
      <c r="F4" s="64">
        <f>IF((K4=0),"",(E4/K4))</f>
        <v>0.56623492630638683</v>
      </c>
      <c r="G4" s="71">
        <f>SUM(G13+G14,G24,G31,G34,G43,G51,G65,G79,G80)</f>
        <v>151</v>
      </c>
      <c r="H4" s="72">
        <f>IF((K4=0),"",(G4/K4))</f>
        <v>1.3488164359088879E-2</v>
      </c>
      <c r="I4" s="32">
        <f>SUM(I13+I14,I24,I31,I34,I43,I51,I65,I79,I80)</f>
        <v>157</v>
      </c>
      <c r="J4" s="28">
        <f>IF((K4=0),"",(I4/K4))</f>
        <v>1.4024117909781152E-2</v>
      </c>
      <c r="K4" s="32">
        <f>SUM(C4,E4,G4,I4)</f>
        <v>11195</v>
      </c>
      <c r="L4" s="28">
        <f>IF((B4=0),"",(K4/B4))</f>
        <v>0.54318292091217857</v>
      </c>
      <c r="M4" s="32">
        <f>SUM(M13+M14,M24,M31,M34,M43,M51,M65,M79,M80)</f>
        <v>9309</v>
      </c>
      <c r="N4" s="28">
        <f>IF((B4=0),"",(M4/B4))</f>
        <v>0.45167394468704514</v>
      </c>
      <c r="O4" s="33"/>
      <c r="P4" s="33"/>
      <c r="Q4" s="33"/>
      <c r="R4" s="33"/>
      <c r="S4" s="33"/>
      <c r="T4" s="33"/>
      <c r="U4" s="33"/>
      <c r="V4" s="33"/>
      <c r="W4" s="33"/>
      <c r="X4" s="33"/>
    </row>
    <row r="5" spans="1:24" ht="12" customHeight="1" x14ac:dyDescent="0.2">
      <c r="A5" s="36" t="s">
        <v>109</v>
      </c>
      <c r="B5" s="32" t="s">
        <v>110</v>
      </c>
      <c r="C5" s="80"/>
      <c r="D5" s="80"/>
      <c r="E5" s="65"/>
      <c r="F5" s="65"/>
      <c r="G5" s="73"/>
      <c r="H5" s="73"/>
      <c r="I5" s="37"/>
      <c r="J5" s="37"/>
      <c r="K5" s="37"/>
      <c r="L5" s="37"/>
      <c r="M5" s="37"/>
      <c r="N5" s="37"/>
      <c r="O5" s="33"/>
      <c r="P5" s="33"/>
      <c r="Q5" s="33"/>
      <c r="R5" s="33"/>
      <c r="S5" s="33"/>
      <c r="T5" s="33"/>
      <c r="U5" s="33"/>
      <c r="V5" s="33"/>
      <c r="W5" s="33"/>
      <c r="X5" s="33"/>
    </row>
    <row r="6" spans="1:24" ht="12" customHeight="1" x14ac:dyDescent="0.2">
      <c r="A6" s="15" t="s">
        <v>111</v>
      </c>
      <c r="B6" s="15">
        <v>355</v>
      </c>
      <c r="C6" s="81">
        <v>96</v>
      </c>
      <c r="D6" s="82">
        <f t="shared" ref="D6:D13" si="0">IF((K6=0),"",(C6/K6))</f>
        <v>0.46376811594202899</v>
      </c>
      <c r="E6" s="66">
        <v>103</v>
      </c>
      <c r="F6" s="67">
        <f t="shared" ref="F6:F13" si="1">IF((K6=0),"",(E6/K6))</f>
        <v>0.49758454106280192</v>
      </c>
      <c r="G6" s="74">
        <v>6</v>
      </c>
      <c r="H6" s="75">
        <f t="shared" ref="H6:H13" si="2">IF((K6=0),"",(G6/K6))</f>
        <v>2.8985507246376812E-2</v>
      </c>
      <c r="I6" s="15">
        <v>2</v>
      </c>
      <c r="J6" s="17">
        <f t="shared" ref="J6:J13" si="3">IF((K6=0),"",(I6/K6))</f>
        <v>9.6618357487922701E-3</v>
      </c>
      <c r="K6" s="15">
        <f>SUM(C6,E6,G6,I6)</f>
        <v>207</v>
      </c>
      <c r="L6" s="17">
        <f t="shared" ref="L6:L13" si="4">IF((B6=0),"",(K6/B6))</f>
        <v>0.58309859154929577</v>
      </c>
      <c r="M6" s="15">
        <f>B6-K6</f>
        <v>148</v>
      </c>
      <c r="N6" s="17">
        <f t="shared" ref="N6:N13" si="5">IF((B6=0),"",(M6/B6))</f>
        <v>0.41690140845070423</v>
      </c>
      <c r="O6" s="33"/>
      <c r="P6" s="33"/>
      <c r="Q6" s="33"/>
      <c r="R6" s="33"/>
      <c r="S6" s="33"/>
      <c r="T6" s="33"/>
      <c r="U6" s="33"/>
      <c r="V6" s="33"/>
      <c r="W6" s="33"/>
      <c r="X6" s="33"/>
    </row>
    <row r="7" spans="1:24" ht="12" customHeight="1" x14ac:dyDescent="0.2">
      <c r="A7" s="15" t="s">
        <v>112</v>
      </c>
      <c r="B7" s="15">
        <v>393</v>
      </c>
      <c r="C7" s="81">
        <v>68</v>
      </c>
      <c r="D7" s="82">
        <f t="shared" si="0"/>
        <v>0.35978835978835977</v>
      </c>
      <c r="E7" s="66">
        <v>106</v>
      </c>
      <c r="F7" s="67">
        <f t="shared" si="1"/>
        <v>0.56084656084656082</v>
      </c>
      <c r="G7" s="74">
        <v>6</v>
      </c>
      <c r="H7" s="75">
        <f t="shared" si="2"/>
        <v>3.1746031746031744E-2</v>
      </c>
      <c r="I7" s="15">
        <v>9</v>
      </c>
      <c r="J7" s="17">
        <f t="shared" si="3"/>
        <v>4.7619047619047616E-2</v>
      </c>
      <c r="K7" s="15">
        <f t="shared" ref="K7:K12" si="6">SUM(C7,E7,G7,I7)</f>
        <v>189</v>
      </c>
      <c r="L7" s="17">
        <f t="shared" si="4"/>
        <v>0.48091603053435117</v>
      </c>
      <c r="M7" s="29">
        <f t="shared" ref="M7:M12" si="7">B7-K7</f>
        <v>204</v>
      </c>
      <c r="N7" s="17">
        <f t="shared" si="5"/>
        <v>0.51908396946564883</v>
      </c>
      <c r="O7" s="33"/>
      <c r="P7" s="33"/>
      <c r="Q7" s="33"/>
      <c r="R7" s="33"/>
      <c r="S7" s="33"/>
      <c r="T7" s="33"/>
      <c r="U7" s="33"/>
      <c r="V7" s="33"/>
      <c r="W7" s="33"/>
      <c r="X7" s="33"/>
    </row>
    <row r="8" spans="1:24" ht="12" customHeight="1" x14ac:dyDescent="0.2">
      <c r="A8" s="29" t="s">
        <v>178</v>
      </c>
      <c r="B8" s="15">
        <v>433</v>
      </c>
      <c r="C8" s="81">
        <v>79</v>
      </c>
      <c r="D8" s="82">
        <f t="shared" si="0"/>
        <v>0.34801762114537443</v>
      </c>
      <c r="E8" s="66">
        <v>138</v>
      </c>
      <c r="F8" s="67">
        <f t="shared" si="1"/>
        <v>0.60792951541850215</v>
      </c>
      <c r="G8" s="74">
        <v>8</v>
      </c>
      <c r="H8" s="75">
        <f t="shared" si="2"/>
        <v>3.5242290748898682E-2</v>
      </c>
      <c r="I8" s="15">
        <v>2</v>
      </c>
      <c r="J8" s="17">
        <f t="shared" si="3"/>
        <v>8.8105726872246704E-3</v>
      </c>
      <c r="K8" s="15">
        <f t="shared" si="6"/>
        <v>227</v>
      </c>
      <c r="L8" s="17">
        <f t="shared" si="4"/>
        <v>0.5242494226327945</v>
      </c>
      <c r="M8" s="29">
        <f t="shared" si="7"/>
        <v>206</v>
      </c>
      <c r="N8" s="17">
        <f t="shared" si="5"/>
        <v>0.47575057736720555</v>
      </c>
      <c r="O8" s="33"/>
      <c r="P8" s="33"/>
      <c r="Q8" s="33"/>
      <c r="R8" s="33"/>
      <c r="S8" s="33"/>
      <c r="T8" s="33"/>
      <c r="U8" s="33"/>
      <c r="V8" s="33"/>
      <c r="W8" s="33"/>
      <c r="X8" s="33"/>
    </row>
    <row r="9" spans="1:24" ht="12" customHeight="1" x14ac:dyDescent="0.2">
      <c r="A9" s="29" t="s">
        <v>215</v>
      </c>
      <c r="B9" s="15">
        <v>385</v>
      </c>
      <c r="C9" s="81">
        <v>66</v>
      </c>
      <c r="D9" s="82">
        <f t="shared" si="0"/>
        <v>0.32195121951219513</v>
      </c>
      <c r="E9" s="66">
        <v>131</v>
      </c>
      <c r="F9" s="67">
        <f t="shared" si="1"/>
        <v>0.63902439024390245</v>
      </c>
      <c r="G9" s="74">
        <v>7</v>
      </c>
      <c r="H9" s="75">
        <f t="shared" si="2"/>
        <v>3.4146341463414637E-2</v>
      </c>
      <c r="I9" s="15">
        <v>1</v>
      </c>
      <c r="J9" s="17">
        <f t="shared" si="3"/>
        <v>4.8780487804878049E-3</v>
      </c>
      <c r="K9" s="15">
        <f t="shared" si="6"/>
        <v>205</v>
      </c>
      <c r="L9" s="17">
        <f t="shared" si="4"/>
        <v>0.53246753246753242</v>
      </c>
      <c r="M9" s="29">
        <f t="shared" si="7"/>
        <v>180</v>
      </c>
      <c r="N9" s="17">
        <f t="shared" si="5"/>
        <v>0.46753246753246752</v>
      </c>
      <c r="O9" s="33"/>
      <c r="P9" s="33"/>
      <c r="Q9" s="33"/>
      <c r="R9" s="33"/>
      <c r="S9" s="33"/>
      <c r="T9" s="33"/>
      <c r="U9" s="33"/>
      <c r="V9" s="33"/>
      <c r="W9" s="33"/>
      <c r="X9" s="33"/>
    </row>
    <row r="10" spans="1:24" ht="12" customHeight="1" x14ac:dyDescent="0.2">
      <c r="A10" s="29" t="s">
        <v>116</v>
      </c>
      <c r="B10" s="15">
        <v>428</v>
      </c>
      <c r="C10" s="81">
        <v>72</v>
      </c>
      <c r="D10" s="82">
        <f t="shared" si="0"/>
        <v>0.34123222748815168</v>
      </c>
      <c r="E10" s="66">
        <v>114</v>
      </c>
      <c r="F10" s="67">
        <f t="shared" si="1"/>
        <v>0.54028436018957349</v>
      </c>
      <c r="G10" s="74">
        <v>6</v>
      </c>
      <c r="H10" s="75">
        <f t="shared" si="2"/>
        <v>2.843601895734597E-2</v>
      </c>
      <c r="I10" s="15">
        <v>19</v>
      </c>
      <c r="J10" s="17">
        <f t="shared" si="3"/>
        <v>9.004739336492891E-2</v>
      </c>
      <c r="K10" s="15">
        <f t="shared" si="6"/>
        <v>211</v>
      </c>
      <c r="L10" s="17">
        <f t="shared" si="4"/>
        <v>0.4929906542056075</v>
      </c>
      <c r="M10" s="29">
        <f t="shared" si="7"/>
        <v>217</v>
      </c>
      <c r="N10" s="17">
        <f t="shared" si="5"/>
        <v>0.5070093457943925</v>
      </c>
      <c r="O10" s="33"/>
      <c r="P10" s="33"/>
      <c r="Q10" s="33"/>
      <c r="R10" s="33"/>
      <c r="S10" s="33"/>
      <c r="T10" s="33"/>
      <c r="U10" s="33"/>
      <c r="V10" s="33"/>
      <c r="W10" s="33"/>
      <c r="X10" s="33"/>
    </row>
    <row r="11" spans="1:24" ht="12" customHeight="1" x14ac:dyDescent="0.2">
      <c r="A11" s="29" t="s">
        <v>117</v>
      </c>
      <c r="B11" s="15">
        <v>311</v>
      </c>
      <c r="C11" s="81">
        <v>56</v>
      </c>
      <c r="D11" s="82">
        <f t="shared" si="0"/>
        <v>0.37583892617449666</v>
      </c>
      <c r="E11" s="66">
        <v>73</v>
      </c>
      <c r="F11" s="67">
        <f t="shared" si="1"/>
        <v>0.48993288590604028</v>
      </c>
      <c r="G11" s="74">
        <v>15</v>
      </c>
      <c r="H11" s="75">
        <f t="shared" si="2"/>
        <v>0.10067114093959731</v>
      </c>
      <c r="I11" s="15">
        <v>5</v>
      </c>
      <c r="J11" s="17">
        <f t="shared" si="3"/>
        <v>3.3557046979865772E-2</v>
      </c>
      <c r="K11" s="15">
        <f t="shared" si="6"/>
        <v>149</v>
      </c>
      <c r="L11" s="17">
        <f t="shared" si="4"/>
        <v>0.47909967845659163</v>
      </c>
      <c r="M11" s="29">
        <f t="shared" si="7"/>
        <v>162</v>
      </c>
      <c r="N11" s="17">
        <f t="shared" si="5"/>
        <v>0.52090032154340837</v>
      </c>
      <c r="O11" s="33"/>
      <c r="P11" s="33"/>
      <c r="Q11" s="33"/>
      <c r="R11" s="33"/>
      <c r="S11" s="33"/>
      <c r="T11" s="33"/>
      <c r="U11" s="33"/>
      <c r="V11" s="33"/>
      <c r="W11" s="33"/>
      <c r="X11" s="33"/>
    </row>
    <row r="12" spans="1:24" ht="12" customHeight="1" x14ac:dyDescent="0.2">
      <c r="A12" s="29" t="s">
        <v>123</v>
      </c>
      <c r="B12" s="15">
        <v>411</v>
      </c>
      <c r="C12" s="81">
        <v>84</v>
      </c>
      <c r="D12" s="82">
        <f t="shared" si="0"/>
        <v>0.40579710144927539</v>
      </c>
      <c r="E12" s="66">
        <v>116</v>
      </c>
      <c r="F12" s="67">
        <f t="shared" si="1"/>
        <v>0.56038647342995174</v>
      </c>
      <c r="G12" s="74">
        <v>3</v>
      </c>
      <c r="H12" s="75">
        <f t="shared" si="2"/>
        <v>1.4492753623188406E-2</v>
      </c>
      <c r="I12" s="15">
        <v>4</v>
      </c>
      <c r="J12" s="17">
        <f t="shared" si="3"/>
        <v>1.932367149758454E-2</v>
      </c>
      <c r="K12" s="15">
        <f t="shared" si="6"/>
        <v>207</v>
      </c>
      <c r="L12" s="17">
        <f t="shared" si="4"/>
        <v>0.5036496350364964</v>
      </c>
      <c r="M12" s="29">
        <f t="shared" si="7"/>
        <v>204</v>
      </c>
      <c r="N12" s="17">
        <f t="shared" si="5"/>
        <v>0.49635036496350365</v>
      </c>
      <c r="O12" s="33"/>
      <c r="P12" s="33"/>
      <c r="Q12" s="33"/>
      <c r="R12" s="33"/>
      <c r="S12" s="33"/>
      <c r="T12" s="33"/>
      <c r="U12" s="33"/>
      <c r="V12" s="33"/>
      <c r="W12" s="33"/>
      <c r="X12" s="33"/>
    </row>
    <row r="13" spans="1:24" ht="12" customHeight="1" x14ac:dyDescent="0.2">
      <c r="A13" s="32" t="s">
        <v>120</v>
      </c>
      <c r="B13" s="32">
        <f>SUM(B6:B12)</f>
        <v>2716</v>
      </c>
      <c r="C13" s="78">
        <f>SUM(C6:C12)</f>
        <v>521</v>
      </c>
      <c r="D13" s="79">
        <f t="shared" si="0"/>
        <v>0.37347670250896059</v>
      </c>
      <c r="E13" s="63">
        <f>SUM(E6:E12)</f>
        <v>781</v>
      </c>
      <c r="F13" s="64">
        <f t="shared" si="1"/>
        <v>0.55985663082437276</v>
      </c>
      <c r="G13" s="71">
        <f>SUM(G6:G12)</f>
        <v>51</v>
      </c>
      <c r="H13" s="72">
        <f t="shared" si="2"/>
        <v>3.6559139784946237E-2</v>
      </c>
      <c r="I13" s="32">
        <f>SUM(I6:I12)</f>
        <v>42</v>
      </c>
      <c r="J13" s="28">
        <f t="shared" si="3"/>
        <v>3.0107526881720432E-2</v>
      </c>
      <c r="K13" s="32">
        <f>SUM(C13,E13,G13,I13)</f>
        <v>1395</v>
      </c>
      <c r="L13" s="28">
        <f t="shared" si="4"/>
        <v>0.5136229749631811</v>
      </c>
      <c r="M13" s="32">
        <f>SUM(M6:M12)</f>
        <v>1321</v>
      </c>
      <c r="N13" s="28">
        <f t="shared" si="5"/>
        <v>0.48637702503681884</v>
      </c>
      <c r="O13" s="33"/>
      <c r="P13" s="33"/>
      <c r="Q13" s="33"/>
      <c r="R13" s="33"/>
      <c r="S13" s="33"/>
      <c r="T13" s="33"/>
      <c r="U13" s="33"/>
      <c r="V13" s="33"/>
      <c r="W13" s="33"/>
      <c r="X13" s="33"/>
    </row>
    <row r="14" spans="1:24" s="40" customFormat="1" ht="12" customHeight="1" x14ac:dyDescent="0.2">
      <c r="A14" s="32" t="s">
        <v>542</v>
      </c>
      <c r="B14" s="32">
        <v>14</v>
      </c>
      <c r="C14" s="78"/>
      <c r="D14" s="79"/>
      <c r="E14" s="63"/>
      <c r="F14" s="64"/>
      <c r="G14" s="71"/>
      <c r="H14" s="72"/>
      <c r="I14" s="32"/>
      <c r="J14" s="28"/>
      <c r="K14" s="32"/>
      <c r="L14" s="28"/>
      <c r="M14" s="32"/>
      <c r="N14" s="28"/>
      <c r="O14" s="33"/>
      <c r="P14" s="33"/>
      <c r="Q14" s="33"/>
      <c r="R14" s="33"/>
      <c r="S14" s="33"/>
      <c r="T14" s="33"/>
      <c r="U14" s="33"/>
      <c r="V14" s="33"/>
      <c r="W14" s="33"/>
      <c r="X14" s="33"/>
    </row>
    <row r="15" spans="1:24" ht="12" customHeight="1" x14ac:dyDescent="0.2">
      <c r="A15" s="36" t="s">
        <v>121</v>
      </c>
      <c r="B15" s="32" t="s">
        <v>122</v>
      </c>
      <c r="C15" s="80"/>
      <c r="D15" s="80"/>
      <c r="E15" s="65"/>
      <c r="F15" s="65"/>
      <c r="G15" s="73"/>
      <c r="H15" s="73"/>
      <c r="I15" s="37"/>
      <c r="J15" s="37"/>
      <c r="K15" s="37"/>
      <c r="L15" s="37"/>
      <c r="M15" s="37"/>
      <c r="N15" s="37"/>
      <c r="O15" s="33"/>
      <c r="P15" s="33"/>
      <c r="Q15" s="33"/>
      <c r="R15" s="33"/>
      <c r="S15" s="33"/>
      <c r="T15" s="33"/>
      <c r="U15" s="33"/>
      <c r="V15" s="33"/>
      <c r="W15" s="33"/>
      <c r="X15" s="33"/>
    </row>
    <row r="16" spans="1:24" ht="12" customHeight="1" x14ac:dyDescent="0.2">
      <c r="A16" s="15" t="s">
        <v>111</v>
      </c>
      <c r="B16" s="15">
        <v>351</v>
      </c>
      <c r="C16" s="81">
        <v>89</v>
      </c>
      <c r="D16" s="82">
        <f t="shared" ref="D16:D24" si="8">IF((K16=0),"",(C16/K16))</f>
        <v>0.48108108108108111</v>
      </c>
      <c r="E16" s="66">
        <v>94</v>
      </c>
      <c r="F16" s="67">
        <f t="shared" ref="F16:F24" si="9">IF((K16=0),"",(E16/K16))</f>
        <v>0.50810810810810814</v>
      </c>
      <c r="G16" s="74">
        <v>1</v>
      </c>
      <c r="H16" s="75">
        <f t="shared" ref="H16:H24" si="10">IF((K16=0),"",(G16/K16))</f>
        <v>5.4054054054054057E-3</v>
      </c>
      <c r="I16" s="15">
        <v>1</v>
      </c>
      <c r="J16" s="17">
        <f t="shared" ref="J16:J24" si="11">IF((K16=0),"",(I16/K16))</f>
        <v>5.4054054054054057E-3</v>
      </c>
      <c r="K16" s="15">
        <f>SUM(C16,E16,G16,I16)</f>
        <v>185</v>
      </c>
      <c r="L16" s="17">
        <f t="shared" ref="L16:L24" si="12">IF((B16=0),"",(K16/B16))</f>
        <v>0.52706552706552712</v>
      </c>
      <c r="M16" s="29">
        <f t="shared" ref="M16:M23" si="13">B16-K16</f>
        <v>166</v>
      </c>
      <c r="N16" s="17">
        <f t="shared" ref="N16:N24" si="14">IF((B16=0),"",(M16/B16))</f>
        <v>0.47293447293447294</v>
      </c>
      <c r="O16" s="33"/>
      <c r="P16" s="33"/>
      <c r="Q16" s="33"/>
      <c r="R16" s="33"/>
      <c r="S16" s="33"/>
      <c r="T16" s="33"/>
      <c r="U16" s="33"/>
      <c r="V16" s="33"/>
      <c r="W16" s="33"/>
      <c r="X16" s="33"/>
    </row>
    <row r="17" spans="1:24" ht="12" customHeight="1" x14ac:dyDescent="0.2">
      <c r="A17" s="15" t="s">
        <v>112</v>
      </c>
      <c r="B17" s="15">
        <v>425</v>
      </c>
      <c r="C17" s="81">
        <v>90</v>
      </c>
      <c r="D17" s="82">
        <f t="shared" si="8"/>
        <v>0.375</v>
      </c>
      <c r="E17" s="66">
        <v>141</v>
      </c>
      <c r="F17" s="67">
        <f t="shared" si="9"/>
        <v>0.58750000000000002</v>
      </c>
      <c r="G17" s="74">
        <v>6</v>
      </c>
      <c r="H17" s="75">
        <f t="shared" si="10"/>
        <v>2.5000000000000001E-2</v>
      </c>
      <c r="I17" s="15">
        <v>3</v>
      </c>
      <c r="J17" s="17">
        <f t="shared" si="11"/>
        <v>1.2500000000000001E-2</v>
      </c>
      <c r="K17" s="15">
        <f t="shared" ref="K17:K23" si="15">SUM(C17,E17,G17,I17)</f>
        <v>240</v>
      </c>
      <c r="L17" s="17">
        <f t="shared" si="12"/>
        <v>0.56470588235294117</v>
      </c>
      <c r="M17" s="29">
        <f t="shared" si="13"/>
        <v>185</v>
      </c>
      <c r="N17" s="17">
        <f t="shared" si="14"/>
        <v>0.43529411764705883</v>
      </c>
      <c r="O17" s="33"/>
      <c r="P17" s="33"/>
      <c r="Q17" s="33"/>
      <c r="R17" s="33"/>
      <c r="S17" s="33"/>
      <c r="T17" s="33"/>
      <c r="U17" s="33"/>
      <c r="V17" s="33"/>
      <c r="W17" s="33"/>
      <c r="X17" s="33"/>
    </row>
    <row r="18" spans="1:24" ht="12" customHeight="1" x14ac:dyDescent="0.2">
      <c r="A18" s="15" t="s">
        <v>113</v>
      </c>
      <c r="B18" s="15">
        <v>310</v>
      </c>
      <c r="C18" s="81">
        <v>67</v>
      </c>
      <c r="D18" s="82">
        <f t="shared" si="8"/>
        <v>0.40361445783132532</v>
      </c>
      <c r="E18" s="66">
        <v>94</v>
      </c>
      <c r="F18" s="67">
        <f t="shared" si="9"/>
        <v>0.5662650602409639</v>
      </c>
      <c r="G18" s="74">
        <v>5</v>
      </c>
      <c r="H18" s="75">
        <f t="shared" si="10"/>
        <v>3.0120481927710843E-2</v>
      </c>
      <c r="I18" s="15">
        <v>0</v>
      </c>
      <c r="J18" s="17">
        <f t="shared" si="11"/>
        <v>0</v>
      </c>
      <c r="K18" s="15">
        <f t="shared" si="15"/>
        <v>166</v>
      </c>
      <c r="L18" s="17">
        <f t="shared" si="12"/>
        <v>0.53548387096774197</v>
      </c>
      <c r="M18" s="29">
        <f t="shared" si="13"/>
        <v>144</v>
      </c>
      <c r="N18" s="17">
        <f t="shared" si="14"/>
        <v>0.46451612903225808</v>
      </c>
      <c r="O18" s="33"/>
      <c r="P18" s="33"/>
      <c r="Q18" s="33"/>
      <c r="R18" s="33"/>
      <c r="S18" s="33"/>
      <c r="T18" s="33"/>
      <c r="U18" s="33"/>
      <c r="V18" s="33"/>
      <c r="W18" s="33"/>
      <c r="X18" s="33"/>
    </row>
    <row r="19" spans="1:24" ht="12" customHeight="1" x14ac:dyDescent="0.2">
      <c r="A19" s="29" t="s">
        <v>388</v>
      </c>
      <c r="B19" s="15">
        <v>388</v>
      </c>
      <c r="C19" s="81">
        <v>75</v>
      </c>
      <c r="D19" s="82">
        <f t="shared" si="8"/>
        <v>0.34722222222222221</v>
      </c>
      <c r="E19" s="66">
        <v>134</v>
      </c>
      <c r="F19" s="67">
        <f t="shared" si="9"/>
        <v>0.62037037037037035</v>
      </c>
      <c r="G19" s="74">
        <v>5</v>
      </c>
      <c r="H19" s="75">
        <f t="shared" si="10"/>
        <v>2.3148148148148147E-2</v>
      </c>
      <c r="I19" s="15">
        <v>2</v>
      </c>
      <c r="J19" s="17">
        <f t="shared" si="11"/>
        <v>9.2592592592592587E-3</v>
      </c>
      <c r="K19" s="15">
        <f t="shared" si="15"/>
        <v>216</v>
      </c>
      <c r="L19" s="17">
        <f t="shared" si="12"/>
        <v>0.55670103092783507</v>
      </c>
      <c r="M19" s="29">
        <f t="shared" si="13"/>
        <v>172</v>
      </c>
      <c r="N19" s="17">
        <f t="shared" si="14"/>
        <v>0.44329896907216493</v>
      </c>
      <c r="O19" s="33"/>
      <c r="P19" s="33"/>
      <c r="Q19" s="33"/>
      <c r="R19" s="33"/>
      <c r="S19" s="33"/>
      <c r="T19" s="33"/>
      <c r="U19" s="33"/>
      <c r="V19" s="33"/>
      <c r="W19" s="33"/>
      <c r="X19" s="33"/>
    </row>
    <row r="20" spans="1:24" ht="12" customHeight="1" x14ac:dyDescent="0.2">
      <c r="A20" s="29" t="s">
        <v>389</v>
      </c>
      <c r="B20" s="15">
        <v>409</v>
      </c>
      <c r="C20" s="81">
        <v>83</v>
      </c>
      <c r="D20" s="82">
        <f t="shared" si="8"/>
        <v>0.40096618357487923</v>
      </c>
      <c r="E20" s="66">
        <v>118</v>
      </c>
      <c r="F20" s="67">
        <f t="shared" si="9"/>
        <v>0.57004830917874394</v>
      </c>
      <c r="G20" s="74">
        <v>5</v>
      </c>
      <c r="H20" s="75">
        <f t="shared" si="10"/>
        <v>2.4154589371980676E-2</v>
      </c>
      <c r="I20" s="15">
        <v>1</v>
      </c>
      <c r="J20" s="17">
        <f t="shared" si="11"/>
        <v>4.830917874396135E-3</v>
      </c>
      <c r="K20" s="15">
        <f t="shared" si="15"/>
        <v>207</v>
      </c>
      <c r="L20" s="17">
        <f t="shared" si="12"/>
        <v>0.50611246943765276</v>
      </c>
      <c r="M20" s="29">
        <f t="shared" si="13"/>
        <v>202</v>
      </c>
      <c r="N20" s="17">
        <f t="shared" si="14"/>
        <v>0.49388753056234719</v>
      </c>
      <c r="O20" s="33"/>
      <c r="P20" s="33"/>
      <c r="Q20" s="33"/>
      <c r="R20" s="33"/>
      <c r="S20" s="33"/>
      <c r="T20" s="33"/>
      <c r="U20" s="33"/>
      <c r="V20" s="33"/>
      <c r="W20" s="33"/>
      <c r="X20" s="33"/>
    </row>
    <row r="21" spans="1:24" ht="12" customHeight="1" x14ac:dyDescent="0.2">
      <c r="A21" s="29" t="s">
        <v>200</v>
      </c>
      <c r="B21" s="15">
        <v>339</v>
      </c>
      <c r="C21" s="81">
        <v>53</v>
      </c>
      <c r="D21" s="82">
        <f t="shared" si="8"/>
        <v>0.29444444444444445</v>
      </c>
      <c r="E21" s="66">
        <v>121</v>
      </c>
      <c r="F21" s="67">
        <f t="shared" si="9"/>
        <v>0.67222222222222228</v>
      </c>
      <c r="G21" s="74">
        <v>5</v>
      </c>
      <c r="H21" s="75">
        <f t="shared" si="10"/>
        <v>2.7777777777777776E-2</v>
      </c>
      <c r="I21" s="15">
        <v>1</v>
      </c>
      <c r="J21" s="17">
        <f t="shared" si="11"/>
        <v>5.5555555555555558E-3</v>
      </c>
      <c r="K21" s="15">
        <f t="shared" si="15"/>
        <v>180</v>
      </c>
      <c r="L21" s="17">
        <f t="shared" si="12"/>
        <v>0.53097345132743368</v>
      </c>
      <c r="M21" s="29">
        <f t="shared" si="13"/>
        <v>159</v>
      </c>
      <c r="N21" s="17">
        <f t="shared" si="14"/>
        <v>0.46902654867256638</v>
      </c>
      <c r="O21" s="33"/>
      <c r="P21" s="33"/>
      <c r="Q21" s="33"/>
      <c r="R21" s="33"/>
      <c r="S21" s="33"/>
      <c r="T21" s="33"/>
      <c r="U21" s="33"/>
      <c r="V21" s="33"/>
      <c r="W21" s="33"/>
      <c r="X21" s="33"/>
    </row>
    <row r="22" spans="1:24" ht="12" customHeight="1" x14ac:dyDescent="0.2">
      <c r="A22" s="29" t="s">
        <v>201</v>
      </c>
      <c r="B22" s="15">
        <v>262</v>
      </c>
      <c r="C22" s="81">
        <v>62</v>
      </c>
      <c r="D22" s="82">
        <f t="shared" si="8"/>
        <v>0.41891891891891891</v>
      </c>
      <c r="E22" s="66">
        <v>78</v>
      </c>
      <c r="F22" s="67">
        <f t="shared" si="9"/>
        <v>0.52702702702702697</v>
      </c>
      <c r="G22" s="74">
        <v>5</v>
      </c>
      <c r="H22" s="75">
        <f t="shared" si="10"/>
        <v>3.3783783783783786E-2</v>
      </c>
      <c r="I22" s="15">
        <v>3</v>
      </c>
      <c r="J22" s="17">
        <f t="shared" si="11"/>
        <v>2.0270270270270271E-2</v>
      </c>
      <c r="K22" s="15">
        <f t="shared" si="15"/>
        <v>148</v>
      </c>
      <c r="L22" s="17">
        <f t="shared" si="12"/>
        <v>0.56488549618320616</v>
      </c>
      <c r="M22" s="29">
        <f t="shared" si="13"/>
        <v>114</v>
      </c>
      <c r="N22" s="17">
        <f t="shared" si="14"/>
        <v>0.4351145038167939</v>
      </c>
      <c r="O22" s="33"/>
      <c r="P22" s="33"/>
      <c r="Q22" s="33"/>
      <c r="R22" s="33"/>
      <c r="S22" s="33"/>
      <c r="T22" s="33"/>
      <c r="U22" s="33"/>
      <c r="V22" s="33"/>
      <c r="W22" s="33"/>
      <c r="X22" s="33"/>
    </row>
    <row r="23" spans="1:24" ht="12" customHeight="1" x14ac:dyDescent="0.2">
      <c r="A23" s="15" t="s">
        <v>123</v>
      </c>
      <c r="B23" s="15">
        <v>464</v>
      </c>
      <c r="C23" s="81">
        <v>112</v>
      </c>
      <c r="D23" s="82">
        <f t="shared" si="8"/>
        <v>0.46666666666666667</v>
      </c>
      <c r="E23" s="66">
        <v>123</v>
      </c>
      <c r="F23" s="67">
        <f t="shared" si="9"/>
        <v>0.51249999999999996</v>
      </c>
      <c r="G23" s="74">
        <v>2</v>
      </c>
      <c r="H23" s="75">
        <f t="shared" si="10"/>
        <v>8.3333333333333332E-3</v>
      </c>
      <c r="I23" s="15">
        <v>3</v>
      </c>
      <c r="J23" s="17">
        <f t="shared" si="11"/>
        <v>1.2500000000000001E-2</v>
      </c>
      <c r="K23" s="15">
        <f t="shared" si="15"/>
        <v>240</v>
      </c>
      <c r="L23" s="17">
        <f t="shared" si="12"/>
        <v>0.51724137931034486</v>
      </c>
      <c r="M23" s="29">
        <f t="shared" si="13"/>
        <v>224</v>
      </c>
      <c r="N23" s="17">
        <f t="shared" si="14"/>
        <v>0.48275862068965519</v>
      </c>
      <c r="O23" s="33"/>
      <c r="P23" s="33"/>
      <c r="Q23" s="33"/>
      <c r="R23" s="33"/>
      <c r="S23" s="33"/>
      <c r="T23" s="33"/>
      <c r="U23" s="33"/>
      <c r="V23" s="33"/>
      <c r="W23" s="33"/>
      <c r="X23" s="33"/>
    </row>
    <row r="24" spans="1:24" ht="12" customHeight="1" x14ac:dyDescent="0.2">
      <c r="A24" s="32" t="s">
        <v>120</v>
      </c>
      <c r="B24" s="32">
        <f>SUM(B16:B23)</f>
        <v>2948</v>
      </c>
      <c r="C24" s="78">
        <f>SUM(C16:C23)</f>
        <v>631</v>
      </c>
      <c r="D24" s="79">
        <f t="shared" si="8"/>
        <v>0.39886219974715548</v>
      </c>
      <c r="E24" s="63">
        <f>SUM(E16:E23)</f>
        <v>903</v>
      </c>
      <c r="F24" s="64">
        <f t="shared" si="9"/>
        <v>0.57079646017699115</v>
      </c>
      <c r="G24" s="71">
        <f>SUM(G16:G23)</f>
        <v>34</v>
      </c>
      <c r="H24" s="72">
        <f t="shared" si="10"/>
        <v>2.1491782553729456E-2</v>
      </c>
      <c r="I24" s="32">
        <f>SUM(I16:I23)</f>
        <v>14</v>
      </c>
      <c r="J24" s="28">
        <f t="shared" si="11"/>
        <v>8.8495575221238937E-3</v>
      </c>
      <c r="K24" s="32">
        <f>SUM(C24,E24,G24,I24)</f>
        <v>1582</v>
      </c>
      <c r="L24" s="28">
        <f t="shared" si="12"/>
        <v>0.53663500678426057</v>
      </c>
      <c r="M24" s="32">
        <f>SUM(M16:M23)</f>
        <v>1366</v>
      </c>
      <c r="N24" s="28">
        <f t="shared" si="14"/>
        <v>0.46336499321573948</v>
      </c>
      <c r="O24" s="33"/>
      <c r="P24" s="33"/>
      <c r="Q24" s="33"/>
      <c r="R24" s="33"/>
      <c r="S24" s="33"/>
      <c r="T24" s="33"/>
      <c r="U24" s="33"/>
      <c r="V24" s="33"/>
      <c r="W24" s="33"/>
      <c r="X24" s="33"/>
    </row>
    <row r="25" spans="1:24" s="40" customFormat="1" ht="12" customHeight="1" x14ac:dyDescent="0.2">
      <c r="A25" s="32" t="s">
        <v>542</v>
      </c>
      <c r="B25" s="32">
        <v>11</v>
      </c>
      <c r="C25" s="78"/>
      <c r="D25" s="79"/>
      <c r="E25" s="63"/>
      <c r="F25" s="64"/>
      <c r="G25" s="71"/>
      <c r="H25" s="72"/>
      <c r="I25" s="32"/>
      <c r="J25" s="28"/>
      <c r="K25" s="32"/>
      <c r="L25" s="28"/>
      <c r="M25" s="32"/>
      <c r="N25" s="28"/>
      <c r="O25" s="33"/>
      <c r="P25" s="33"/>
      <c r="Q25" s="33"/>
      <c r="R25" s="33"/>
      <c r="S25" s="33"/>
      <c r="T25" s="33"/>
      <c r="U25" s="33"/>
      <c r="V25" s="33"/>
      <c r="W25" s="33"/>
      <c r="X25" s="33"/>
    </row>
    <row r="26" spans="1:24" ht="12" customHeight="1" x14ac:dyDescent="0.2">
      <c r="A26" s="36" t="s">
        <v>124</v>
      </c>
      <c r="B26" s="32" t="s">
        <v>453</v>
      </c>
      <c r="C26" s="83"/>
      <c r="D26" s="83"/>
      <c r="E26" s="68"/>
      <c r="F26" s="68"/>
      <c r="G26" s="73"/>
      <c r="H26" s="73"/>
      <c r="I26" s="37"/>
      <c r="J26" s="37"/>
      <c r="K26" s="37"/>
      <c r="L26" s="37"/>
      <c r="M26" s="37"/>
      <c r="N26" s="37"/>
      <c r="O26" s="33"/>
      <c r="P26" s="33"/>
      <c r="Q26" s="33"/>
      <c r="R26" s="33"/>
      <c r="S26" s="33"/>
      <c r="T26" s="33"/>
      <c r="U26" s="33"/>
      <c r="V26" s="33"/>
      <c r="W26" s="33"/>
      <c r="X26" s="33"/>
    </row>
    <row r="27" spans="1:24" ht="12" customHeight="1" x14ac:dyDescent="0.2">
      <c r="A27" s="15" t="s">
        <v>125</v>
      </c>
      <c r="B27" s="15">
        <v>424</v>
      </c>
      <c r="C27" s="81">
        <v>159</v>
      </c>
      <c r="D27" s="82">
        <f>IF((K27=0),"",(C27/K27))</f>
        <v>0.38129496402877699</v>
      </c>
      <c r="E27" s="66">
        <v>248</v>
      </c>
      <c r="F27" s="67">
        <f>IF((K27=0),"",(E27/K27))</f>
        <v>0.59472422062350117</v>
      </c>
      <c r="G27" s="74">
        <v>8</v>
      </c>
      <c r="H27" s="75">
        <f>IF((K27=0),"",(G27/K27))</f>
        <v>1.9184652278177457E-2</v>
      </c>
      <c r="I27" s="15">
        <v>2</v>
      </c>
      <c r="J27" s="17">
        <f>IF((K27=0),"",(I27/K27))</f>
        <v>4.7961630695443642E-3</v>
      </c>
      <c r="K27" s="15">
        <f>SUM(C27,E27,G27,I27)</f>
        <v>417</v>
      </c>
      <c r="L27" s="17">
        <f>IF((B27=0),"",(K27/B27))</f>
        <v>0.98349056603773588</v>
      </c>
      <c r="M27" s="29">
        <f>B27-K27</f>
        <v>7</v>
      </c>
      <c r="N27" s="17">
        <f>IF((B27=0),"",(M27/B27))</f>
        <v>1.6509433962264151E-2</v>
      </c>
      <c r="O27" s="33"/>
      <c r="P27" s="33"/>
      <c r="Q27" s="33"/>
      <c r="R27" s="33"/>
      <c r="S27" s="33"/>
      <c r="T27" s="33"/>
      <c r="U27" s="33"/>
      <c r="V27" s="33"/>
      <c r="W27" s="33"/>
      <c r="X27" s="33"/>
    </row>
    <row r="28" spans="1:24" ht="12" customHeight="1" x14ac:dyDescent="0.2">
      <c r="A28" s="29" t="s">
        <v>230</v>
      </c>
      <c r="B28" s="15">
        <v>335</v>
      </c>
      <c r="C28" s="81">
        <v>50</v>
      </c>
      <c r="D28" s="82">
        <f>IF((K28=0),"",(C28/K28))</f>
        <v>0.3401360544217687</v>
      </c>
      <c r="E28" s="66">
        <v>97</v>
      </c>
      <c r="F28" s="67">
        <f>IF((K28=0),"",(E28/K28))</f>
        <v>0.65986394557823125</v>
      </c>
      <c r="G28" s="74">
        <v>0</v>
      </c>
      <c r="H28" s="75">
        <f>IF((K28=0),"",(G28/K28))</f>
        <v>0</v>
      </c>
      <c r="I28" s="15">
        <v>0</v>
      </c>
      <c r="J28" s="17">
        <f>IF((K28=0),"",(I28/K28))</f>
        <v>0</v>
      </c>
      <c r="K28" s="15">
        <f>SUM(C28,E28,G28,I28)</f>
        <v>147</v>
      </c>
      <c r="L28" s="17">
        <f>IF((B28=0),"",(K28/B28))</f>
        <v>0.43880597014925371</v>
      </c>
      <c r="M28" s="29">
        <f>B28-K28</f>
        <v>188</v>
      </c>
      <c r="N28" s="17">
        <f>IF((B28=0),"",(M28/B28))</f>
        <v>0.56119402985074629</v>
      </c>
      <c r="O28" s="33"/>
      <c r="P28" s="33"/>
      <c r="Q28" s="33"/>
      <c r="R28" s="33"/>
      <c r="S28" s="33"/>
      <c r="T28" s="33"/>
      <c r="U28" s="33"/>
      <c r="V28" s="33"/>
      <c r="W28" s="33"/>
      <c r="X28" s="33"/>
    </row>
    <row r="29" spans="1:24" ht="12" customHeight="1" x14ac:dyDescent="0.2">
      <c r="A29" s="29" t="s">
        <v>268</v>
      </c>
      <c r="B29" s="15">
        <v>379</v>
      </c>
      <c r="C29" s="81">
        <v>56</v>
      </c>
      <c r="D29" s="82">
        <f>IF((K29=0),"",(C29/K29))</f>
        <v>0.32558139534883723</v>
      </c>
      <c r="E29" s="66">
        <v>113</v>
      </c>
      <c r="F29" s="67">
        <f>IF((K29=0),"",(E29/K29))</f>
        <v>0.65697674418604646</v>
      </c>
      <c r="G29" s="74">
        <v>1</v>
      </c>
      <c r="H29" s="75">
        <f>IF((K29=0),"",(G29/K29))</f>
        <v>5.8139534883720929E-3</v>
      </c>
      <c r="I29" s="15">
        <v>2</v>
      </c>
      <c r="J29" s="17">
        <f>IF((K29=0),"",(I29/K29))</f>
        <v>1.1627906976744186E-2</v>
      </c>
      <c r="K29" s="15">
        <f>SUM(C29,E29,G29,I29)</f>
        <v>172</v>
      </c>
      <c r="L29" s="17">
        <f>IF((B29=0),"",(K29/B29))</f>
        <v>0.45382585751978893</v>
      </c>
      <c r="M29" s="29">
        <f>B29-K29</f>
        <v>207</v>
      </c>
      <c r="N29" s="17">
        <f>IF((B29=0),"",(M29/B29))</f>
        <v>0.54617414248021112</v>
      </c>
      <c r="O29" s="33"/>
      <c r="P29" s="33"/>
      <c r="Q29" s="33"/>
      <c r="R29" s="33"/>
      <c r="S29" s="33"/>
      <c r="T29" s="33"/>
      <c r="U29" s="33"/>
      <c r="V29" s="33"/>
      <c r="W29" s="33"/>
      <c r="X29" s="33"/>
    </row>
    <row r="30" spans="1:24" ht="12" customHeight="1" x14ac:dyDescent="0.2">
      <c r="A30" s="29" t="s">
        <v>182</v>
      </c>
      <c r="B30" s="15">
        <v>396</v>
      </c>
      <c r="C30" s="81">
        <v>60</v>
      </c>
      <c r="D30" s="82">
        <f>IF((K30=0),"",(C30/K30))</f>
        <v>0.34883720930232559</v>
      </c>
      <c r="E30" s="66">
        <v>109</v>
      </c>
      <c r="F30" s="67">
        <f>IF((K30=0),"",(E30/K30))</f>
        <v>0.63372093023255816</v>
      </c>
      <c r="G30" s="74">
        <v>2</v>
      </c>
      <c r="H30" s="75">
        <f>IF((K30=0),"",(G30/K30))</f>
        <v>1.1627906976744186E-2</v>
      </c>
      <c r="I30" s="15">
        <v>1</v>
      </c>
      <c r="J30" s="17">
        <f>IF((K30=0),"",(I30/K30))</f>
        <v>5.8139534883720929E-3</v>
      </c>
      <c r="K30" s="15">
        <f>SUM(C30,E30,G30,I30)</f>
        <v>172</v>
      </c>
      <c r="L30" s="17">
        <f>IF((B30=0),"",(K30/B30))</f>
        <v>0.43434343434343436</v>
      </c>
      <c r="M30" s="29">
        <f>B30-K30</f>
        <v>224</v>
      </c>
      <c r="N30" s="17">
        <f>IF((B30=0),"",(M30/B30))</f>
        <v>0.56565656565656564</v>
      </c>
      <c r="O30" s="33"/>
      <c r="P30" s="33"/>
      <c r="Q30" s="33"/>
      <c r="R30" s="33"/>
      <c r="S30" s="33"/>
      <c r="T30" s="33"/>
      <c r="U30" s="33"/>
      <c r="V30" s="33"/>
      <c r="W30" s="33"/>
      <c r="X30" s="33"/>
    </row>
    <row r="31" spans="1:24" ht="12" customHeight="1" x14ac:dyDescent="0.2">
      <c r="A31" s="32" t="s">
        <v>120</v>
      </c>
      <c r="B31" s="32">
        <f>SUM(B27:B30)</f>
        <v>1534</v>
      </c>
      <c r="C31" s="78">
        <f>SUM(C27:C30)</f>
        <v>325</v>
      </c>
      <c r="D31" s="79">
        <f>IF((K31=0),"",(C31/K31))</f>
        <v>0.35792951541850221</v>
      </c>
      <c r="E31" s="63">
        <f>SUM(E27:E30)</f>
        <v>567</v>
      </c>
      <c r="F31" s="64">
        <f>IF((K31=0),"",(E31/K31))</f>
        <v>0.62444933920704848</v>
      </c>
      <c r="G31" s="71">
        <f>SUM(G27:G30)</f>
        <v>11</v>
      </c>
      <c r="H31" s="72">
        <f>IF((K31=0),"",(G31/K31))</f>
        <v>1.2114537444933921E-2</v>
      </c>
      <c r="I31" s="32">
        <f>SUM(I27:I30)</f>
        <v>5</v>
      </c>
      <c r="J31" s="28">
        <f>IF((K31=0),"",(I31/K31))</f>
        <v>5.5066079295154188E-3</v>
      </c>
      <c r="K31" s="32">
        <f>SUM(C31,E31,G31,I31)</f>
        <v>908</v>
      </c>
      <c r="L31" s="28">
        <f>IF((B31=0),"",(K31/B31))</f>
        <v>0.59191655801825294</v>
      </c>
      <c r="M31" s="32">
        <f>SUM(M27:M30)</f>
        <v>626</v>
      </c>
      <c r="N31" s="28">
        <f>IF((B31=0),"",(M31/B31))</f>
        <v>0.40808344198174706</v>
      </c>
      <c r="O31" s="33"/>
      <c r="P31" s="33"/>
      <c r="Q31" s="33"/>
      <c r="R31" s="33"/>
      <c r="S31" s="33"/>
      <c r="T31" s="33"/>
      <c r="U31" s="33"/>
      <c r="V31" s="33"/>
      <c r="W31" s="33"/>
      <c r="X31" s="33"/>
    </row>
    <row r="32" spans="1:24" s="41" customFormat="1" ht="12" customHeight="1" x14ac:dyDescent="0.2">
      <c r="A32" s="32" t="s">
        <v>543</v>
      </c>
      <c r="B32" s="32">
        <v>2</v>
      </c>
      <c r="C32" s="78"/>
      <c r="D32" s="79"/>
      <c r="E32" s="63"/>
      <c r="F32" s="64"/>
      <c r="G32" s="71"/>
      <c r="H32" s="72"/>
      <c r="I32" s="32"/>
      <c r="J32" s="28"/>
      <c r="K32" s="32"/>
      <c r="L32" s="28"/>
      <c r="M32" s="32"/>
      <c r="N32" s="28"/>
      <c r="O32" s="33"/>
      <c r="P32" s="33"/>
      <c r="Q32" s="33"/>
      <c r="R32" s="33"/>
      <c r="S32" s="33"/>
      <c r="T32" s="33"/>
      <c r="U32" s="33"/>
      <c r="V32" s="33"/>
      <c r="W32" s="33"/>
      <c r="X32" s="33"/>
    </row>
    <row r="33" spans="1:24" ht="12" customHeight="1" x14ac:dyDescent="0.2">
      <c r="A33" s="36" t="s">
        <v>127</v>
      </c>
      <c r="B33" s="32" t="s">
        <v>453</v>
      </c>
      <c r="C33" s="83"/>
      <c r="D33" s="83"/>
      <c r="E33" s="68"/>
      <c r="F33" s="68"/>
      <c r="G33" s="73"/>
      <c r="H33" s="73"/>
      <c r="I33" s="37"/>
      <c r="J33" s="37"/>
      <c r="K33" s="37"/>
      <c r="L33" s="37"/>
      <c r="M33" s="37"/>
      <c r="N33" s="37"/>
      <c r="O33" s="33"/>
      <c r="P33" s="33"/>
      <c r="Q33" s="33"/>
      <c r="R33" s="33"/>
      <c r="S33" s="33"/>
      <c r="T33" s="33"/>
      <c r="U33" s="33"/>
      <c r="V33" s="33"/>
      <c r="W33" s="33"/>
      <c r="X33" s="33"/>
    </row>
    <row r="34" spans="1:24" ht="12" customHeight="1" x14ac:dyDescent="0.2">
      <c r="A34" s="32" t="s">
        <v>128</v>
      </c>
      <c r="B34" s="32">
        <v>445</v>
      </c>
      <c r="C34" s="78">
        <v>85</v>
      </c>
      <c r="D34" s="79">
        <f>IF((K34=0),"",(C34/K34))</f>
        <v>0.37444933920704848</v>
      </c>
      <c r="E34" s="63">
        <v>136</v>
      </c>
      <c r="F34" s="64">
        <f>IF((K34=0),"",(E34/K34))</f>
        <v>0.59911894273127753</v>
      </c>
      <c r="G34" s="71">
        <v>4</v>
      </c>
      <c r="H34" s="72">
        <f>IF((K34=0),"",(G34/K34))</f>
        <v>1.7621145374449341E-2</v>
      </c>
      <c r="I34" s="32">
        <v>2</v>
      </c>
      <c r="J34" s="28">
        <f>IF((K34=0),"",(I34/K34))</f>
        <v>8.8105726872246704E-3</v>
      </c>
      <c r="K34" s="32">
        <f>SUM(C34,E34,G34,I34)</f>
        <v>227</v>
      </c>
      <c r="L34" s="28">
        <f>IF((B34=0),"",(K34/B34))</f>
        <v>0.51011235955056178</v>
      </c>
      <c r="M34" s="32">
        <f>B34-K34</f>
        <v>218</v>
      </c>
      <c r="N34" s="28">
        <f>IF((B34=0),"",(M34/B34))</f>
        <v>0.48988764044943822</v>
      </c>
      <c r="O34" s="33"/>
      <c r="P34" s="33"/>
      <c r="Q34" s="33"/>
      <c r="R34" s="33"/>
      <c r="S34" s="33"/>
      <c r="T34" s="33"/>
      <c r="U34" s="33"/>
      <c r="V34" s="33"/>
      <c r="W34" s="33"/>
      <c r="X34" s="33"/>
    </row>
    <row r="35" spans="1:24" s="41" customFormat="1" ht="12" customHeight="1" x14ac:dyDescent="0.2">
      <c r="A35" s="32" t="s">
        <v>542</v>
      </c>
      <c r="B35" s="32">
        <v>1</v>
      </c>
      <c r="C35" s="78"/>
      <c r="D35" s="79"/>
      <c r="E35" s="63"/>
      <c r="F35" s="64"/>
      <c r="G35" s="71"/>
      <c r="H35" s="72"/>
      <c r="I35" s="32"/>
      <c r="J35" s="28"/>
      <c r="K35" s="32"/>
      <c r="L35" s="28"/>
      <c r="M35" s="32"/>
      <c r="N35" s="28"/>
      <c r="O35" s="33"/>
      <c r="P35" s="33"/>
      <c r="Q35" s="33"/>
      <c r="R35" s="33"/>
      <c r="S35" s="33"/>
      <c r="T35" s="33"/>
      <c r="U35" s="33"/>
      <c r="V35" s="33"/>
      <c r="W35" s="33"/>
      <c r="X35" s="33"/>
    </row>
    <row r="36" spans="1:24" ht="12" customHeight="1" x14ac:dyDescent="0.2">
      <c r="A36" s="36" t="s">
        <v>129</v>
      </c>
      <c r="B36" s="32" t="s">
        <v>130</v>
      </c>
      <c r="C36" s="83"/>
      <c r="D36" s="83"/>
      <c r="E36" s="68"/>
      <c r="F36" s="65"/>
      <c r="G36" s="73"/>
      <c r="H36" s="73"/>
      <c r="I36" s="37"/>
      <c r="J36" s="37"/>
      <c r="K36" s="37"/>
      <c r="L36" s="37"/>
      <c r="M36" s="37"/>
      <c r="N36" s="37"/>
      <c r="O36" s="33"/>
      <c r="P36" s="33"/>
      <c r="Q36" s="33"/>
      <c r="R36" s="33"/>
      <c r="S36" s="33"/>
      <c r="T36" s="33"/>
      <c r="U36" s="33"/>
      <c r="V36" s="33"/>
      <c r="W36" s="33"/>
      <c r="X36" s="33"/>
    </row>
    <row r="37" spans="1:24" ht="12" customHeight="1" x14ac:dyDescent="0.2">
      <c r="A37" s="15" t="s">
        <v>111</v>
      </c>
      <c r="B37" s="15">
        <v>312</v>
      </c>
      <c r="C37" s="81">
        <v>64</v>
      </c>
      <c r="D37" s="82">
        <f t="shared" ref="D37:D43" si="16">IF((K37=0),"",(C37/K37))</f>
        <v>0.33862433862433861</v>
      </c>
      <c r="E37" s="66">
        <v>120</v>
      </c>
      <c r="F37" s="67">
        <f t="shared" ref="F37:F43" si="17">IF((K37=0),"",(E37/K37))</f>
        <v>0.63492063492063489</v>
      </c>
      <c r="G37" s="74">
        <v>2</v>
      </c>
      <c r="H37" s="75">
        <f t="shared" ref="H37:H43" si="18">IF((K37=0),"",(G37/K37))</f>
        <v>1.0582010582010581E-2</v>
      </c>
      <c r="I37" s="15">
        <v>3</v>
      </c>
      <c r="J37" s="17">
        <f t="shared" ref="J37:J43" si="19">IF((K37=0),"",(I37/K37))</f>
        <v>1.5873015873015872E-2</v>
      </c>
      <c r="K37" s="15">
        <f t="shared" ref="K37:K43" si="20">SUM(C37,E37,G37,I37)</f>
        <v>189</v>
      </c>
      <c r="L37" s="17">
        <f t="shared" ref="L37:L43" si="21">IF((B37=0),"",(K37/B37))</f>
        <v>0.60576923076923073</v>
      </c>
      <c r="M37" s="29">
        <f t="shared" ref="M37:M42" si="22">B37-K37</f>
        <v>123</v>
      </c>
      <c r="N37" s="17">
        <f t="shared" ref="N37:N43" si="23">IF((B37=0),"",(M37/B37))</f>
        <v>0.39423076923076922</v>
      </c>
      <c r="O37" s="33"/>
      <c r="P37" s="33"/>
      <c r="Q37" s="33"/>
      <c r="R37" s="33"/>
      <c r="S37" s="33"/>
      <c r="T37" s="33"/>
      <c r="U37" s="33"/>
      <c r="V37" s="33"/>
      <c r="W37" s="33"/>
      <c r="X37" s="33"/>
    </row>
    <row r="38" spans="1:24" ht="12" customHeight="1" x14ac:dyDescent="0.2">
      <c r="A38" s="29" t="s">
        <v>112</v>
      </c>
      <c r="B38" s="15">
        <v>293</v>
      </c>
      <c r="C38" s="81">
        <v>55</v>
      </c>
      <c r="D38" s="82">
        <f t="shared" si="16"/>
        <v>0.30555555555555558</v>
      </c>
      <c r="E38" s="66">
        <v>120</v>
      </c>
      <c r="F38" s="67">
        <f t="shared" si="17"/>
        <v>0.66666666666666663</v>
      </c>
      <c r="G38" s="74">
        <v>2</v>
      </c>
      <c r="H38" s="75">
        <f t="shared" si="18"/>
        <v>1.1111111111111112E-2</v>
      </c>
      <c r="I38" s="15">
        <v>3</v>
      </c>
      <c r="J38" s="17">
        <f t="shared" si="19"/>
        <v>1.6666666666666666E-2</v>
      </c>
      <c r="K38" s="15">
        <f t="shared" si="20"/>
        <v>180</v>
      </c>
      <c r="L38" s="17">
        <f t="shared" si="21"/>
        <v>0.61433447098976113</v>
      </c>
      <c r="M38" s="29">
        <f t="shared" si="22"/>
        <v>113</v>
      </c>
      <c r="N38" s="17">
        <f t="shared" si="23"/>
        <v>0.38566552901023893</v>
      </c>
      <c r="O38" s="33"/>
      <c r="P38" s="33"/>
      <c r="Q38" s="33"/>
      <c r="R38" s="33"/>
      <c r="S38" s="33"/>
      <c r="T38" s="33"/>
      <c r="U38" s="33"/>
      <c r="V38" s="33"/>
      <c r="W38" s="33"/>
      <c r="X38" s="33"/>
    </row>
    <row r="39" spans="1:24" ht="12" customHeight="1" x14ac:dyDescent="0.2">
      <c r="A39" s="29" t="s">
        <v>230</v>
      </c>
      <c r="B39" s="15">
        <v>330</v>
      </c>
      <c r="C39" s="81">
        <v>70</v>
      </c>
      <c r="D39" s="82">
        <f t="shared" si="16"/>
        <v>0.40935672514619881</v>
      </c>
      <c r="E39" s="66">
        <v>100</v>
      </c>
      <c r="F39" s="67">
        <f t="shared" si="17"/>
        <v>0.58479532163742687</v>
      </c>
      <c r="G39" s="74">
        <v>1</v>
      </c>
      <c r="H39" s="75">
        <f t="shared" si="18"/>
        <v>5.8479532163742687E-3</v>
      </c>
      <c r="I39" s="15">
        <v>0</v>
      </c>
      <c r="J39" s="17">
        <f t="shared" si="19"/>
        <v>0</v>
      </c>
      <c r="K39" s="15">
        <f t="shared" si="20"/>
        <v>171</v>
      </c>
      <c r="L39" s="17">
        <f t="shared" si="21"/>
        <v>0.51818181818181819</v>
      </c>
      <c r="M39" s="29">
        <f t="shared" si="22"/>
        <v>159</v>
      </c>
      <c r="N39" s="17">
        <f t="shared" si="23"/>
        <v>0.48181818181818181</v>
      </c>
      <c r="O39" s="33"/>
      <c r="P39" s="33"/>
      <c r="Q39" s="33"/>
      <c r="R39" s="33"/>
      <c r="S39" s="33"/>
      <c r="T39" s="33"/>
      <c r="U39" s="33"/>
      <c r="V39" s="33"/>
      <c r="W39" s="33"/>
      <c r="X39" s="33"/>
    </row>
    <row r="40" spans="1:24" ht="12" customHeight="1" x14ac:dyDescent="0.2">
      <c r="A40" s="29" t="s">
        <v>204</v>
      </c>
      <c r="B40" s="15">
        <v>314</v>
      </c>
      <c r="C40" s="81">
        <v>55</v>
      </c>
      <c r="D40" s="82">
        <f t="shared" si="16"/>
        <v>0.31073446327683618</v>
      </c>
      <c r="E40" s="66">
        <v>115</v>
      </c>
      <c r="F40" s="67">
        <f t="shared" si="17"/>
        <v>0.64971751412429379</v>
      </c>
      <c r="G40" s="74">
        <v>0</v>
      </c>
      <c r="H40" s="75">
        <f t="shared" si="18"/>
        <v>0</v>
      </c>
      <c r="I40" s="15">
        <v>7</v>
      </c>
      <c r="J40" s="17">
        <f t="shared" si="19"/>
        <v>3.954802259887006E-2</v>
      </c>
      <c r="K40" s="15">
        <f t="shared" si="20"/>
        <v>177</v>
      </c>
      <c r="L40" s="17">
        <f t="shared" si="21"/>
        <v>0.56369426751592355</v>
      </c>
      <c r="M40" s="29">
        <f t="shared" si="22"/>
        <v>137</v>
      </c>
      <c r="N40" s="17">
        <f t="shared" si="23"/>
        <v>0.43630573248407645</v>
      </c>
      <c r="O40" s="33"/>
      <c r="P40" s="33"/>
      <c r="Q40" s="33"/>
      <c r="R40" s="33"/>
      <c r="S40" s="33"/>
      <c r="T40" s="33"/>
      <c r="U40" s="33"/>
      <c r="V40" s="33"/>
      <c r="W40" s="33"/>
      <c r="X40" s="33"/>
    </row>
    <row r="41" spans="1:24" ht="12" customHeight="1" x14ac:dyDescent="0.2">
      <c r="A41" s="29" t="s">
        <v>153</v>
      </c>
      <c r="B41" s="15">
        <v>374</v>
      </c>
      <c r="C41" s="81">
        <v>62</v>
      </c>
      <c r="D41" s="82">
        <f t="shared" si="16"/>
        <v>0.26382978723404255</v>
      </c>
      <c r="E41" s="66">
        <v>169</v>
      </c>
      <c r="F41" s="67">
        <f t="shared" si="17"/>
        <v>0.7191489361702128</v>
      </c>
      <c r="G41" s="74">
        <v>3</v>
      </c>
      <c r="H41" s="75">
        <f t="shared" si="18"/>
        <v>1.276595744680851E-2</v>
      </c>
      <c r="I41" s="15">
        <v>1</v>
      </c>
      <c r="J41" s="17">
        <f t="shared" si="19"/>
        <v>4.2553191489361703E-3</v>
      </c>
      <c r="K41" s="15">
        <f t="shared" si="20"/>
        <v>235</v>
      </c>
      <c r="L41" s="17">
        <f t="shared" si="21"/>
        <v>0.62834224598930477</v>
      </c>
      <c r="M41" s="29">
        <f t="shared" si="22"/>
        <v>139</v>
      </c>
      <c r="N41" s="17">
        <f t="shared" si="23"/>
        <v>0.37165775401069517</v>
      </c>
      <c r="O41" s="33"/>
      <c r="P41" s="33"/>
      <c r="Q41" s="33"/>
      <c r="R41" s="33"/>
      <c r="S41" s="33"/>
      <c r="T41" s="33"/>
      <c r="U41" s="33"/>
      <c r="V41" s="33"/>
      <c r="W41" s="33"/>
      <c r="X41" s="33"/>
    </row>
    <row r="42" spans="1:24" ht="12" customHeight="1" x14ac:dyDescent="0.2">
      <c r="A42" s="29" t="s">
        <v>145</v>
      </c>
      <c r="B42" s="15">
        <v>286</v>
      </c>
      <c r="C42" s="81">
        <v>54</v>
      </c>
      <c r="D42" s="82">
        <f t="shared" si="16"/>
        <v>0.32335329341317365</v>
      </c>
      <c r="E42" s="66">
        <v>108</v>
      </c>
      <c r="F42" s="67">
        <f t="shared" si="17"/>
        <v>0.6467065868263473</v>
      </c>
      <c r="G42" s="74">
        <v>1</v>
      </c>
      <c r="H42" s="75">
        <f t="shared" si="18"/>
        <v>5.9880239520958087E-3</v>
      </c>
      <c r="I42" s="15">
        <v>4</v>
      </c>
      <c r="J42" s="17">
        <f t="shared" si="19"/>
        <v>2.3952095808383235E-2</v>
      </c>
      <c r="K42" s="15">
        <f t="shared" si="20"/>
        <v>167</v>
      </c>
      <c r="L42" s="17">
        <f t="shared" si="21"/>
        <v>0.58391608391608396</v>
      </c>
      <c r="M42" s="29">
        <f t="shared" si="22"/>
        <v>119</v>
      </c>
      <c r="N42" s="17">
        <f t="shared" si="23"/>
        <v>0.41608391608391609</v>
      </c>
      <c r="O42" s="33"/>
      <c r="P42" s="33"/>
      <c r="Q42" s="33"/>
      <c r="R42" s="33"/>
      <c r="S42" s="33"/>
      <c r="T42" s="33"/>
      <c r="U42" s="33"/>
      <c r="V42" s="33"/>
      <c r="W42" s="33"/>
      <c r="X42" s="33"/>
    </row>
    <row r="43" spans="1:24" ht="12" customHeight="1" x14ac:dyDescent="0.2">
      <c r="A43" s="32" t="s">
        <v>120</v>
      </c>
      <c r="B43" s="32">
        <f>SUM(B37:B42)</f>
        <v>1909</v>
      </c>
      <c r="C43" s="78">
        <f>SUM(C37:C42)</f>
        <v>360</v>
      </c>
      <c r="D43" s="79">
        <f t="shared" si="16"/>
        <v>0.32171581769436997</v>
      </c>
      <c r="E43" s="63">
        <f>SUM(E37:E42)</f>
        <v>732</v>
      </c>
      <c r="F43" s="64">
        <f t="shared" si="17"/>
        <v>0.65415549597855227</v>
      </c>
      <c r="G43" s="71">
        <f>SUM(G37:G42)</f>
        <v>9</v>
      </c>
      <c r="H43" s="75">
        <f t="shared" si="18"/>
        <v>8.0428954423592495E-3</v>
      </c>
      <c r="I43" s="32">
        <f>SUM(I37:I42)</f>
        <v>18</v>
      </c>
      <c r="J43" s="28">
        <f t="shared" si="19"/>
        <v>1.6085790884718499E-2</v>
      </c>
      <c r="K43" s="32">
        <f t="shared" si="20"/>
        <v>1119</v>
      </c>
      <c r="L43" s="28">
        <f t="shared" si="21"/>
        <v>0.5861707700366684</v>
      </c>
      <c r="M43" s="32">
        <f>SUM(M37:M42)</f>
        <v>790</v>
      </c>
      <c r="N43" s="28">
        <f t="shared" si="23"/>
        <v>0.4138292299633316</v>
      </c>
      <c r="O43" s="33"/>
      <c r="P43" s="33"/>
      <c r="Q43" s="33"/>
      <c r="R43" s="33"/>
      <c r="S43" s="33"/>
      <c r="T43" s="33"/>
      <c r="U43" s="33"/>
      <c r="V43" s="33"/>
      <c r="W43" s="33"/>
      <c r="X43" s="33"/>
    </row>
    <row r="44" spans="1:24" s="41" customFormat="1" ht="12" customHeight="1" x14ac:dyDescent="0.2">
      <c r="A44" s="32" t="s">
        <v>542</v>
      </c>
      <c r="B44" s="32">
        <v>6</v>
      </c>
      <c r="C44" s="78"/>
      <c r="D44" s="79"/>
      <c r="E44" s="63"/>
      <c r="F44" s="64"/>
      <c r="G44" s="71"/>
      <c r="H44" s="75"/>
      <c r="I44" s="32"/>
      <c r="J44" s="28"/>
      <c r="K44" s="32"/>
      <c r="L44" s="28"/>
      <c r="M44" s="32"/>
      <c r="N44" s="28"/>
      <c r="O44" s="33"/>
      <c r="P44" s="33"/>
      <c r="Q44" s="33"/>
      <c r="R44" s="33"/>
      <c r="S44" s="33"/>
      <c r="T44" s="33"/>
      <c r="U44" s="33"/>
      <c r="V44" s="33"/>
      <c r="W44" s="33"/>
      <c r="X44" s="33"/>
    </row>
    <row r="45" spans="1:24" ht="12" customHeight="1" x14ac:dyDescent="0.2">
      <c r="A45" s="36" t="s">
        <v>135</v>
      </c>
      <c r="B45" s="32" t="s">
        <v>390</v>
      </c>
      <c r="C45" s="83"/>
      <c r="D45" s="83"/>
      <c r="E45" s="68"/>
      <c r="F45" s="68"/>
      <c r="G45" s="73"/>
      <c r="H45" s="73"/>
      <c r="I45" s="37"/>
      <c r="J45" s="37"/>
      <c r="K45" s="37"/>
      <c r="L45" s="37"/>
      <c r="M45" s="37"/>
      <c r="N45" s="37"/>
      <c r="O45" s="33"/>
      <c r="P45" s="33"/>
      <c r="Q45" s="33"/>
      <c r="R45" s="33"/>
      <c r="S45" s="33"/>
      <c r="T45" s="33"/>
      <c r="U45" s="33"/>
      <c r="V45" s="33"/>
      <c r="W45" s="33"/>
      <c r="X45" s="33"/>
    </row>
    <row r="46" spans="1:24" ht="12" customHeight="1" x14ac:dyDescent="0.2">
      <c r="A46" s="15" t="s">
        <v>136</v>
      </c>
      <c r="B46" s="15">
        <v>394</v>
      </c>
      <c r="C46" s="81">
        <v>105</v>
      </c>
      <c r="D46" s="82">
        <f t="shared" ref="D46:D51" si="24">IF((K46=0),"",(C46/K46))</f>
        <v>0.4251012145748988</v>
      </c>
      <c r="E46" s="66">
        <v>137</v>
      </c>
      <c r="F46" s="67">
        <f t="shared" ref="F46:F51" si="25">IF((K46=0),"",(E46/K46))</f>
        <v>0.55465587044534415</v>
      </c>
      <c r="G46" s="74">
        <v>3</v>
      </c>
      <c r="H46" s="75">
        <f t="shared" ref="H46:H51" si="26">IF((K46=0),"",(G46/K46))</f>
        <v>1.2145748987854251E-2</v>
      </c>
      <c r="I46" s="15">
        <v>2</v>
      </c>
      <c r="J46" s="17">
        <f t="shared" ref="J46:J51" si="27">IF((K46=0),"",(I46/K46))</f>
        <v>8.0971659919028341E-3</v>
      </c>
      <c r="K46" s="15">
        <f t="shared" ref="K46:K51" si="28">SUM(C46,E46,G46,I46)</f>
        <v>247</v>
      </c>
      <c r="L46" s="17">
        <f t="shared" ref="L46:L51" si="29">IF((B46=0),"",(K46/B46))</f>
        <v>0.62690355329949243</v>
      </c>
      <c r="M46" s="29">
        <f>B46-K46</f>
        <v>147</v>
      </c>
      <c r="N46" s="17">
        <f t="shared" ref="N46:N51" si="30">IF((B46=0),"",(M46/B46))</f>
        <v>0.37309644670050762</v>
      </c>
      <c r="O46" s="33"/>
      <c r="P46" s="33"/>
      <c r="Q46" s="33"/>
      <c r="R46" s="33"/>
      <c r="S46" s="33"/>
      <c r="T46" s="33"/>
      <c r="U46" s="33"/>
      <c r="V46" s="33"/>
      <c r="W46" s="33"/>
      <c r="X46" s="33"/>
    </row>
    <row r="47" spans="1:24" ht="12" customHeight="1" x14ac:dyDescent="0.2">
      <c r="A47" s="15" t="s">
        <v>137</v>
      </c>
      <c r="B47" s="15">
        <v>366</v>
      </c>
      <c r="C47" s="81">
        <v>112</v>
      </c>
      <c r="D47" s="82">
        <f t="shared" si="24"/>
        <v>0.50224215246636772</v>
      </c>
      <c r="E47" s="66">
        <v>109</v>
      </c>
      <c r="F47" s="67">
        <f t="shared" si="25"/>
        <v>0.48878923766816146</v>
      </c>
      <c r="G47" s="74">
        <v>1</v>
      </c>
      <c r="H47" s="75">
        <f t="shared" si="26"/>
        <v>4.4843049327354259E-3</v>
      </c>
      <c r="I47" s="15">
        <v>1</v>
      </c>
      <c r="J47" s="17">
        <f t="shared" si="27"/>
        <v>4.4843049327354259E-3</v>
      </c>
      <c r="K47" s="15">
        <f>SUM(C47,E47,G47,I47)</f>
        <v>223</v>
      </c>
      <c r="L47" s="17">
        <f t="shared" si="29"/>
        <v>0.60928961748633881</v>
      </c>
      <c r="M47" s="29">
        <f>B47-K47</f>
        <v>143</v>
      </c>
      <c r="N47" s="17">
        <f t="shared" si="30"/>
        <v>0.39071038251366119</v>
      </c>
      <c r="O47" s="33"/>
      <c r="P47" s="33"/>
      <c r="Q47" s="33"/>
      <c r="R47" s="33"/>
      <c r="S47" s="33"/>
      <c r="T47" s="33"/>
      <c r="U47" s="33"/>
      <c r="V47" s="33"/>
      <c r="W47" s="33"/>
      <c r="X47" s="33"/>
    </row>
    <row r="48" spans="1:24" ht="12" customHeight="1" x14ac:dyDescent="0.2">
      <c r="A48" s="29" t="s">
        <v>138</v>
      </c>
      <c r="B48" s="15">
        <v>363</v>
      </c>
      <c r="C48" s="81">
        <v>98</v>
      </c>
      <c r="D48" s="82">
        <f t="shared" si="24"/>
        <v>0.45370370370370372</v>
      </c>
      <c r="E48" s="66">
        <v>116</v>
      </c>
      <c r="F48" s="67">
        <f t="shared" si="25"/>
        <v>0.53703703703703709</v>
      </c>
      <c r="G48" s="74">
        <v>0</v>
      </c>
      <c r="H48" s="75">
        <f t="shared" si="26"/>
        <v>0</v>
      </c>
      <c r="I48" s="15">
        <v>2</v>
      </c>
      <c r="J48" s="17">
        <f t="shared" si="27"/>
        <v>9.2592592592592587E-3</v>
      </c>
      <c r="K48" s="15">
        <f t="shared" si="28"/>
        <v>216</v>
      </c>
      <c r="L48" s="17">
        <f t="shared" si="29"/>
        <v>0.5950413223140496</v>
      </c>
      <c r="M48" s="29">
        <f>B48-K48</f>
        <v>147</v>
      </c>
      <c r="N48" s="17">
        <f t="shared" si="30"/>
        <v>0.4049586776859504</v>
      </c>
      <c r="O48" s="33"/>
      <c r="P48" s="33"/>
      <c r="Q48" s="33"/>
      <c r="R48" s="33"/>
      <c r="S48" s="33"/>
      <c r="T48" s="33"/>
      <c r="U48" s="33"/>
      <c r="V48" s="33"/>
      <c r="W48" s="33"/>
      <c r="X48" s="33"/>
    </row>
    <row r="49" spans="1:24" ht="12" customHeight="1" x14ac:dyDescent="0.2">
      <c r="A49" s="29" t="s">
        <v>454</v>
      </c>
      <c r="B49" s="15">
        <v>398</v>
      </c>
      <c r="C49" s="81">
        <v>98</v>
      </c>
      <c r="D49" s="82">
        <f t="shared" si="24"/>
        <v>0.42060085836909872</v>
      </c>
      <c r="E49" s="66">
        <v>129</v>
      </c>
      <c r="F49" s="67">
        <f t="shared" si="25"/>
        <v>0.55364806866952787</v>
      </c>
      <c r="G49" s="74">
        <v>3</v>
      </c>
      <c r="H49" s="75">
        <f t="shared" si="26"/>
        <v>1.2875536480686695E-2</v>
      </c>
      <c r="I49" s="15">
        <v>3</v>
      </c>
      <c r="J49" s="17">
        <f t="shared" si="27"/>
        <v>1.2875536480686695E-2</v>
      </c>
      <c r="K49" s="15">
        <f t="shared" si="28"/>
        <v>233</v>
      </c>
      <c r="L49" s="17">
        <f t="shared" si="29"/>
        <v>0.585427135678392</v>
      </c>
      <c r="M49" s="29">
        <f>B49-K49</f>
        <v>165</v>
      </c>
      <c r="N49" s="17">
        <f t="shared" si="30"/>
        <v>0.41457286432160806</v>
      </c>
      <c r="O49" s="33"/>
      <c r="P49" s="33"/>
      <c r="Q49" s="33"/>
      <c r="R49" s="33"/>
      <c r="S49" s="33"/>
      <c r="T49" s="33"/>
      <c r="U49" s="33"/>
      <c r="V49" s="33"/>
      <c r="W49" s="33"/>
      <c r="X49" s="33"/>
    </row>
    <row r="50" spans="1:24" ht="12" customHeight="1" x14ac:dyDescent="0.2">
      <c r="A50" s="29" t="s">
        <v>173</v>
      </c>
      <c r="B50" s="15">
        <v>232</v>
      </c>
      <c r="C50" s="81">
        <v>48</v>
      </c>
      <c r="D50" s="82">
        <f t="shared" si="24"/>
        <v>0.34042553191489361</v>
      </c>
      <c r="E50" s="66">
        <v>87</v>
      </c>
      <c r="F50" s="67">
        <f t="shared" si="25"/>
        <v>0.61702127659574468</v>
      </c>
      <c r="G50" s="74">
        <v>2</v>
      </c>
      <c r="H50" s="75">
        <f t="shared" si="26"/>
        <v>1.4184397163120567E-2</v>
      </c>
      <c r="I50" s="15">
        <v>4</v>
      </c>
      <c r="J50" s="17">
        <f t="shared" si="27"/>
        <v>2.8368794326241134E-2</v>
      </c>
      <c r="K50" s="15">
        <f t="shared" si="28"/>
        <v>141</v>
      </c>
      <c r="L50" s="17">
        <f t="shared" si="29"/>
        <v>0.60775862068965514</v>
      </c>
      <c r="M50" s="29">
        <f>B50-K50</f>
        <v>91</v>
      </c>
      <c r="N50" s="17">
        <f t="shared" si="30"/>
        <v>0.39224137931034481</v>
      </c>
      <c r="O50" s="33"/>
      <c r="P50" s="33"/>
      <c r="Q50" s="33"/>
      <c r="R50" s="33"/>
      <c r="S50" s="33"/>
      <c r="T50" s="33"/>
      <c r="U50" s="33"/>
      <c r="V50" s="33"/>
      <c r="W50" s="33"/>
      <c r="X50" s="33"/>
    </row>
    <row r="51" spans="1:24" ht="12" customHeight="1" x14ac:dyDescent="0.2">
      <c r="A51" s="32" t="s">
        <v>120</v>
      </c>
      <c r="B51" s="32">
        <f>SUM(B46:B50)</f>
        <v>1753</v>
      </c>
      <c r="C51" s="78">
        <f>SUM(C46:C50)</f>
        <v>461</v>
      </c>
      <c r="D51" s="79">
        <f t="shared" si="24"/>
        <v>0.43490566037735851</v>
      </c>
      <c r="E51" s="63">
        <f>SUM(E46:E50)</f>
        <v>578</v>
      </c>
      <c r="F51" s="64">
        <f t="shared" si="25"/>
        <v>0.54528301886792452</v>
      </c>
      <c r="G51" s="71">
        <f>SUM(G46:G50)</f>
        <v>9</v>
      </c>
      <c r="H51" s="75">
        <f t="shared" si="26"/>
        <v>8.4905660377358489E-3</v>
      </c>
      <c r="I51" s="32">
        <f>SUM(I46:I50)</f>
        <v>12</v>
      </c>
      <c r="J51" s="28">
        <f t="shared" si="27"/>
        <v>1.1320754716981131E-2</v>
      </c>
      <c r="K51" s="32">
        <f t="shared" si="28"/>
        <v>1060</v>
      </c>
      <c r="L51" s="28">
        <f t="shared" si="29"/>
        <v>0.60467769537934968</v>
      </c>
      <c r="M51" s="32">
        <f>SUM(M46:M50)</f>
        <v>693</v>
      </c>
      <c r="N51" s="28">
        <f t="shared" si="30"/>
        <v>0.39532230462065032</v>
      </c>
      <c r="O51" s="33"/>
      <c r="P51" s="33"/>
      <c r="Q51" s="33"/>
      <c r="R51" s="33"/>
      <c r="S51" s="33"/>
      <c r="T51" s="33"/>
      <c r="U51" s="33"/>
      <c r="V51" s="33"/>
      <c r="W51" s="33"/>
      <c r="X51" s="33"/>
    </row>
    <row r="52" spans="1:24" s="41" customFormat="1" ht="12" customHeight="1" x14ac:dyDescent="0.2">
      <c r="A52" s="32" t="s">
        <v>542</v>
      </c>
      <c r="B52" s="32">
        <v>10</v>
      </c>
      <c r="C52" s="78"/>
      <c r="D52" s="79"/>
      <c r="E52" s="63"/>
      <c r="F52" s="64"/>
      <c r="G52" s="71"/>
      <c r="H52" s="75"/>
      <c r="I52" s="32"/>
      <c r="J52" s="28"/>
      <c r="K52" s="32"/>
      <c r="L52" s="28"/>
      <c r="M52" s="32"/>
      <c r="N52" s="28"/>
      <c r="O52" s="33"/>
      <c r="P52" s="33"/>
      <c r="Q52" s="33"/>
      <c r="R52" s="33"/>
      <c r="S52" s="33"/>
      <c r="T52" s="33"/>
      <c r="U52" s="33"/>
      <c r="V52" s="33"/>
      <c r="W52" s="33"/>
      <c r="X52" s="33"/>
    </row>
    <row r="53" spans="1:24" ht="12" customHeight="1" x14ac:dyDescent="0.2">
      <c r="A53" s="36" t="s">
        <v>140</v>
      </c>
      <c r="B53" s="32" t="s">
        <v>141</v>
      </c>
      <c r="C53" s="83"/>
      <c r="D53" s="83"/>
      <c r="E53" s="68"/>
      <c r="F53" s="68"/>
      <c r="G53" s="73"/>
      <c r="H53" s="73"/>
      <c r="I53" s="37"/>
      <c r="J53" s="37"/>
      <c r="K53" s="37"/>
      <c r="L53" s="37"/>
      <c r="M53" s="37"/>
      <c r="N53" s="37"/>
      <c r="O53" s="33"/>
      <c r="P53" s="33"/>
      <c r="Q53" s="33"/>
      <c r="R53" s="33"/>
      <c r="S53" s="33"/>
      <c r="T53" s="33"/>
      <c r="U53" s="33"/>
      <c r="V53" s="33"/>
      <c r="W53" s="33"/>
      <c r="X53" s="33"/>
    </row>
    <row r="54" spans="1:24" ht="12" customHeight="1" x14ac:dyDescent="0.2">
      <c r="A54" s="15" t="s">
        <v>38</v>
      </c>
      <c r="B54" s="15">
        <v>460</v>
      </c>
      <c r="C54" s="81">
        <v>133</v>
      </c>
      <c r="D54" s="82">
        <f t="shared" ref="D54:D65" si="31">IF((K54=0),"",(C54/K54))</f>
        <v>0.45238095238095238</v>
      </c>
      <c r="E54" s="66">
        <v>141</v>
      </c>
      <c r="F54" s="67">
        <f t="shared" ref="F54:F65" si="32">IF((K54=0),"",(E54/K54))</f>
        <v>0.47959183673469385</v>
      </c>
      <c r="G54" s="74">
        <v>1</v>
      </c>
      <c r="H54" s="75">
        <f t="shared" ref="H54:H65" si="33">IF((K54=0),"",(G54/K54))</f>
        <v>3.4013605442176869E-3</v>
      </c>
      <c r="I54" s="15">
        <v>19</v>
      </c>
      <c r="J54" s="17">
        <f t="shared" ref="J54:J65" si="34">IF((K54=0),"",(I54/K54))</f>
        <v>6.4625850340136057E-2</v>
      </c>
      <c r="K54" s="15">
        <f>SUM(C54,E54,G54,I54)</f>
        <v>294</v>
      </c>
      <c r="L54" s="17">
        <f t="shared" ref="L54:L65" si="35">IF((B54=0),"",(K54/B54))</f>
        <v>0.63913043478260867</v>
      </c>
      <c r="M54" s="29">
        <f>B54-K54</f>
        <v>166</v>
      </c>
      <c r="N54" s="17">
        <f t="shared" ref="N54:N65" si="36">IF((B54=0),"",(M54/B54))</f>
        <v>0.36086956521739133</v>
      </c>
      <c r="O54" s="33"/>
      <c r="P54" s="33"/>
      <c r="Q54" s="33"/>
      <c r="R54" s="33"/>
      <c r="S54" s="33"/>
      <c r="T54" s="33"/>
      <c r="U54" s="33"/>
      <c r="V54" s="33"/>
      <c r="W54" s="33"/>
      <c r="X54" s="33"/>
    </row>
    <row r="55" spans="1:24" ht="12" customHeight="1" x14ac:dyDescent="0.2">
      <c r="A55" s="15" t="s">
        <v>142</v>
      </c>
      <c r="B55" s="15">
        <v>511</v>
      </c>
      <c r="C55" s="81">
        <v>140</v>
      </c>
      <c r="D55" s="82">
        <f t="shared" si="31"/>
        <v>0.53435114503816794</v>
      </c>
      <c r="E55" s="66">
        <v>115</v>
      </c>
      <c r="F55" s="67">
        <f t="shared" si="32"/>
        <v>0.43893129770992367</v>
      </c>
      <c r="G55" s="74">
        <v>1</v>
      </c>
      <c r="H55" s="75">
        <f t="shared" si="33"/>
        <v>3.8167938931297708E-3</v>
      </c>
      <c r="I55" s="15">
        <v>6</v>
      </c>
      <c r="J55" s="17">
        <f t="shared" si="34"/>
        <v>2.2900763358778626E-2</v>
      </c>
      <c r="K55" s="15">
        <f t="shared" ref="K55:K64" si="37">SUM(C55,E55,G55,I55)</f>
        <v>262</v>
      </c>
      <c r="L55" s="17">
        <f t="shared" si="35"/>
        <v>0.51272015655577297</v>
      </c>
      <c r="M55" s="61">
        <f t="shared" ref="M55:M64" si="38">B55-K55</f>
        <v>249</v>
      </c>
      <c r="N55" s="17">
        <f t="shared" si="36"/>
        <v>0.48727984344422698</v>
      </c>
      <c r="O55" s="33"/>
      <c r="P55" s="33"/>
      <c r="Q55" s="33"/>
      <c r="R55" s="33"/>
      <c r="S55" s="33"/>
      <c r="T55" s="33"/>
      <c r="U55" s="33"/>
      <c r="V55" s="33"/>
      <c r="W55" s="33"/>
      <c r="X55" s="33"/>
    </row>
    <row r="56" spans="1:24" ht="12" customHeight="1" x14ac:dyDescent="0.2">
      <c r="A56" s="15" t="s">
        <v>143</v>
      </c>
      <c r="B56" s="15">
        <v>514</v>
      </c>
      <c r="C56" s="81">
        <v>140</v>
      </c>
      <c r="D56" s="82">
        <v>1.4</v>
      </c>
      <c r="E56" s="66">
        <v>178</v>
      </c>
      <c r="F56" s="67">
        <f t="shared" si="32"/>
        <v>0.54938271604938271</v>
      </c>
      <c r="G56" s="74">
        <v>3</v>
      </c>
      <c r="H56" s="75">
        <f t="shared" si="33"/>
        <v>9.2592592592592587E-3</v>
      </c>
      <c r="I56" s="15">
        <v>3</v>
      </c>
      <c r="J56" s="17">
        <f t="shared" si="34"/>
        <v>9.2592592592592587E-3</v>
      </c>
      <c r="K56" s="15">
        <f t="shared" si="37"/>
        <v>324</v>
      </c>
      <c r="L56" s="17">
        <f t="shared" si="35"/>
        <v>0.63035019455252916</v>
      </c>
      <c r="M56" s="29">
        <f t="shared" si="38"/>
        <v>190</v>
      </c>
      <c r="N56" s="17">
        <f t="shared" si="36"/>
        <v>0.36964980544747084</v>
      </c>
      <c r="O56" s="33"/>
      <c r="P56" s="33"/>
      <c r="Q56" s="33"/>
      <c r="R56" s="33"/>
      <c r="S56" s="33"/>
      <c r="T56" s="33"/>
      <c r="U56" s="33"/>
      <c r="V56" s="33"/>
      <c r="W56" s="33"/>
      <c r="X56" s="33"/>
    </row>
    <row r="57" spans="1:24" ht="12" customHeight="1" x14ac:dyDescent="0.2">
      <c r="A57" s="15" t="s">
        <v>144</v>
      </c>
      <c r="B57" s="15">
        <v>456</v>
      </c>
      <c r="C57" s="81">
        <v>126</v>
      </c>
      <c r="D57" s="82">
        <f t="shared" si="31"/>
        <v>0.47014925373134331</v>
      </c>
      <c r="E57" s="66">
        <v>138</v>
      </c>
      <c r="F57" s="67">
        <f t="shared" si="32"/>
        <v>0.5149253731343284</v>
      </c>
      <c r="G57" s="74">
        <v>1</v>
      </c>
      <c r="H57" s="75">
        <f t="shared" si="33"/>
        <v>3.7313432835820895E-3</v>
      </c>
      <c r="I57" s="15">
        <v>3</v>
      </c>
      <c r="J57" s="17">
        <f t="shared" si="34"/>
        <v>1.1194029850746268E-2</v>
      </c>
      <c r="K57" s="15">
        <f t="shared" si="37"/>
        <v>268</v>
      </c>
      <c r="L57" s="17">
        <f t="shared" si="35"/>
        <v>0.58771929824561409</v>
      </c>
      <c r="M57" s="29">
        <f t="shared" si="38"/>
        <v>188</v>
      </c>
      <c r="N57" s="17">
        <f t="shared" si="36"/>
        <v>0.41228070175438597</v>
      </c>
      <c r="O57" s="33"/>
      <c r="P57" s="33"/>
      <c r="Q57" s="33"/>
      <c r="R57" s="33"/>
      <c r="S57" s="33"/>
      <c r="T57" s="33"/>
      <c r="U57" s="33"/>
      <c r="V57" s="33"/>
      <c r="W57" s="33"/>
      <c r="X57" s="33"/>
    </row>
    <row r="58" spans="1:24" ht="12" customHeight="1" x14ac:dyDescent="0.2">
      <c r="A58" s="15" t="s">
        <v>455</v>
      </c>
      <c r="B58" s="15">
        <v>326</v>
      </c>
      <c r="C58" s="81">
        <v>92</v>
      </c>
      <c r="D58" s="82">
        <f t="shared" si="31"/>
        <v>0.51111111111111107</v>
      </c>
      <c r="E58" s="66">
        <v>86</v>
      </c>
      <c r="F58" s="67">
        <f t="shared" si="32"/>
        <v>0.4777777777777778</v>
      </c>
      <c r="G58" s="74">
        <v>1</v>
      </c>
      <c r="H58" s="75">
        <f t="shared" si="33"/>
        <v>5.5555555555555558E-3</v>
      </c>
      <c r="I58" s="15">
        <v>1</v>
      </c>
      <c r="J58" s="17">
        <f t="shared" si="34"/>
        <v>5.5555555555555558E-3</v>
      </c>
      <c r="K58" s="15">
        <f t="shared" si="37"/>
        <v>180</v>
      </c>
      <c r="L58" s="17">
        <f t="shared" si="35"/>
        <v>0.55214723926380371</v>
      </c>
      <c r="M58" s="29">
        <f t="shared" si="38"/>
        <v>146</v>
      </c>
      <c r="N58" s="17">
        <f t="shared" si="36"/>
        <v>0.44785276073619634</v>
      </c>
      <c r="O58" s="33"/>
      <c r="P58" s="33"/>
      <c r="Q58" s="33"/>
      <c r="R58" s="33"/>
      <c r="S58" s="33"/>
      <c r="T58" s="33"/>
      <c r="U58" s="33"/>
      <c r="V58" s="33"/>
      <c r="W58" s="33"/>
      <c r="X58" s="33"/>
    </row>
    <row r="59" spans="1:24" ht="12" customHeight="1" x14ac:dyDescent="0.2">
      <c r="A59" s="15" t="s">
        <v>456</v>
      </c>
      <c r="B59" s="15">
        <v>239</v>
      </c>
      <c r="C59" s="81">
        <v>42</v>
      </c>
      <c r="D59" s="82">
        <f t="shared" si="31"/>
        <v>0.34426229508196721</v>
      </c>
      <c r="E59" s="66">
        <v>75</v>
      </c>
      <c r="F59" s="67">
        <f t="shared" si="32"/>
        <v>0.61475409836065575</v>
      </c>
      <c r="G59" s="74">
        <v>1</v>
      </c>
      <c r="H59" s="75">
        <f t="shared" si="33"/>
        <v>8.1967213114754103E-3</v>
      </c>
      <c r="I59" s="15">
        <v>4</v>
      </c>
      <c r="J59" s="17">
        <f t="shared" si="34"/>
        <v>3.2786885245901641E-2</v>
      </c>
      <c r="K59" s="15">
        <f t="shared" si="37"/>
        <v>122</v>
      </c>
      <c r="L59" s="17">
        <f t="shared" si="35"/>
        <v>0.5104602510460251</v>
      </c>
      <c r="M59" s="29">
        <f t="shared" si="38"/>
        <v>117</v>
      </c>
      <c r="N59" s="17">
        <f t="shared" si="36"/>
        <v>0.4895397489539749</v>
      </c>
      <c r="O59" s="33"/>
      <c r="P59" s="33"/>
      <c r="Q59" s="33"/>
      <c r="R59" s="33"/>
      <c r="S59" s="33"/>
      <c r="T59" s="33"/>
      <c r="U59" s="33"/>
      <c r="V59" s="33"/>
      <c r="W59" s="33"/>
      <c r="X59" s="33"/>
    </row>
    <row r="60" spans="1:24" s="31" customFormat="1" ht="12" customHeight="1" x14ac:dyDescent="0.2">
      <c r="A60" s="15" t="s">
        <v>82</v>
      </c>
      <c r="B60" s="15">
        <v>276</v>
      </c>
      <c r="C60" s="81">
        <v>62</v>
      </c>
      <c r="D60" s="82">
        <f t="shared" si="31"/>
        <v>0.39240506329113922</v>
      </c>
      <c r="E60" s="66">
        <v>96</v>
      </c>
      <c r="F60" s="67">
        <f t="shared" si="32"/>
        <v>0.60759493670886078</v>
      </c>
      <c r="G60" s="74">
        <v>0</v>
      </c>
      <c r="H60" s="75">
        <f t="shared" si="33"/>
        <v>0</v>
      </c>
      <c r="I60" s="15">
        <v>0</v>
      </c>
      <c r="J60" s="17">
        <f t="shared" si="34"/>
        <v>0</v>
      </c>
      <c r="K60" s="15">
        <f t="shared" si="37"/>
        <v>158</v>
      </c>
      <c r="L60" s="17">
        <f t="shared" si="35"/>
        <v>0.57246376811594202</v>
      </c>
      <c r="M60" s="29">
        <f t="shared" si="38"/>
        <v>118</v>
      </c>
      <c r="N60" s="17">
        <f t="shared" si="36"/>
        <v>0.42753623188405798</v>
      </c>
      <c r="O60" s="33"/>
      <c r="P60" s="33"/>
      <c r="Q60" s="33"/>
      <c r="R60" s="33"/>
      <c r="S60" s="33"/>
      <c r="T60" s="33"/>
      <c r="U60" s="33"/>
      <c r="V60" s="33"/>
      <c r="W60" s="33"/>
      <c r="X60" s="33"/>
    </row>
    <row r="61" spans="1:24" s="31" customFormat="1" ht="12" customHeight="1" x14ac:dyDescent="0.2">
      <c r="A61" s="15" t="s">
        <v>85</v>
      </c>
      <c r="B61" s="15">
        <v>391</v>
      </c>
      <c r="C61" s="81">
        <v>98</v>
      </c>
      <c r="D61" s="82">
        <f t="shared" si="31"/>
        <v>0.4375</v>
      </c>
      <c r="E61" s="66">
        <v>122</v>
      </c>
      <c r="F61" s="67">
        <f t="shared" si="32"/>
        <v>0.5446428571428571</v>
      </c>
      <c r="G61" s="74">
        <v>2</v>
      </c>
      <c r="H61" s="75">
        <f t="shared" si="33"/>
        <v>8.9285714285714281E-3</v>
      </c>
      <c r="I61" s="15">
        <v>2</v>
      </c>
      <c r="J61" s="17">
        <f t="shared" si="34"/>
        <v>8.9285714285714281E-3</v>
      </c>
      <c r="K61" s="15">
        <f t="shared" si="37"/>
        <v>224</v>
      </c>
      <c r="L61" s="17">
        <f t="shared" si="35"/>
        <v>0.57289002557544755</v>
      </c>
      <c r="M61" s="29">
        <f t="shared" si="38"/>
        <v>167</v>
      </c>
      <c r="N61" s="17">
        <f t="shared" si="36"/>
        <v>0.42710997442455245</v>
      </c>
      <c r="O61" s="33"/>
      <c r="P61" s="33"/>
      <c r="Q61" s="33"/>
      <c r="R61" s="33"/>
      <c r="S61" s="33"/>
      <c r="T61" s="33"/>
      <c r="U61" s="33"/>
      <c r="V61" s="33"/>
      <c r="W61" s="33"/>
      <c r="X61" s="33"/>
    </row>
    <row r="62" spans="1:24" ht="12" customHeight="1" x14ac:dyDescent="0.2">
      <c r="A62" s="15" t="s">
        <v>457</v>
      </c>
      <c r="B62" s="15">
        <v>338</v>
      </c>
      <c r="C62" s="81">
        <v>86</v>
      </c>
      <c r="D62" s="82">
        <f t="shared" si="31"/>
        <v>0.41545893719806765</v>
      </c>
      <c r="E62" s="66">
        <v>118</v>
      </c>
      <c r="F62" s="67">
        <f t="shared" si="32"/>
        <v>0.57004830917874394</v>
      </c>
      <c r="G62" s="74">
        <v>1</v>
      </c>
      <c r="H62" s="75">
        <f t="shared" si="33"/>
        <v>4.830917874396135E-3</v>
      </c>
      <c r="I62" s="15">
        <v>2</v>
      </c>
      <c r="J62" s="17">
        <f t="shared" si="34"/>
        <v>9.6618357487922701E-3</v>
      </c>
      <c r="K62" s="15">
        <f t="shared" si="37"/>
        <v>207</v>
      </c>
      <c r="L62" s="17">
        <f t="shared" si="35"/>
        <v>0.6124260355029586</v>
      </c>
      <c r="M62" s="29">
        <f t="shared" si="38"/>
        <v>131</v>
      </c>
      <c r="N62" s="17">
        <f t="shared" si="36"/>
        <v>0.3875739644970414</v>
      </c>
      <c r="O62" s="33"/>
      <c r="P62" s="33"/>
      <c r="Q62" s="33"/>
      <c r="R62" s="33"/>
      <c r="S62" s="33"/>
      <c r="T62" s="33"/>
      <c r="U62" s="33"/>
      <c r="V62" s="33"/>
      <c r="W62" s="33"/>
      <c r="X62" s="33"/>
    </row>
    <row r="63" spans="1:24" ht="12" customHeight="1" x14ac:dyDescent="0.2">
      <c r="A63" s="15" t="s">
        <v>458</v>
      </c>
      <c r="B63" s="15">
        <v>485</v>
      </c>
      <c r="C63" s="81">
        <v>115</v>
      </c>
      <c r="D63" s="82">
        <f t="shared" si="31"/>
        <v>0.40350877192982454</v>
      </c>
      <c r="E63" s="66">
        <v>169</v>
      </c>
      <c r="F63" s="67">
        <f t="shared" si="32"/>
        <v>0.59298245614035083</v>
      </c>
      <c r="G63" s="74">
        <v>1</v>
      </c>
      <c r="H63" s="75">
        <f t="shared" si="33"/>
        <v>3.5087719298245615E-3</v>
      </c>
      <c r="I63" s="15">
        <v>0</v>
      </c>
      <c r="J63" s="17">
        <f t="shared" si="34"/>
        <v>0</v>
      </c>
      <c r="K63" s="15">
        <f t="shared" si="37"/>
        <v>285</v>
      </c>
      <c r="L63" s="17">
        <f t="shared" si="35"/>
        <v>0.58762886597938147</v>
      </c>
      <c r="M63" s="29">
        <f t="shared" si="38"/>
        <v>200</v>
      </c>
      <c r="N63" s="17">
        <f t="shared" si="36"/>
        <v>0.41237113402061853</v>
      </c>
      <c r="O63" s="33"/>
      <c r="P63" s="33"/>
      <c r="Q63" s="33"/>
      <c r="R63" s="33"/>
      <c r="S63" s="33"/>
      <c r="T63" s="33"/>
      <c r="U63" s="33"/>
      <c r="V63" s="33"/>
      <c r="W63" s="33"/>
      <c r="X63" s="33"/>
    </row>
    <row r="64" spans="1:24" ht="12" customHeight="1" x14ac:dyDescent="0.2">
      <c r="A64" s="15" t="s">
        <v>119</v>
      </c>
      <c r="B64" s="15">
        <v>205</v>
      </c>
      <c r="C64" s="81">
        <v>41</v>
      </c>
      <c r="D64" s="82">
        <f t="shared" si="31"/>
        <v>0.39047619047619048</v>
      </c>
      <c r="E64" s="66">
        <v>64</v>
      </c>
      <c r="F64" s="67">
        <f t="shared" si="32"/>
        <v>0.60952380952380958</v>
      </c>
      <c r="G64" s="74">
        <v>0</v>
      </c>
      <c r="H64" s="75">
        <f t="shared" si="33"/>
        <v>0</v>
      </c>
      <c r="I64" s="15">
        <v>0</v>
      </c>
      <c r="J64" s="17">
        <f t="shared" si="34"/>
        <v>0</v>
      </c>
      <c r="K64" s="15">
        <f t="shared" si="37"/>
        <v>105</v>
      </c>
      <c r="L64" s="17">
        <f t="shared" si="35"/>
        <v>0.51219512195121952</v>
      </c>
      <c r="M64" s="29">
        <f t="shared" si="38"/>
        <v>100</v>
      </c>
      <c r="N64" s="17">
        <f t="shared" si="36"/>
        <v>0.48780487804878048</v>
      </c>
      <c r="O64" s="33"/>
      <c r="P64" s="33"/>
      <c r="Q64" s="33"/>
      <c r="R64" s="33"/>
      <c r="S64" s="33"/>
      <c r="T64" s="33"/>
      <c r="U64" s="33"/>
      <c r="V64" s="33"/>
      <c r="W64" s="33"/>
      <c r="X64" s="33"/>
    </row>
    <row r="65" spans="1:24" ht="12" customHeight="1" x14ac:dyDescent="0.2">
      <c r="A65" s="32" t="s">
        <v>120</v>
      </c>
      <c r="B65" s="32">
        <f>SUM(B54:B64)</f>
        <v>4201</v>
      </c>
      <c r="C65" s="78">
        <f>SUM(C54:C64)</f>
        <v>1075</v>
      </c>
      <c r="D65" s="79">
        <f t="shared" si="31"/>
        <v>0.44256895841910249</v>
      </c>
      <c r="E65" s="63">
        <f>SUM(E54:E64)</f>
        <v>1302</v>
      </c>
      <c r="F65" s="64">
        <f t="shared" si="32"/>
        <v>0.53602305475504319</v>
      </c>
      <c r="G65" s="71">
        <f>SUM(G54:G64)</f>
        <v>12</v>
      </c>
      <c r="H65" s="75">
        <f t="shared" si="33"/>
        <v>4.9403046521202141E-3</v>
      </c>
      <c r="I65" s="32">
        <f>SUM(I54:I64)</f>
        <v>40</v>
      </c>
      <c r="J65" s="28">
        <f t="shared" si="34"/>
        <v>1.6467682173734045E-2</v>
      </c>
      <c r="K65" s="32">
        <f>SUM(C65,E65,G65,I65)</f>
        <v>2429</v>
      </c>
      <c r="L65" s="28">
        <f t="shared" si="35"/>
        <v>0.5781956676981671</v>
      </c>
      <c r="M65" s="32">
        <f>SUM(M54:M64)</f>
        <v>1772</v>
      </c>
      <c r="N65" s="28">
        <f t="shared" si="36"/>
        <v>0.4218043323018329</v>
      </c>
      <c r="O65" s="33"/>
      <c r="P65" s="33"/>
      <c r="Q65" s="33"/>
      <c r="R65" s="33"/>
      <c r="S65" s="33"/>
      <c r="T65" s="33"/>
      <c r="U65" s="33"/>
      <c r="V65" s="33"/>
      <c r="W65" s="33"/>
      <c r="X65" s="33"/>
    </row>
    <row r="66" spans="1:24" s="41" customFormat="1" ht="12" customHeight="1" x14ac:dyDescent="0.2">
      <c r="A66" s="32" t="s">
        <v>542</v>
      </c>
      <c r="B66" s="32">
        <v>27</v>
      </c>
      <c r="C66" s="78"/>
      <c r="D66" s="79"/>
      <c r="E66" s="63"/>
      <c r="F66" s="64"/>
      <c r="G66" s="71"/>
      <c r="H66" s="75"/>
      <c r="I66" s="32"/>
      <c r="J66" s="28"/>
      <c r="K66" s="32"/>
      <c r="L66" s="28"/>
      <c r="M66" s="32"/>
      <c r="N66" s="28"/>
      <c r="O66" s="33"/>
      <c r="P66" s="33"/>
      <c r="Q66" s="33"/>
      <c r="R66" s="33"/>
      <c r="S66" s="33"/>
      <c r="T66" s="33"/>
      <c r="U66" s="33"/>
      <c r="V66" s="33"/>
      <c r="W66" s="33"/>
      <c r="X66" s="33"/>
    </row>
    <row r="67" spans="1:24" ht="12" customHeight="1" x14ac:dyDescent="0.2">
      <c r="A67" s="36" t="s">
        <v>146</v>
      </c>
      <c r="B67" s="32" t="s">
        <v>147</v>
      </c>
      <c r="C67" s="83"/>
      <c r="D67" s="83"/>
      <c r="E67" s="68"/>
      <c r="F67" s="65"/>
      <c r="G67" s="73"/>
      <c r="H67" s="73"/>
      <c r="I67" s="37"/>
      <c r="J67" s="37"/>
      <c r="K67" s="37"/>
      <c r="L67" s="37"/>
      <c r="M67" s="37"/>
      <c r="N67" s="37"/>
      <c r="O67" s="33"/>
      <c r="P67" s="33"/>
      <c r="Q67" s="33"/>
      <c r="R67" s="33"/>
      <c r="S67" s="33"/>
      <c r="T67" s="33"/>
      <c r="U67" s="33"/>
      <c r="V67" s="33"/>
      <c r="W67" s="33"/>
      <c r="X67" s="33"/>
    </row>
    <row r="68" spans="1:24" ht="12" customHeight="1" x14ac:dyDescent="0.2">
      <c r="A68" s="15" t="s">
        <v>38</v>
      </c>
      <c r="B68" s="15">
        <v>498</v>
      </c>
      <c r="C68" s="81">
        <v>116</v>
      </c>
      <c r="D68" s="82">
        <f t="shared" ref="D68:D79" si="39">IF((K68=0),"",(C68/K68))</f>
        <v>0.46215139442231074</v>
      </c>
      <c r="E68" s="66">
        <v>129</v>
      </c>
      <c r="F68" s="67">
        <f t="shared" ref="F68:F79" si="40">IF((K68=0),"",(E68/K68))</f>
        <v>0.51394422310756971</v>
      </c>
      <c r="G68" s="74">
        <v>4</v>
      </c>
      <c r="H68" s="75">
        <f t="shared" ref="H68:H79" si="41">IF((K68=0),"",(G68/K68))</f>
        <v>1.5936254980079681E-2</v>
      </c>
      <c r="I68" s="15">
        <v>2</v>
      </c>
      <c r="J68" s="17">
        <f t="shared" ref="J68:J79" si="42">IF((K68=0),"",(I68/K68))</f>
        <v>7.9681274900398405E-3</v>
      </c>
      <c r="K68" s="15">
        <f>SUM(C68,E68,G68,I68)</f>
        <v>251</v>
      </c>
      <c r="L68" s="17">
        <f t="shared" ref="L68:L79" si="43">IF((B68=0),"",(K68/B68))</f>
        <v>0.50401606425702816</v>
      </c>
      <c r="M68" s="29">
        <f t="shared" ref="M68:M78" si="44">B68-K68</f>
        <v>247</v>
      </c>
      <c r="N68" s="17">
        <f t="shared" ref="N68:N79" si="45">IF((B68=0),"",(M68/B68))</f>
        <v>0.49598393574297189</v>
      </c>
      <c r="O68" s="33"/>
      <c r="P68" s="33"/>
      <c r="Q68" s="33"/>
      <c r="R68" s="33"/>
      <c r="S68" s="33"/>
      <c r="T68" s="33"/>
      <c r="U68" s="33"/>
      <c r="V68" s="33"/>
      <c r="W68" s="33"/>
      <c r="X68" s="33"/>
    </row>
    <row r="69" spans="1:24" ht="12" customHeight="1" x14ac:dyDescent="0.2">
      <c r="A69" s="29" t="s">
        <v>459</v>
      </c>
      <c r="B69" s="15">
        <v>496</v>
      </c>
      <c r="C69" s="81">
        <v>88</v>
      </c>
      <c r="D69" s="82">
        <f t="shared" si="39"/>
        <v>0.36666666666666664</v>
      </c>
      <c r="E69" s="66">
        <v>140</v>
      </c>
      <c r="F69" s="67">
        <f t="shared" si="40"/>
        <v>0.58333333333333337</v>
      </c>
      <c r="G69" s="74">
        <v>2</v>
      </c>
      <c r="H69" s="75">
        <f t="shared" si="41"/>
        <v>8.3333333333333332E-3</v>
      </c>
      <c r="I69" s="15">
        <v>10</v>
      </c>
      <c r="J69" s="17">
        <f t="shared" si="42"/>
        <v>4.1666666666666664E-2</v>
      </c>
      <c r="K69" s="15">
        <f t="shared" ref="K69:K78" si="46">SUM(C69,E69,G69,I69)</f>
        <v>240</v>
      </c>
      <c r="L69" s="17">
        <f t="shared" si="43"/>
        <v>0.4838709677419355</v>
      </c>
      <c r="M69" s="29">
        <f t="shared" si="44"/>
        <v>256</v>
      </c>
      <c r="N69" s="17">
        <f t="shared" si="45"/>
        <v>0.5161290322580645</v>
      </c>
      <c r="O69" s="33"/>
      <c r="P69" s="33"/>
      <c r="Q69" s="33"/>
      <c r="R69" s="33"/>
      <c r="S69" s="33"/>
      <c r="T69" s="33"/>
      <c r="U69" s="33"/>
      <c r="V69" s="33"/>
      <c r="W69" s="33"/>
      <c r="X69" s="33"/>
    </row>
    <row r="70" spans="1:24" ht="12" customHeight="1" x14ac:dyDescent="0.2">
      <c r="A70" s="29" t="s">
        <v>460</v>
      </c>
      <c r="B70" s="15">
        <v>419</v>
      </c>
      <c r="C70" s="81">
        <v>93</v>
      </c>
      <c r="D70" s="82">
        <f t="shared" si="39"/>
        <v>0.4325581395348837</v>
      </c>
      <c r="E70" s="66">
        <v>119</v>
      </c>
      <c r="F70" s="67">
        <f t="shared" si="40"/>
        <v>0.55348837209302326</v>
      </c>
      <c r="G70" s="74">
        <v>1</v>
      </c>
      <c r="H70" s="75">
        <f t="shared" si="41"/>
        <v>4.6511627906976744E-3</v>
      </c>
      <c r="I70" s="15">
        <v>2</v>
      </c>
      <c r="J70" s="17">
        <f t="shared" si="42"/>
        <v>9.3023255813953487E-3</v>
      </c>
      <c r="K70" s="15">
        <f t="shared" si="46"/>
        <v>215</v>
      </c>
      <c r="L70" s="17">
        <f t="shared" si="43"/>
        <v>0.51312649164677804</v>
      </c>
      <c r="M70" s="29">
        <f t="shared" si="44"/>
        <v>204</v>
      </c>
      <c r="N70" s="17">
        <f t="shared" si="45"/>
        <v>0.48687350835322196</v>
      </c>
      <c r="O70" s="33"/>
      <c r="P70" s="33"/>
      <c r="Q70" s="33"/>
      <c r="R70" s="33"/>
      <c r="S70" s="33"/>
      <c r="T70" s="33"/>
      <c r="U70" s="33"/>
      <c r="V70" s="33"/>
      <c r="W70" s="33"/>
      <c r="X70" s="33"/>
    </row>
    <row r="71" spans="1:24" ht="12" customHeight="1" x14ac:dyDescent="0.2">
      <c r="A71" s="29" t="s">
        <v>461</v>
      </c>
      <c r="B71" s="15">
        <v>413</v>
      </c>
      <c r="C71" s="81">
        <v>102</v>
      </c>
      <c r="D71" s="82">
        <f t="shared" si="39"/>
        <v>0.48803827751196172</v>
      </c>
      <c r="E71" s="66">
        <v>104</v>
      </c>
      <c r="F71" s="67">
        <f t="shared" si="40"/>
        <v>0.49760765550239233</v>
      </c>
      <c r="G71" s="74">
        <v>2</v>
      </c>
      <c r="H71" s="75">
        <f t="shared" si="41"/>
        <v>9.5693779904306216E-3</v>
      </c>
      <c r="I71" s="15">
        <v>1</v>
      </c>
      <c r="J71" s="17">
        <f t="shared" si="42"/>
        <v>4.7846889952153108E-3</v>
      </c>
      <c r="K71" s="15">
        <f t="shared" si="46"/>
        <v>209</v>
      </c>
      <c r="L71" s="17">
        <f t="shared" si="43"/>
        <v>0.50605326876513312</v>
      </c>
      <c r="M71" s="29">
        <f t="shared" si="44"/>
        <v>204</v>
      </c>
      <c r="N71" s="17">
        <f t="shared" si="45"/>
        <v>0.49394673123486682</v>
      </c>
      <c r="O71" s="33"/>
      <c r="P71" s="33"/>
      <c r="Q71" s="33"/>
      <c r="R71" s="33"/>
      <c r="S71" s="33"/>
      <c r="T71" s="33"/>
      <c r="U71" s="33"/>
      <c r="V71" s="33"/>
      <c r="W71" s="33"/>
      <c r="X71" s="33"/>
    </row>
    <row r="72" spans="1:24" ht="12" customHeight="1" x14ac:dyDescent="0.2">
      <c r="A72" s="29" t="s">
        <v>462</v>
      </c>
      <c r="B72" s="15">
        <v>429</v>
      </c>
      <c r="C72" s="81">
        <v>90</v>
      </c>
      <c r="D72" s="82">
        <f t="shared" si="39"/>
        <v>0.46391752577319589</v>
      </c>
      <c r="E72" s="66">
        <v>104</v>
      </c>
      <c r="F72" s="67">
        <f t="shared" si="40"/>
        <v>0.53608247422680411</v>
      </c>
      <c r="G72" s="74">
        <v>0</v>
      </c>
      <c r="H72" s="75">
        <f t="shared" si="41"/>
        <v>0</v>
      </c>
      <c r="I72" s="15">
        <v>0</v>
      </c>
      <c r="J72" s="17">
        <f t="shared" si="42"/>
        <v>0</v>
      </c>
      <c r="K72" s="15">
        <f t="shared" si="46"/>
        <v>194</v>
      </c>
      <c r="L72" s="17">
        <f t="shared" si="43"/>
        <v>0.45221445221445222</v>
      </c>
      <c r="M72" s="29">
        <f t="shared" si="44"/>
        <v>235</v>
      </c>
      <c r="N72" s="17">
        <f t="shared" si="45"/>
        <v>0.54778554778554778</v>
      </c>
      <c r="O72" s="33"/>
      <c r="P72" s="33"/>
      <c r="Q72" s="33"/>
      <c r="R72" s="33"/>
      <c r="S72" s="33"/>
      <c r="T72" s="33"/>
      <c r="U72" s="33"/>
      <c r="V72" s="33"/>
      <c r="W72" s="33"/>
      <c r="X72" s="33"/>
    </row>
    <row r="73" spans="1:24" ht="12" customHeight="1" x14ac:dyDescent="0.2">
      <c r="A73" s="29" t="s">
        <v>463</v>
      </c>
      <c r="B73" s="15">
        <v>389</v>
      </c>
      <c r="C73" s="81">
        <v>90</v>
      </c>
      <c r="D73" s="82">
        <f t="shared" si="39"/>
        <v>0.46391752577319589</v>
      </c>
      <c r="E73" s="66">
        <v>104</v>
      </c>
      <c r="F73" s="67">
        <f t="shared" si="40"/>
        <v>0.53608247422680411</v>
      </c>
      <c r="G73" s="74">
        <v>0</v>
      </c>
      <c r="H73" s="75">
        <f t="shared" si="41"/>
        <v>0</v>
      </c>
      <c r="I73" s="15">
        <v>0</v>
      </c>
      <c r="J73" s="17">
        <f t="shared" si="42"/>
        <v>0</v>
      </c>
      <c r="K73" s="15">
        <f t="shared" si="46"/>
        <v>194</v>
      </c>
      <c r="L73" s="17">
        <f t="shared" si="43"/>
        <v>0.49871465295629819</v>
      </c>
      <c r="M73" s="29">
        <f t="shared" si="44"/>
        <v>195</v>
      </c>
      <c r="N73" s="17">
        <f t="shared" si="45"/>
        <v>0.50128534704370176</v>
      </c>
      <c r="O73" s="33"/>
      <c r="P73" s="33"/>
      <c r="Q73" s="33"/>
      <c r="R73" s="33"/>
      <c r="S73" s="33"/>
      <c r="T73" s="33"/>
      <c r="U73" s="33"/>
      <c r="V73" s="33"/>
      <c r="W73" s="33"/>
      <c r="X73" s="33"/>
    </row>
    <row r="74" spans="1:24" ht="12" customHeight="1" x14ac:dyDescent="0.2">
      <c r="A74" s="29" t="s">
        <v>464</v>
      </c>
      <c r="B74" s="15">
        <v>502</v>
      </c>
      <c r="C74" s="81">
        <v>114</v>
      </c>
      <c r="D74" s="82">
        <f t="shared" si="39"/>
        <v>0.4453125</v>
      </c>
      <c r="E74" s="66">
        <v>136</v>
      </c>
      <c r="F74" s="67">
        <f t="shared" si="40"/>
        <v>0.53125</v>
      </c>
      <c r="G74" s="74">
        <v>3</v>
      </c>
      <c r="H74" s="75">
        <f t="shared" si="41"/>
        <v>1.171875E-2</v>
      </c>
      <c r="I74" s="15">
        <v>3</v>
      </c>
      <c r="J74" s="17">
        <f t="shared" si="42"/>
        <v>1.171875E-2</v>
      </c>
      <c r="K74" s="15">
        <f t="shared" si="46"/>
        <v>256</v>
      </c>
      <c r="L74" s="17">
        <f t="shared" si="43"/>
        <v>0.50996015936254979</v>
      </c>
      <c r="M74" s="29">
        <f t="shared" si="44"/>
        <v>246</v>
      </c>
      <c r="N74" s="17">
        <f t="shared" si="45"/>
        <v>0.49003984063745021</v>
      </c>
      <c r="O74" s="33"/>
      <c r="P74" s="33"/>
      <c r="Q74" s="33"/>
      <c r="R74" s="33"/>
      <c r="S74" s="33"/>
      <c r="T74" s="33"/>
      <c r="U74" s="33"/>
      <c r="V74" s="33"/>
      <c r="W74" s="33"/>
      <c r="X74" s="33"/>
    </row>
    <row r="75" spans="1:24" ht="12" customHeight="1" x14ac:dyDescent="0.2">
      <c r="A75" s="29" t="s">
        <v>85</v>
      </c>
      <c r="B75" s="15">
        <v>455</v>
      </c>
      <c r="C75" s="81">
        <v>96</v>
      </c>
      <c r="D75" s="82">
        <f t="shared" si="39"/>
        <v>0.40851063829787232</v>
      </c>
      <c r="E75" s="66">
        <v>133</v>
      </c>
      <c r="F75" s="67">
        <f t="shared" si="40"/>
        <v>0.56595744680851068</v>
      </c>
      <c r="G75" s="74">
        <v>2</v>
      </c>
      <c r="H75" s="75">
        <f t="shared" si="41"/>
        <v>8.5106382978723406E-3</v>
      </c>
      <c r="I75" s="15">
        <v>4</v>
      </c>
      <c r="J75" s="17">
        <f t="shared" si="42"/>
        <v>1.7021276595744681E-2</v>
      </c>
      <c r="K75" s="15">
        <f t="shared" si="46"/>
        <v>235</v>
      </c>
      <c r="L75" s="17">
        <f t="shared" si="43"/>
        <v>0.51648351648351654</v>
      </c>
      <c r="M75" s="29">
        <f t="shared" si="44"/>
        <v>220</v>
      </c>
      <c r="N75" s="17">
        <f t="shared" si="45"/>
        <v>0.48351648351648352</v>
      </c>
      <c r="O75" s="33"/>
      <c r="P75" s="33"/>
      <c r="Q75" s="33"/>
      <c r="R75" s="33"/>
      <c r="S75" s="33"/>
      <c r="T75" s="33"/>
      <c r="U75" s="33"/>
      <c r="V75" s="33"/>
      <c r="W75" s="33"/>
      <c r="X75" s="33"/>
    </row>
    <row r="76" spans="1:24" ht="12" customHeight="1" x14ac:dyDescent="0.2">
      <c r="A76" s="29" t="s">
        <v>221</v>
      </c>
      <c r="B76" s="15">
        <v>425</v>
      </c>
      <c r="C76" s="81">
        <v>104</v>
      </c>
      <c r="D76" s="82">
        <f t="shared" si="39"/>
        <v>0.49523809523809526</v>
      </c>
      <c r="E76" s="66">
        <v>102</v>
      </c>
      <c r="F76" s="67">
        <f t="shared" si="40"/>
        <v>0.48571428571428571</v>
      </c>
      <c r="G76" s="74">
        <v>2</v>
      </c>
      <c r="H76" s="75">
        <f t="shared" si="41"/>
        <v>9.5238095238095247E-3</v>
      </c>
      <c r="I76" s="15">
        <v>2</v>
      </c>
      <c r="J76" s="17">
        <f t="shared" si="42"/>
        <v>9.5238095238095247E-3</v>
      </c>
      <c r="K76" s="15">
        <f t="shared" si="46"/>
        <v>210</v>
      </c>
      <c r="L76" s="17">
        <f t="shared" si="43"/>
        <v>0.49411764705882355</v>
      </c>
      <c r="M76" s="29">
        <f t="shared" si="44"/>
        <v>215</v>
      </c>
      <c r="N76" s="17">
        <f t="shared" si="45"/>
        <v>0.50588235294117645</v>
      </c>
      <c r="O76" s="33"/>
      <c r="P76" s="33"/>
      <c r="Q76" s="33"/>
      <c r="R76" s="33"/>
      <c r="S76" s="33"/>
      <c r="T76" s="33"/>
      <c r="U76" s="33"/>
      <c r="V76" s="33"/>
      <c r="W76" s="33"/>
      <c r="X76" s="33"/>
    </row>
    <row r="77" spans="1:24" ht="12" customHeight="1" x14ac:dyDescent="0.2">
      <c r="A77" s="29" t="s">
        <v>465</v>
      </c>
      <c r="B77" s="15">
        <v>503</v>
      </c>
      <c r="C77" s="81">
        <v>101</v>
      </c>
      <c r="D77" s="82">
        <f t="shared" si="39"/>
        <v>0.396078431372549</v>
      </c>
      <c r="E77" s="66">
        <v>151</v>
      </c>
      <c r="F77" s="67">
        <f t="shared" si="40"/>
        <v>0.59215686274509804</v>
      </c>
      <c r="G77" s="74">
        <v>3</v>
      </c>
      <c r="H77" s="75">
        <f t="shared" si="41"/>
        <v>1.1764705882352941E-2</v>
      </c>
      <c r="I77" s="15">
        <v>0</v>
      </c>
      <c r="J77" s="17">
        <f t="shared" si="42"/>
        <v>0</v>
      </c>
      <c r="K77" s="15">
        <f t="shared" si="46"/>
        <v>255</v>
      </c>
      <c r="L77" s="17">
        <f t="shared" si="43"/>
        <v>0.50695825049701793</v>
      </c>
      <c r="M77" s="29">
        <f t="shared" si="44"/>
        <v>248</v>
      </c>
      <c r="N77" s="17">
        <f t="shared" si="45"/>
        <v>0.49304174950298213</v>
      </c>
      <c r="O77" s="33"/>
      <c r="P77" s="33"/>
      <c r="Q77" s="33"/>
      <c r="R77" s="33"/>
      <c r="S77" s="33"/>
      <c r="T77" s="33"/>
      <c r="U77" s="33"/>
      <c r="V77" s="33"/>
      <c r="W77" s="33"/>
      <c r="X77" s="33"/>
    </row>
    <row r="78" spans="1:24" ht="12" customHeight="1" x14ac:dyDescent="0.2">
      <c r="A78" s="29" t="s">
        <v>466</v>
      </c>
      <c r="B78" s="15">
        <v>469</v>
      </c>
      <c r="C78" s="81">
        <v>96</v>
      </c>
      <c r="D78" s="82">
        <f t="shared" si="39"/>
        <v>0.44444444444444442</v>
      </c>
      <c r="E78" s="66">
        <v>118</v>
      </c>
      <c r="F78" s="67">
        <f t="shared" si="40"/>
        <v>0.54629629629629628</v>
      </c>
      <c r="G78" s="74">
        <v>2</v>
      </c>
      <c r="H78" s="75">
        <f t="shared" si="41"/>
        <v>9.2592592592592587E-3</v>
      </c>
      <c r="I78" s="15">
        <v>0</v>
      </c>
      <c r="J78" s="17">
        <f t="shared" si="42"/>
        <v>0</v>
      </c>
      <c r="K78" s="15">
        <f t="shared" si="46"/>
        <v>216</v>
      </c>
      <c r="L78" s="17">
        <f t="shared" si="43"/>
        <v>0.4605543710021322</v>
      </c>
      <c r="M78" s="29">
        <f t="shared" si="44"/>
        <v>253</v>
      </c>
      <c r="N78" s="17">
        <f t="shared" si="45"/>
        <v>0.53944562899786785</v>
      </c>
      <c r="O78" s="33"/>
      <c r="P78" s="33"/>
      <c r="Q78" s="33"/>
      <c r="R78" s="33"/>
      <c r="S78" s="33"/>
      <c r="T78" s="33"/>
      <c r="U78" s="33"/>
      <c r="V78" s="33"/>
      <c r="W78" s="33"/>
      <c r="X78" s="33"/>
    </row>
    <row r="79" spans="1:24" ht="12" customHeight="1" x14ac:dyDescent="0.2">
      <c r="A79" s="32" t="s">
        <v>120</v>
      </c>
      <c r="B79" s="32">
        <f>SUM(B68:B78)</f>
        <v>4998</v>
      </c>
      <c r="C79" s="78">
        <f>SUM(C68:C78)</f>
        <v>1090</v>
      </c>
      <c r="D79" s="79">
        <f t="shared" si="39"/>
        <v>0.44040404040404041</v>
      </c>
      <c r="E79" s="63">
        <f>SUM(E68:E78)</f>
        <v>1340</v>
      </c>
      <c r="F79" s="64">
        <f t="shared" si="40"/>
        <v>0.54141414141414146</v>
      </c>
      <c r="G79" s="71">
        <f>SUM(G68:G78)</f>
        <v>21</v>
      </c>
      <c r="H79" s="75">
        <f t="shared" si="41"/>
        <v>8.4848484848484857E-3</v>
      </c>
      <c r="I79" s="32">
        <f>SUM(I68:I78)</f>
        <v>24</v>
      </c>
      <c r="J79" s="28">
        <f t="shared" si="42"/>
        <v>9.696969696969697E-3</v>
      </c>
      <c r="K79" s="32">
        <f>SUM(C79,E79,G79,I79)</f>
        <v>2475</v>
      </c>
      <c r="L79" s="28">
        <f t="shared" si="43"/>
        <v>0.49519807923169268</v>
      </c>
      <c r="M79" s="32">
        <f>SUM(M68:M78)</f>
        <v>2523</v>
      </c>
      <c r="N79" s="28">
        <f t="shared" si="45"/>
        <v>0.50480192076830732</v>
      </c>
      <c r="O79" s="33"/>
      <c r="P79" s="33"/>
      <c r="Q79" s="33"/>
      <c r="R79" s="33"/>
      <c r="S79" s="33"/>
      <c r="T79" s="33"/>
      <c r="U79" s="33"/>
      <c r="V79" s="33"/>
      <c r="W79" s="33"/>
      <c r="X79" s="33"/>
    </row>
    <row r="80" spans="1:24" ht="12.75" customHeight="1" x14ac:dyDescent="0.2">
      <c r="A80" s="43" t="s">
        <v>542</v>
      </c>
      <c r="B80" s="43">
        <v>35</v>
      </c>
      <c r="C80" s="84"/>
      <c r="D80" s="84"/>
      <c r="E80" s="69"/>
      <c r="F80" s="69"/>
      <c r="G80" s="76"/>
      <c r="H80" s="76"/>
      <c r="I80" s="33"/>
      <c r="J80" s="33"/>
      <c r="K80" s="33"/>
      <c r="L80" s="33"/>
      <c r="M80" s="33"/>
      <c r="N80" s="33"/>
      <c r="O80" s="33"/>
      <c r="P80" s="33"/>
      <c r="Q80" s="33"/>
      <c r="R80" s="33"/>
      <c r="S80" s="33"/>
      <c r="T80" s="33"/>
      <c r="U80" s="33"/>
      <c r="V80" s="33"/>
      <c r="W80" s="33"/>
      <c r="X80" s="33"/>
    </row>
    <row r="81" spans="1:24" ht="12.75" customHeight="1" x14ac:dyDescent="0.2">
      <c r="A81" s="33"/>
      <c r="B81" s="33"/>
      <c r="C81" s="84"/>
      <c r="D81" s="84"/>
      <c r="E81" s="69"/>
      <c r="F81" s="69"/>
      <c r="G81" s="76"/>
      <c r="H81" s="76"/>
      <c r="I81" s="33"/>
      <c r="J81" s="33"/>
      <c r="K81" s="33"/>
      <c r="L81" s="33"/>
      <c r="M81" s="33"/>
      <c r="N81" s="33"/>
      <c r="O81" s="33"/>
      <c r="P81" s="33"/>
      <c r="Q81" s="33"/>
      <c r="R81" s="33"/>
      <c r="S81" s="33"/>
      <c r="T81" s="33"/>
      <c r="U81" s="33"/>
      <c r="V81" s="33"/>
      <c r="W81" s="33"/>
      <c r="X81" s="33"/>
    </row>
    <row r="82" spans="1:24" ht="12.75" customHeight="1" x14ac:dyDescent="0.2">
      <c r="A82" s="33"/>
      <c r="B82" s="33"/>
      <c r="C82" s="84"/>
      <c r="D82" s="84"/>
      <c r="E82" s="69"/>
      <c r="F82" s="69"/>
      <c r="G82" s="76"/>
      <c r="H82" s="76"/>
      <c r="I82" s="33"/>
      <c r="J82" s="33"/>
      <c r="K82" s="33"/>
      <c r="L82" s="33"/>
      <c r="M82" s="33"/>
      <c r="N82" s="33"/>
      <c r="O82" s="33"/>
      <c r="P82" s="33"/>
      <c r="Q82" s="33"/>
      <c r="R82" s="33"/>
      <c r="S82" s="33"/>
      <c r="T82" s="33"/>
      <c r="U82" s="33"/>
      <c r="V82" s="33"/>
      <c r="W82" s="33"/>
      <c r="X82" s="33"/>
    </row>
    <row r="83" spans="1:24" ht="12.75" customHeight="1" x14ac:dyDescent="0.2">
      <c r="A83" s="33"/>
      <c r="B83" s="33"/>
      <c r="C83" s="84"/>
      <c r="D83" s="84"/>
      <c r="E83" s="69"/>
      <c r="F83" s="69"/>
      <c r="G83" s="76"/>
      <c r="H83" s="76"/>
      <c r="I83" s="33"/>
      <c r="J83" s="33"/>
      <c r="K83" s="33"/>
      <c r="L83" s="33"/>
      <c r="M83" s="33"/>
      <c r="N83" s="33"/>
      <c r="O83" s="33"/>
      <c r="P83" s="33"/>
      <c r="Q83" s="33"/>
      <c r="R83" s="33"/>
      <c r="S83" s="33"/>
      <c r="T83" s="33"/>
      <c r="U83" s="33"/>
      <c r="V83" s="33"/>
      <c r="W83" s="33"/>
      <c r="X83" s="33"/>
    </row>
    <row r="84" spans="1:24" ht="12.75" customHeight="1" x14ac:dyDescent="0.2">
      <c r="A84" s="33"/>
      <c r="B84" s="33"/>
      <c r="C84" s="84"/>
      <c r="D84" s="84"/>
      <c r="E84" s="69"/>
      <c r="F84" s="69"/>
      <c r="G84" s="76"/>
      <c r="H84" s="76"/>
      <c r="I84" s="33"/>
      <c r="J84" s="33"/>
      <c r="K84" s="33"/>
      <c r="L84" s="33"/>
      <c r="M84" s="33"/>
      <c r="N84" s="33"/>
      <c r="O84" s="33"/>
      <c r="P84" s="33"/>
      <c r="Q84" s="33"/>
      <c r="R84" s="33"/>
      <c r="S84" s="33"/>
      <c r="T84" s="33"/>
      <c r="U84" s="33"/>
      <c r="V84" s="33"/>
      <c r="W84" s="33"/>
      <c r="X84" s="33"/>
    </row>
    <row r="85" spans="1:24" ht="12.75" customHeight="1" x14ac:dyDescent="0.2">
      <c r="A85" s="33"/>
      <c r="B85" s="33"/>
      <c r="C85" s="84"/>
      <c r="D85" s="84"/>
      <c r="E85" s="69"/>
      <c r="F85" s="69"/>
      <c r="G85" s="76"/>
      <c r="H85" s="76"/>
      <c r="I85" s="33"/>
      <c r="J85" s="33"/>
      <c r="K85" s="33"/>
      <c r="L85" s="33"/>
      <c r="M85" s="33"/>
      <c r="N85" s="33"/>
      <c r="O85" s="33"/>
      <c r="P85" s="33"/>
      <c r="Q85" s="33"/>
      <c r="R85" s="33"/>
      <c r="S85" s="33"/>
      <c r="T85" s="33"/>
      <c r="U85" s="33"/>
      <c r="V85" s="33"/>
      <c r="W85" s="33"/>
      <c r="X85" s="33"/>
    </row>
    <row r="86" spans="1:24" ht="12.75" customHeight="1" x14ac:dyDescent="0.2">
      <c r="A86" s="33"/>
      <c r="B86" s="33"/>
      <c r="C86" s="84"/>
      <c r="D86" s="84"/>
      <c r="E86" s="69"/>
      <c r="F86" s="69"/>
      <c r="G86" s="76"/>
      <c r="H86" s="76"/>
      <c r="I86" s="33"/>
      <c r="J86" s="33"/>
      <c r="K86" s="33"/>
      <c r="L86" s="33"/>
      <c r="M86" s="33"/>
      <c r="N86" s="33"/>
      <c r="O86" s="33"/>
      <c r="P86" s="33"/>
      <c r="Q86" s="33"/>
      <c r="R86" s="33"/>
      <c r="S86" s="33"/>
      <c r="T86" s="33"/>
      <c r="U86" s="33"/>
      <c r="V86" s="33"/>
      <c r="W86" s="33"/>
      <c r="X86" s="33"/>
    </row>
    <row r="87" spans="1:24" ht="12.75" customHeight="1" x14ac:dyDescent="0.2">
      <c r="A87" s="33"/>
      <c r="B87" s="33"/>
      <c r="C87" s="84"/>
      <c r="D87" s="84"/>
      <c r="E87" s="69"/>
      <c r="F87" s="69"/>
      <c r="G87" s="76"/>
      <c r="H87" s="76"/>
      <c r="I87" s="33"/>
      <c r="J87" s="33"/>
      <c r="K87" s="33"/>
      <c r="L87" s="33"/>
      <c r="M87" s="33"/>
      <c r="N87" s="33"/>
      <c r="O87" s="33"/>
      <c r="P87" s="33"/>
      <c r="Q87" s="33"/>
      <c r="R87" s="33"/>
      <c r="S87" s="33"/>
      <c r="T87" s="33"/>
      <c r="U87" s="33"/>
      <c r="V87" s="33"/>
      <c r="W87" s="33"/>
      <c r="X87" s="33"/>
    </row>
    <row r="88" spans="1:24" ht="12.75" customHeight="1" x14ac:dyDescent="0.2">
      <c r="A88" s="33"/>
      <c r="B88" s="33"/>
      <c r="C88" s="84"/>
      <c r="D88" s="84"/>
      <c r="E88" s="69"/>
      <c r="F88" s="69"/>
      <c r="G88" s="76"/>
      <c r="H88" s="76"/>
      <c r="I88" s="33"/>
      <c r="J88" s="33"/>
      <c r="K88" s="33"/>
      <c r="L88" s="33"/>
      <c r="M88" s="33"/>
      <c r="N88" s="33"/>
      <c r="O88" s="33"/>
      <c r="P88" s="33"/>
      <c r="Q88" s="33"/>
      <c r="R88" s="33"/>
      <c r="S88" s="33"/>
      <c r="T88" s="33"/>
      <c r="U88" s="33"/>
      <c r="V88" s="33"/>
      <c r="W88" s="33"/>
      <c r="X88" s="33"/>
    </row>
    <row r="89" spans="1:24" ht="12.75" customHeight="1" x14ac:dyDescent="0.2">
      <c r="A89" s="33"/>
      <c r="B89" s="33"/>
      <c r="C89" s="84"/>
      <c r="D89" s="84"/>
      <c r="E89" s="69"/>
      <c r="F89" s="69"/>
      <c r="G89" s="76"/>
      <c r="H89" s="76"/>
      <c r="I89" s="33"/>
      <c r="J89" s="33"/>
      <c r="K89" s="33"/>
      <c r="L89" s="33"/>
      <c r="M89" s="33"/>
      <c r="N89" s="33"/>
      <c r="O89" s="33"/>
      <c r="P89" s="33"/>
      <c r="Q89" s="33"/>
      <c r="R89" s="33"/>
      <c r="S89" s="33"/>
      <c r="T89" s="33"/>
      <c r="U89" s="33"/>
      <c r="V89" s="33"/>
      <c r="W89" s="33"/>
      <c r="X89" s="33"/>
    </row>
    <row r="90" spans="1:24" ht="12.75" customHeight="1" x14ac:dyDescent="0.2">
      <c r="A90" s="33"/>
      <c r="B90" s="33"/>
      <c r="C90" s="84"/>
      <c r="D90" s="84"/>
      <c r="E90" s="69"/>
      <c r="F90" s="69"/>
      <c r="G90" s="76"/>
      <c r="H90" s="76"/>
      <c r="I90" s="33"/>
      <c r="J90" s="33"/>
      <c r="K90" s="33"/>
      <c r="L90" s="33"/>
      <c r="M90" s="33"/>
      <c r="N90" s="33"/>
      <c r="O90" s="33"/>
      <c r="P90" s="33"/>
      <c r="Q90" s="33"/>
      <c r="R90" s="33"/>
      <c r="S90" s="33"/>
      <c r="T90" s="33"/>
      <c r="U90" s="33"/>
      <c r="V90" s="33"/>
      <c r="W90" s="33"/>
      <c r="X90" s="33"/>
    </row>
    <row r="91" spans="1:24" ht="12.75" customHeight="1" x14ac:dyDescent="0.2">
      <c r="A91" s="33"/>
      <c r="B91" s="33"/>
      <c r="C91" s="84"/>
      <c r="D91" s="84"/>
      <c r="E91" s="69"/>
      <c r="F91" s="69"/>
      <c r="G91" s="76"/>
      <c r="H91" s="76"/>
      <c r="I91" s="33"/>
      <c r="J91" s="33"/>
      <c r="K91" s="33"/>
      <c r="L91" s="33"/>
      <c r="M91" s="33"/>
      <c r="N91" s="33"/>
      <c r="O91" s="33"/>
      <c r="P91" s="33"/>
      <c r="Q91" s="33"/>
      <c r="R91" s="33"/>
      <c r="S91" s="33"/>
      <c r="T91" s="33"/>
      <c r="U91" s="33"/>
      <c r="V91" s="33"/>
      <c r="W91" s="33"/>
      <c r="X91" s="33"/>
    </row>
    <row r="92" spans="1:24" ht="12.75" customHeight="1" x14ac:dyDescent="0.2">
      <c r="A92" s="33"/>
      <c r="B92" s="33"/>
      <c r="C92" s="84"/>
      <c r="D92" s="84"/>
      <c r="E92" s="69"/>
      <c r="F92" s="69"/>
      <c r="G92" s="76"/>
      <c r="H92" s="76"/>
      <c r="I92" s="33"/>
      <c r="J92" s="33"/>
      <c r="K92" s="33"/>
      <c r="L92" s="33"/>
      <c r="M92" s="33"/>
      <c r="N92" s="33"/>
      <c r="O92" s="33"/>
      <c r="P92" s="33"/>
      <c r="Q92" s="33"/>
      <c r="R92" s="33"/>
      <c r="S92" s="33"/>
      <c r="T92" s="33"/>
      <c r="U92" s="33"/>
      <c r="V92" s="33"/>
      <c r="W92" s="33"/>
      <c r="X92" s="33"/>
    </row>
    <row r="93" spans="1:24" ht="12.75" customHeight="1" x14ac:dyDescent="0.2">
      <c r="A93" s="33"/>
      <c r="B93" s="33"/>
      <c r="C93" s="84"/>
      <c r="D93" s="84"/>
      <c r="E93" s="69"/>
      <c r="F93" s="69"/>
      <c r="G93" s="76"/>
      <c r="H93" s="76"/>
      <c r="I93" s="33"/>
      <c r="J93" s="33"/>
      <c r="K93" s="33"/>
      <c r="L93" s="33"/>
      <c r="M93" s="33"/>
      <c r="N93" s="33"/>
      <c r="O93" s="33"/>
      <c r="P93" s="33"/>
      <c r="Q93" s="33"/>
      <c r="R93" s="33"/>
      <c r="S93" s="33"/>
      <c r="T93" s="33"/>
      <c r="U93" s="33"/>
      <c r="V93" s="33"/>
      <c r="W93" s="33"/>
      <c r="X93" s="33"/>
    </row>
    <row r="94" spans="1:24" ht="12.75" customHeight="1" x14ac:dyDescent="0.2">
      <c r="A94" s="33"/>
      <c r="B94" s="33"/>
      <c r="C94" s="84"/>
      <c r="D94" s="84"/>
      <c r="E94" s="69"/>
      <c r="F94" s="69"/>
      <c r="G94" s="76"/>
      <c r="H94" s="76"/>
      <c r="I94" s="33"/>
      <c r="J94" s="33"/>
      <c r="K94" s="33"/>
      <c r="L94" s="33"/>
      <c r="M94" s="33"/>
      <c r="N94" s="33"/>
      <c r="O94" s="33"/>
      <c r="P94" s="33"/>
      <c r="Q94" s="33"/>
      <c r="R94" s="33"/>
      <c r="S94" s="33"/>
      <c r="T94" s="33"/>
      <c r="U94" s="33"/>
      <c r="V94" s="33"/>
      <c r="W94" s="33"/>
      <c r="X94" s="33"/>
    </row>
    <row r="95" spans="1:24" ht="12.75" customHeight="1" x14ac:dyDescent="0.2">
      <c r="A95" s="33"/>
      <c r="B95" s="33"/>
      <c r="C95" s="84"/>
      <c r="D95" s="84"/>
      <c r="E95" s="69"/>
      <c r="F95" s="69"/>
      <c r="G95" s="76"/>
      <c r="H95" s="76"/>
      <c r="I95" s="33"/>
      <c r="J95" s="33"/>
      <c r="K95" s="33"/>
      <c r="L95" s="33"/>
      <c r="M95" s="33"/>
      <c r="N95" s="33"/>
      <c r="O95" s="33"/>
      <c r="P95" s="33"/>
      <c r="Q95" s="33"/>
      <c r="R95" s="33"/>
      <c r="S95" s="33"/>
      <c r="T95" s="33"/>
      <c r="U95" s="33"/>
      <c r="V95" s="33"/>
      <c r="W95" s="33"/>
      <c r="X95" s="33"/>
    </row>
    <row r="96" spans="1:24" ht="12.75" customHeight="1" x14ac:dyDescent="0.2">
      <c r="A96" s="33"/>
      <c r="B96" s="33"/>
      <c r="C96" s="84"/>
      <c r="D96" s="84"/>
      <c r="E96" s="69"/>
      <c r="F96" s="69"/>
      <c r="G96" s="76"/>
      <c r="H96" s="76"/>
      <c r="I96" s="33"/>
      <c r="J96" s="33"/>
      <c r="K96" s="33"/>
      <c r="L96" s="33"/>
      <c r="M96" s="33"/>
      <c r="N96" s="33"/>
      <c r="O96" s="33"/>
      <c r="P96" s="33"/>
      <c r="Q96" s="33"/>
      <c r="R96" s="33"/>
      <c r="S96" s="33"/>
      <c r="T96" s="33"/>
      <c r="U96" s="33"/>
      <c r="V96" s="33"/>
      <c r="W96" s="33"/>
      <c r="X96" s="33"/>
    </row>
    <row r="97" spans="1:24" ht="12.75" customHeight="1" x14ac:dyDescent="0.2">
      <c r="A97" s="33"/>
      <c r="B97" s="33"/>
      <c r="C97" s="84"/>
      <c r="D97" s="84"/>
      <c r="E97" s="69"/>
      <c r="F97" s="69"/>
      <c r="G97" s="76"/>
      <c r="H97" s="76"/>
      <c r="I97" s="33"/>
      <c r="J97" s="33"/>
      <c r="K97" s="33"/>
      <c r="L97" s="33"/>
      <c r="M97" s="33"/>
      <c r="N97" s="33"/>
      <c r="O97" s="33"/>
      <c r="P97" s="33"/>
      <c r="Q97" s="33"/>
      <c r="R97" s="33"/>
      <c r="S97" s="33"/>
      <c r="T97" s="33"/>
      <c r="U97" s="33"/>
      <c r="V97" s="33"/>
      <c r="W97" s="33"/>
      <c r="X97" s="33"/>
    </row>
    <row r="98" spans="1:24" ht="12.75" customHeight="1" x14ac:dyDescent="0.2">
      <c r="A98" s="33"/>
      <c r="B98" s="33"/>
      <c r="C98" s="84"/>
      <c r="D98" s="84"/>
      <c r="E98" s="69"/>
      <c r="F98" s="69"/>
      <c r="G98" s="76"/>
      <c r="H98" s="76"/>
      <c r="I98" s="33"/>
      <c r="J98" s="33"/>
      <c r="K98" s="33"/>
      <c r="L98" s="33"/>
      <c r="M98" s="33"/>
      <c r="N98" s="33"/>
      <c r="O98" s="33"/>
      <c r="P98" s="33"/>
      <c r="Q98" s="33"/>
      <c r="R98" s="33"/>
      <c r="S98" s="33"/>
      <c r="T98" s="33"/>
      <c r="U98" s="33"/>
      <c r="V98" s="33"/>
      <c r="W98" s="33"/>
      <c r="X98" s="33"/>
    </row>
    <row r="99" spans="1:24" ht="12.75" customHeight="1" x14ac:dyDescent="0.2">
      <c r="A99" s="33"/>
      <c r="B99" s="33"/>
      <c r="C99" s="84"/>
      <c r="D99" s="84"/>
      <c r="E99" s="69"/>
      <c r="F99" s="69"/>
      <c r="G99" s="76"/>
      <c r="H99" s="76"/>
      <c r="I99" s="33"/>
      <c r="J99" s="33"/>
      <c r="K99" s="33"/>
      <c r="L99" s="33"/>
      <c r="M99" s="33"/>
      <c r="N99" s="33"/>
      <c r="O99" s="33"/>
      <c r="P99" s="33"/>
      <c r="Q99" s="33"/>
      <c r="R99" s="33"/>
      <c r="S99" s="33"/>
      <c r="T99" s="33"/>
      <c r="U99" s="33"/>
      <c r="V99" s="33"/>
      <c r="W99" s="33"/>
      <c r="X99" s="33"/>
    </row>
    <row r="100" spans="1:24" ht="12.75" customHeight="1" x14ac:dyDescent="0.2">
      <c r="A100" s="33"/>
      <c r="B100" s="33"/>
      <c r="C100" s="84"/>
      <c r="D100" s="84"/>
      <c r="E100" s="69"/>
      <c r="F100" s="69"/>
      <c r="G100" s="76"/>
      <c r="H100" s="76"/>
      <c r="I100" s="33"/>
      <c r="J100" s="33"/>
      <c r="K100" s="33"/>
      <c r="L100" s="33"/>
      <c r="M100" s="33"/>
      <c r="N100" s="33"/>
      <c r="O100" s="33"/>
      <c r="P100" s="33"/>
      <c r="Q100" s="33"/>
      <c r="R100" s="33"/>
      <c r="S100" s="33"/>
      <c r="T100" s="33"/>
      <c r="U100" s="33"/>
      <c r="V100" s="33"/>
      <c r="W100" s="33"/>
      <c r="X100" s="33"/>
    </row>
    <row r="101" spans="1:24" ht="12.75" customHeight="1" x14ac:dyDescent="0.2">
      <c r="A101" s="33"/>
      <c r="B101" s="33"/>
      <c r="C101" s="84"/>
      <c r="D101" s="84"/>
      <c r="E101" s="69"/>
      <c r="F101" s="69"/>
      <c r="G101" s="76"/>
      <c r="H101" s="76"/>
      <c r="I101" s="33"/>
      <c r="J101" s="33"/>
      <c r="K101" s="33"/>
      <c r="L101" s="33"/>
      <c r="M101" s="33"/>
      <c r="N101" s="33"/>
      <c r="O101" s="33"/>
      <c r="P101" s="33"/>
      <c r="Q101" s="33"/>
      <c r="R101" s="33"/>
      <c r="S101" s="33"/>
      <c r="T101" s="33"/>
      <c r="U101" s="33"/>
      <c r="V101" s="33"/>
      <c r="W101" s="33"/>
      <c r="X101" s="33"/>
    </row>
    <row r="102" spans="1:24" ht="12.75" customHeight="1" x14ac:dyDescent="0.2">
      <c r="A102" s="33"/>
      <c r="B102" s="33"/>
      <c r="C102" s="84"/>
      <c r="D102" s="84"/>
      <c r="E102" s="69"/>
      <c r="F102" s="69"/>
      <c r="G102" s="76"/>
      <c r="H102" s="76"/>
      <c r="I102" s="33"/>
      <c r="J102" s="33"/>
      <c r="K102" s="33"/>
      <c r="L102" s="33"/>
      <c r="M102" s="33"/>
      <c r="N102" s="33"/>
      <c r="O102" s="33"/>
      <c r="P102" s="33"/>
      <c r="Q102" s="33"/>
      <c r="R102" s="33"/>
      <c r="S102" s="33"/>
      <c r="T102" s="33"/>
      <c r="U102" s="33"/>
      <c r="V102" s="33"/>
      <c r="W102" s="33"/>
      <c r="X102" s="33"/>
    </row>
    <row r="103" spans="1:24" ht="12.75" customHeight="1" x14ac:dyDescent="0.2">
      <c r="A103" s="33"/>
      <c r="B103" s="33"/>
      <c r="C103" s="84"/>
      <c r="D103" s="84"/>
      <c r="E103" s="69"/>
      <c r="F103" s="69"/>
      <c r="G103" s="76"/>
      <c r="H103" s="76"/>
      <c r="I103" s="33"/>
      <c r="J103" s="33"/>
      <c r="K103" s="33"/>
      <c r="L103" s="33"/>
      <c r="M103" s="33"/>
      <c r="N103" s="33"/>
      <c r="O103" s="33"/>
      <c r="P103" s="33"/>
      <c r="Q103" s="33"/>
      <c r="R103" s="33"/>
      <c r="S103" s="33"/>
      <c r="T103" s="33"/>
      <c r="U103" s="33"/>
      <c r="V103" s="33"/>
      <c r="W103" s="33"/>
      <c r="X103" s="33"/>
    </row>
    <row r="104" spans="1:24" ht="12.75" customHeight="1" x14ac:dyDescent="0.2">
      <c r="A104" s="33"/>
      <c r="B104" s="33"/>
      <c r="C104" s="84"/>
      <c r="D104" s="84"/>
      <c r="E104" s="69"/>
      <c r="F104" s="69"/>
      <c r="G104" s="76"/>
      <c r="H104" s="76"/>
      <c r="I104" s="33"/>
      <c r="J104" s="33"/>
      <c r="K104" s="33"/>
      <c r="L104" s="33"/>
      <c r="M104" s="33"/>
      <c r="N104" s="33"/>
      <c r="O104" s="33"/>
      <c r="P104" s="33"/>
      <c r="Q104" s="33"/>
      <c r="R104" s="33"/>
      <c r="S104" s="33"/>
      <c r="T104" s="33"/>
      <c r="U104" s="33"/>
      <c r="V104" s="33"/>
      <c r="W104" s="33"/>
      <c r="X104" s="33"/>
    </row>
    <row r="105" spans="1:24" ht="12.75" customHeight="1" x14ac:dyDescent="0.2">
      <c r="A105" s="33"/>
      <c r="B105" s="33"/>
      <c r="C105" s="84"/>
      <c r="D105" s="84"/>
      <c r="E105" s="69"/>
      <c r="F105" s="69"/>
      <c r="G105" s="76"/>
      <c r="H105" s="76"/>
      <c r="I105" s="33"/>
      <c r="J105" s="33"/>
      <c r="K105" s="33"/>
      <c r="L105" s="33"/>
      <c r="M105" s="33"/>
      <c r="N105" s="33"/>
      <c r="O105" s="33"/>
      <c r="P105" s="33"/>
      <c r="Q105" s="33"/>
      <c r="R105" s="33"/>
      <c r="S105" s="33"/>
      <c r="T105" s="33"/>
      <c r="U105" s="33"/>
      <c r="V105" s="33"/>
      <c r="W105" s="33"/>
      <c r="X105" s="33"/>
    </row>
    <row r="106" spans="1:24" ht="12.75" customHeight="1" x14ac:dyDescent="0.2">
      <c r="A106" s="33"/>
      <c r="B106" s="33"/>
      <c r="C106" s="84"/>
      <c r="D106" s="84"/>
      <c r="E106" s="69"/>
      <c r="F106" s="69"/>
      <c r="G106" s="76"/>
      <c r="H106" s="76"/>
      <c r="I106" s="33"/>
      <c r="J106" s="33"/>
      <c r="K106" s="33"/>
      <c r="L106" s="33"/>
      <c r="M106" s="33"/>
      <c r="N106" s="33"/>
      <c r="O106" s="33"/>
      <c r="P106" s="33"/>
      <c r="Q106" s="33"/>
      <c r="R106" s="33"/>
      <c r="S106" s="33"/>
      <c r="T106" s="33"/>
      <c r="U106" s="33"/>
      <c r="V106" s="33"/>
      <c r="W106" s="33"/>
      <c r="X106" s="33"/>
    </row>
    <row r="107" spans="1:24" ht="12.75" customHeight="1" x14ac:dyDescent="0.2">
      <c r="A107" s="33"/>
      <c r="B107" s="33"/>
      <c r="C107" s="84"/>
      <c r="D107" s="84"/>
      <c r="E107" s="69"/>
      <c r="F107" s="69"/>
      <c r="G107" s="76"/>
      <c r="H107" s="76"/>
      <c r="I107" s="33"/>
      <c r="J107" s="33"/>
      <c r="K107" s="33"/>
      <c r="L107" s="33"/>
      <c r="M107" s="33"/>
      <c r="N107" s="33"/>
      <c r="O107" s="33"/>
      <c r="P107" s="33"/>
      <c r="Q107" s="33"/>
      <c r="R107" s="33"/>
      <c r="S107" s="33"/>
      <c r="T107" s="33"/>
      <c r="U107" s="33"/>
      <c r="V107" s="33"/>
      <c r="W107" s="33"/>
      <c r="X107" s="33"/>
    </row>
    <row r="108" spans="1:24" ht="12.75" customHeight="1" x14ac:dyDescent="0.2">
      <c r="A108" s="33"/>
      <c r="B108" s="33"/>
      <c r="C108" s="84"/>
      <c r="D108" s="84"/>
      <c r="E108" s="69"/>
      <c r="F108" s="69"/>
      <c r="G108" s="76"/>
      <c r="H108" s="76"/>
      <c r="I108" s="33"/>
      <c r="J108" s="33"/>
      <c r="K108" s="33"/>
      <c r="L108" s="33"/>
      <c r="M108" s="33"/>
      <c r="N108" s="33"/>
      <c r="O108" s="33"/>
      <c r="P108" s="33"/>
      <c r="Q108" s="33"/>
      <c r="R108" s="33"/>
      <c r="S108" s="33"/>
      <c r="T108" s="33"/>
      <c r="U108" s="33"/>
      <c r="V108" s="33"/>
      <c r="W108" s="33"/>
      <c r="X108" s="33"/>
    </row>
    <row r="109" spans="1:24" ht="12.75" customHeight="1" x14ac:dyDescent="0.2">
      <c r="A109" s="33"/>
      <c r="B109" s="33"/>
      <c r="C109" s="84"/>
      <c r="D109" s="84"/>
      <c r="E109" s="69"/>
      <c r="F109" s="69"/>
      <c r="G109" s="76"/>
      <c r="H109" s="76"/>
      <c r="I109" s="33"/>
      <c r="J109" s="33"/>
      <c r="K109" s="33"/>
      <c r="L109" s="33"/>
      <c r="M109" s="33"/>
      <c r="N109" s="33"/>
      <c r="O109" s="33"/>
      <c r="P109" s="33"/>
      <c r="Q109" s="33"/>
      <c r="R109" s="33"/>
      <c r="S109" s="33"/>
      <c r="T109" s="33"/>
      <c r="U109" s="33"/>
      <c r="V109" s="33"/>
      <c r="W109" s="33"/>
      <c r="X109" s="33"/>
    </row>
    <row r="110" spans="1:24" ht="12.75" customHeight="1" x14ac:dyDescent="0.2">
      <c r="A110" s="33"/>
      <c r="B110" s="33"/>
      <c r="C110" s="84"/>
      <c r="D110" s="84"/>
      <c r="E110" s="69"/>
      <c r="F110" s="69"/>
      <c r="G110" s="76"/>
      <c r="H110" s="76"/>
      <c r="I110" s="33"/>
      <c r="J110" s="33"/>
      <c r="K110" s="33"/>
      <c r="L110" s="33"/>
      <c r="M110" s="33"/>
      <c r="N110" s="33"/>
      <c r="O110" s="33"/>
      <c r="P110" s="33"/>
      <c r="Q110" s="33"/>
      <c r="R110" s="33"/>
      <c r="S110" s="33"/>
      <c r="T110" s="33"/>
      <c r="U110" s="33"/>
      <c r="V110" s="33"/>
      <c r="W110" s="33"/>
      <c r="X110" s="33"/>
    </row>
    <row r="111" spans="1:24" ht="12.75" customHeight="1" x14ac:dyDescent="0.2">
      <c r="A111" s="33"/>
      <c r="B111" s="33"/>
      <c r="C111" s="84"/>
      <c r="D111" s="84"/>
      <c r="E111" s="69"/>
      <c r="F111" s="69"/>
      <c r="G111" s="76"/>
      <c r="H111" s="76"/>
      <c r="I111" s="33"/>
      <c r="J111" s="33"/>
      <c r="K111" s="33"/>
      <c r="L111" s="33"/>
      <c r="M111" s="33"/>
      <c r="N111" s="33"/>
      <c r="O111" s="33"/>
      <c r="P111" s="33"/>
      <c r="Q111" s="33"/>
      <c r="R111" s="33"/>
      <c r="S111" s="33"/>
      <c r="T111" s="33"/>
      <c r="U111" s="33"/>
      <c r="V111" s="33"/>
      <c r="W111" s="33"/>
      <c r="X111" s="33"/>
    </row>
    <row r="112" spans="1:24" ht="12.75" customHeight="1" x14ac:dyDescent="0.2">
      <c r="A112" s="33"/>
      <c r="B112" s="33"/>
      <c r="C112" s="84"/>
      <c r="D112" s="84"/>
      <c r="E112" s="69"/>
      <c r="F112" s="69"/>
      <c r="G112" s="76"/>
      <c r="H112" s="76"/>
      <c r="I112" s="33"/>
      <c r="J112" s="33"/>
      <c r="K112" s="33"/>
      <c r="L112" s="33"/>
      <c r="M112" s="33"/>
      <c r="N112" s="33"/>
      <c r="O112" s="33"/>
      <c r="P112" s="33"/>
      <c r="Q112" s="33"/>
      <c r="R112" s="33"/>
      <c r="S112" s="33"/>
      <c r="T112" s="33"/>
      <c r="U112" s="33"/>
      <c r="V112" s="33"/>
      <c r="W112" s="33"/>
      <c r="X112" s="33"/>
    </row>
    <row r="113" spans="1:24" ht="12.75" customHeight="1" x14ac:dyDescent="0.2">
      <c r="A113" s="33"/>
      <c r="B113" s="33"/>
      <c r="C113" s="84"/>
      <c r="D113" s="84"/>
      <c r="E113" s="69"/>
      <c r="F113" s="69"/>
      <c r="G113" s="76"/>
      <c r="H113" s="76"/>
      <c r="I113" s="33"/>
      <c r="J113" s="33"/>
      <c r="K113" s="33"/>
      <c r="L113" s="33"/>
      <c r="M113" s="33"/>
      <c r="N113" s="33"/>
      <c r="O113" s="33"/>
      <c r="P113" s="33"/>
      <c r="Q113" s="33"/>
      <c r="R113" s="33"/>
      <c r="S113" s="33"/>
      <c r="T113" s="33"/>
      <c r="U113" s="33"/>
      <c r="V113" s="33"/>
      <c r="W113" s="33"/>
      <c r="X113" s="33"/>
    </row>
    <row r="114" spans="1:24" ht="12.75" customHeight="1" x14ac:dyDescent="0.2">
      <c r="A114" s="33"/>
      <c r="B114" s="33"/>
      <c r="C114" s="84"/>
      <c r="D114" s="84"/>
      <c r="E114" s="69"/>
      <c r="F114" s="69"/>
      <c r="G114" s="76"/>
      <c r="H114" s="76"/>
      <c r="I114" s="33"/>
      <c r="J114" s="33"/>
      <c r="K114" s="33"/>
      <c r="L114" s="33"/>
      <c r="M114" s="33"/>
      <c r="N114" s="33"/>
      <c r="O114" s="33"/>
      <c r="P114" s="33"/>
      <c r="Q114" s="33"/>
      <c r="R114" s="33"/>
      <c r="S114" s="33"/>
      <c r="T114" s="33"/>
      <c r="U114" s="33"/>
      <c r="V114" s="33"/>
      <c r="W114" s="33"/>
      <c r="X114" s="33"/>
    </row>
    <row r="115" spans="1:24" ht="12.75" customHeight="1" x14ac:dyDescent="0.2">
      <c r="A115" s="33"/>
      <c r="B115" s="33"/>
      <c r="C115" s="84"/>
      <c r="D115" s="84"/>
      <c r="E115" s="69"/>
      <c r="F115" s="69"/>
      <c r="G115" s="76"/>
      <c r="H115" s="76"/>
      <c r="I115" s="33"/>
      <c r="J115" s="33"/>
      <c r="K115" s="33"/>
      <c r="L115" s="33"/>
      <c r="M115" s="33"/>
      <c r="N115" s="33"/>
      <c r="O115" s="33"/>
      <c r="P115" s="33"/>
      <c r="Q115" s="33"/>
      <c r="R115" s="33"/>
      <c r="S115" s="33"/>
      <c r="T115" s="33"/>
      <c r="U115" s="33"/>
      <c r="V115" s="33"/>
      <c r="W115" s="33"/>
      <c r="X115" s="33"/>
    </row>
    <row r="116" spans="1:24" ht="12.75" customHeight="1" x14ac:dyDescent="0.2">
      <c r="A116" s="33"/>
      <c r="B116" s="33"/>
      <c r="C116" s="84"/>
      <c r="D116" s="84"/>
      <c r="E116" s="69"/>
      <c r="F116" s="69"/>
      <c r="G116" s="76"/>
      <c r="H116" s="76"/>
      <c r="I116" s="33"/>
      <c r="J116" s="33"/>
      <c r="K116" s="33"/>
      <c r="L116" s="33"/>
      <c r="M116" s="33"/>
      <c r="N116" s="33"/>
      <c r="O116" s="33"/>
      <c r="P116" s="33"/>
      <c r="Q116" s="33"/>
      <c r="R116" s="33"/>
      <c r="S116" s="33"/>
      <c r="T116" s="33"/>
      <c r="U116" s="33"/>
      <c r="V116" s="33"/>
      <c r="W116" s="33"/>
      <c r="X116" s="33"/>
    </row>
    <row r="117" spans="1:24" ht="12.75" customHeight="1" x14ac:dyDescent="0.2">
      <c r="A117" s="33"/>
      <c r="B117" s="33"/>
      <c r="C117" s="84"/>
      <c r="D117" s="84"/>
      <c r="E117" s="69"/>
      <c r="F117" s="69"/>
      <c r="G117" s="76"/>
      <c r="H117" s="76"/>
      <c r="I117" s="33"/>
      <c r="J117" s="33"/>
      <c r="K117" s="33"/>
      <c r="L117" s="33"/>
      <c r="M117" s="33"/>
      <c r="N117" s="33"/>
      <c r="O117" s="33"/>
      <c r="P117" s="33"/>
      <c r="Q117" s="33"/>
      <c r="R117" s="33"/>
      <c r="S117" s="33"/>
      <c r="T117" s="33"/>
      <c r="U117" s="33"/>
      <c r="V117" s="33"/>
      <c r="W117" s="33"/>
      <c r="X117" s="33"/>
    </row>
    <row r="118" spans="1:24" ht="12.75" customHeight="1" x14ac:dyDescent="0.2">
      <c r="A118" s="33"/>
      <c r="B118" s="33"/>
      <c r="C118" s="84"/>
      <c r="D118" s="84"/>
      <c r="E118" s="69"/>
      <c r="F118" s="69"/>
      <c r="G118" s="76"/>
      <c r="H118" s="76"/>
      <c r="I118" s="33"/>
      <c r="J118" s="33"/>
      <c r="K118" s="33"/>
      <c r="L118" s="33"/>
      <c r="M118" s="33"/>
      <c r="N118" s="33"/>
      <c r="O118" s="33"/>
      <c r="P118" s="33"/>
      <c r="Q118" s="33"/>
      <c r="R118" s="33"/>
      <c r="S118" s="33"/>
      <c r="T118" s="33"/>
      <c r="U118" s="33"/>
      <c r="V118" s="33"/>
      <c r="W118" s="33"/>
      <c r="X118" s="33"/>
    </row>
    <row r="119" spans="1:24" ht="12.75" customHeight="1" x14ac:dyDescent="0.2">
      <c r="A119" s="33"/>
      <c r="B119" s="33"/>
      <c r="C119" s="84"/>
      <c r="D119" s="84"/>
      <c r="E119" s="69"/>
      <c r="F119" s="69"/>
      <c r="G119" s="76"/>
      <c r="H119" s="76"/>
      <c r="I119" s="33"/>
      <c r="J119" s="33"/>
      <c r="K119" s="33"/>
      <c r="L119" s="33"/>
      <c r="M119" s="33"/>
      <c r="N119" s="33"/>
      <c r="O119" s="33"/>
      <c r="P119" s="33"/>
      <c r="Q119" s="33"/>
      <c r="R119" s="33"/>
      <c r="S119" s="33"/>
      <c r="T119" s="33"/>
      <c r="U119" s="33"/>
      <c r="V119" s="33"/>
      <c r="W119" s="33"/>
      <c r="X119" s="33"/>
    </row>
    <row r="120" spans="1:24" ht="12.75" customHeight="1" x14ac:dyDescent="0.2">
      <c r="A120" s="33"/>
      <c r="B120" s="33"/>
      <c r="C120" s="84"/>
      <c r="D120" s="84"/>
      <c r="E120" s="69"/>
      <c r="F120" s="69"/>
      <c r="G120" s="76"/>
      <c r="H120" s="76"/>
      <c r="I120" s="33"/>
      <c r="J120" s="33"/>
      <c r="K120" s="33"/>
      <c r="L120" s="33"/>
      <c r="M120" s="33"/>
      <c r="N120" s="33"/>
      <c r="O120" s="33"/>
      <c r="P120" s="33"/>
      <c r="Q120" s="33"/>
      <c r="R120" s="33"/>
      <c r="S120" s="33"/>
      <c r="T120" s="33"/>
      <c r="U120" s="33"/>
      <c r="V120" s="33"/>
      <c r="W120" s="33"/>
      <c r="X120" s="33"/>
    </row>
    <row r="121" spans="1:24" ht="12.75" customHeight="1" x14ac:dyDescent="0.2">
      <c r="A121" s="33"/>
      <c r="B121" s="33"/>
      <c r="C121" s="84"/>
      <c r="D121" s="84"/>
      <c r="E121" s="69"/>
      <c r="F121" s="69"/>
      <c r="G121" s="76"/>
      <c r="H121" s="76"/>
      <c r="I121" s="33"/>
      <c r="J121" s="33"/>
      <c r="K121" s="33"/>
      <c r="L121" s="33"/>
      <c r="M121" s="33"/>
      <c r="N121" s="33"/>
      <c r="O121" s="33"/>
      <c r="P121" s="33"/>
      <c r="Q121" s="33"/>
      <c r="R121" s="33"/>
      <c r="S121" s="33"/>
      <c r="T121" s="33"/>
      <c r="U121" s="33"/>
      <c r="V121" s="33"/>
      <c r="W121" s="33"/>
      <c r="X121" s="33"/>
    </row>
    <row r="122" spans="1:24" ht="12.75" customHeight="1" x14ac:dyDescent="0.2">
      <c r="A122" s="33"/>
      <c r="B122" s="33"/>
      <c r="C122" s="84"/>
      <c r="D122" s="84"/>
      <c r="E122" s="69"/>
      <c r="F122" s="69"/>
      <c r="G122" s="76"/>
      <c r="H122" s="76"/>
      <c r="I122" s="33"/>
      <c r="J122" s="33"/>
      <c r="K122" s="33"/>
      <c r="L122" s="33"/>
      <c r="M122" s="33"/>
      <c r="N122" s="33"/>
      <c r="O122" s="33"/>
      <c r="P122" s="33"/>
      <c r="Q122" s="33"/>
      <c r="R122" s="33"/>
      <c r="S122" s="33"/>
      <c r="T122" s="33"/>
      <c r="U122" s="33"/>
      <c r="V122" s="33"/>
      <c r="W122" s="33"/>
      <c r="X122" s="33"/>
    </row>
    <row r="123" spans="1:24" ht="12.75" customHeight="1" x14ac:dyDescent="0.2">
      <c r="A123" s="33"/>
      <c r="B123" s="33"/>
      <c r="C123" s="84"/>
      <c r="D123" s="84"/>
      <c r="E123" s="69"/>
      <c r="F123" s="69"/>
      <c r="G123" s="76"/>
      <c r="H123" s="76"/>
      <c r="I123" s="33"/>
      <c r="J123" s="33"/>
      <c r="K123" s="33"/>
      <c r="L123" s="33"/>
      <c r="M123" s="33"/>
      <c r="N123" s="33"/>
      <c r="O123" s="33"/>
      <c r="P123" s="33"/>
      <c r="Q123" s="33"/>
      <c r="R123" s="33"/>
      <c r="S123" s="33"/>
      <c r="T123" s="33"/>
      <c r="U123" s="33"/>
      <c r="V123" s="33"/>
      <c r="W123" s="33"/>
      <c r="X123" s="33"/>
    </row>
    <row r="124" spans="1:24" ht="12.75" customHeight="1" x14ac:dyDescent="0.2">
      <c r="A124" s="33"/>
      <c r="B124" s="33"/>
      <c r="C124" s="84"/>
      <c r="D124" s="84"/>
      <c r="E124" s="69"/>
      <c r="F124" s="69"/>
      <c r="G124" s="76"/>
      <c r="H124" s="76"/>
      <c r="I124" s="33"/>
      <c r="J124" s="33"/>
      <c r="K124" s="33"/>
      <c r="L124" s="33"/>
      <c r="M124" s="33"/>
      <c r="N124" s="33"/>
      <c r="O124" s="33"/>
      <c r="P124" s="33"/>
      <c r="Q124" s="33"/>
      <c r="R124" s="33"/>
      <c r="S124" s="33"/>
      <c r="T124" s="33"/>
      <c r="U124" s="33"/>
      <c r="V124" s="33"/>
      <c r="W124" s="33"/>
      <c r="X124" s="33"/>
    </row>
    <row r="125" spans="1:24" ht="12.75" customHeight="1" x14ac:dyDescent="0.2">
      <c r="A125" s="33"/>
      <c r="B125" s="33"/>
      <c r="C125" s="84"/>
      <c r="D125" s="84"/>
      <c r="E125" s="69"/>
      <c r="F125" s="69"/>
      <c r="G125" s="76"/>
      <c r="H125" s="76"/>
      <c r="I125" s="33"/>
      <c r="J125" s="33"/>
      <c r="K125" s="33"/>
      <c r="L125" s="33"/>
      <c r="M125" s="33"/>
      <c r="N125" s="33"/>
      <c r="O125" s="33"/>
      <c r="P125" s="33"/>
      <c r="Q125" s="33"/>
      <c r="R125" s="33"/>
      <c r="S125" s="33"/>
      <c r="T125" s="33"/>
      <c r="U125" s="33"/>
      <c r="V125" s="33"/>
      <c r="W125" s="33"/>
      <c r="X125" s="33"/>
    </row>
    <row r="126" spans="1:24" ht="12.75" customHeight="1" x14ac:dyDescent="0.2">
      <c r="A126" s="33"/>
      <c r="B126" s="33"/>
      <c r="C126" s="84"/>
      <c r="D126" s="84"/>
      <c r="E126" s="69"/>
      <c r="F126" s="69"/>
      <c r="G126" s="76"/>
      <c r="H126" s="76"/>
      <c r="I126" s="33"/>
      <c r="J126" s="33"/>
      <c r="K126" s="33"/>
      <c r="L126" s="33"/>
      <c r="M126" s="33"/>
      <c r="N126" s="33"/>
      <c r="O126" s="33"/>
      <c r="P126" s="33"/>
      <c r="Q126" s="33"/>
      <c r="R126" s="33"/>
      <c r="S126" s="33"/>
      <c r="T126" s="33"/>
      <c r="U126" s="33"/>
      <c r="V126" s="33"/>
      <c r="W126" s="33"/>
      <c r="X126" s="33"/>
    </row>
    <row r="127" spans="1:24" ht="12.75" customHeight="1" x14ac:dyDescent="0.2">
      <c r="A127" s="33"/>
      <c r="B127" s="33"/>
      <c r="C127" s="84"/>
      <c r="D127" s="84"/>
      <c r="E127" s="69"/>
      <c r="F127" s="69"/>
      <c r="G127" s="76"/>
      <c r="H127" s="76"/>
      <c r="I127" s="33"/>
      <c r="J127" s="33"/>
      <c r="K127" s="33"/>
      <c r="L127" s="33"/>
      <c r="M127" s="33"/>
      <c r="N127" s="33"/>
      <c r="O127" s="33"/>
      <c r="P127" s="33"/>
      <c r="Q127" s="33"/>
      <c r="R127" s="33"/>
      <c r="S127" s="33"/>
      <c r="T127" s="33"/>
      <c r="U127" s="33"/>
      <c r="V127" s="33"/>
      <c r="W127" s="33"/>
      <c r="X127" s="33"/>
    </row>
    <row r="128" spans="1:24" ht="12.75" customHeight="1" x14ac:dyDescent="0.2">
      <c r="A128" s="33"/>
      <c r="B128" s="33"/>
      <c r="C128" s="84"/>
      <c r="D128" s="84"/>
      <c r="E128" s="69"/>
      <c r="F128" s="69"/>
      <c r="G128" s="76"/>
      <c r="H128" s="76"/>
      <c r="I128" s="33"/>
      <c r="J128" s="33"/>
      <c r="K128" s="33"/>
      <c r="L128" s="33"/>
      <c r="M128" s="33"/>
      <c r="N128" s="33"/>
      <c r="O128" s="33"/>
      <c r="P128" s="33"/>
      <c r="Q128" s="33"/>
      <c r="R128" s="33"/>
      <c r="S128" s="33"/>
      <c r="T128" s="33"/>
      <c r="U128" s="33"/>
      <c r="V128" s="33"/>
      <c r="W128" s="33"/>
      <c r="X128" s="33"/>
    </row>
    <row r="129" spans="1:24" ht="12.75" customHeight="1" x14ac:dyDescent="0.2">
      <c r="A129" s="33"/>
      <c r="B129" s="33"/>
      <c r="C129" s="84"/>
      <c r="D129" s="84"/>
      <c r="E129" s="69"/>
      <c r="F129" s="69"/>
      <c r="G129" s="76"/>
      <c r="H129" s="76"/>
      <c r="I129" s="33"/>
      <c r="J129" s="33"/>
      <c r="K129" s="33"/>
      <c r="L129" s="33"/>
      <c r="M129" s="33"/>
      <c r="N129" s="33"/>
      <c r="O129" s="33"/>
      <c r="P129" s="33"/>
      <c r="Q129" s="33"/>
      <c r="R129" s="33"/>
      <c r="S129" s="33"/>
      <c r="T129" s="33"/>
      <c r="U129" s="33"/>
      <c r="V129" s="33"/>
      <c r="W129" s="33"/>
      <c r="X129" s="33"/>
    </row>
    <row r="130" spans="1:24" ht="12.75" customHeight="1" x14ac:dyDescent="0.2">
      <c r="A130" s="33"/>
      <c r="B130" s="33"/>
      <c r="C130" s="84"/>
      <c r="D130" s="84"/>
      <c r="E130" s="69"/>
      <c r="F130" s="69"/>
      <c r="G130" s="76"/>
      <c r="H130" s="76"/>
      <c r="I130" s="33"/>
      <c r="J130" s="33"/>
      <c r="K130" s="33"/>
      <c r="L130" s="33"/>
      <c r="M130" s="33"/>
      <c r="N130" s="33"/>
      <c r="O130" s="33"/>
      <c r="P130" s="33"/>
      <c r="Q130" s="33"/>
      <c r="R130" s="33"/>
      <c r="S130" s="33"/>
      <c r="T130" s="33"/>
      <c r="U130" s="33"/>
      <c r="V130" s="33"/>
      <c r="W130" s="33"/>
      <c r="X130" s="33"/>
    </row>
    <row r="131" spans="1:24" ht="12.75" customHeight="1" x14ac:dyDescent="0.2">
      <c r="A131" s="33"/>
      <c r="B131" s="33"/>
      <c r="C131" s="84"/>
      <c r="D131" s="84"/>
      <c r="E131" s="69"/>
      <c r="F131" s="69"/>
      <c r="G131" s="76"/>
      <c r="H131" s="76"/>
      <c r="I131" s="33"/>
      <c r="J131" s="33"/>
      <c r="K131" s="33"/>
      <c r="L131" s="33"/>
      <c r="M131" s="33"/>
      <c r="N131" s="33"/>
      <c r="O131" s="33"/>
      <c r="P131" s="33"/>
      <c r="Q131" s="33"/>
      <c r="R131" s="33"/>
      <c r="S131" s="33"/>
      <c r="T131" s="33"/>
      <c r="U131" s="33"/>
      <c r="V131" s="33"/>
      <c r="W131" s="33"/>
      <c r="X131" s="33"/>
    </row>
    <row r="132" spans="1:24" ht="12.75" customHeight="1" x14ac:dyDescent="0.2">
      <c r="A132" s="33"/>
      <c r="B132" s="33"/>
      <c r="C132" s="84"/>
      <c r="D132" s="84"/>
      <c r="E132" s="69"/>
      <c r="F132" s="69"/>
      <c r="G132" s="76"/>
      <c r="H132" s="76"/>
      <c r="I132" s="33"/>
      <c r="J132" s="33"/>
      <c r="K132" s="33"/>
      <c r="L132" s="33"/>
      <c r="M132" s="33"/>
      <c r="N132" s="33"/>
      <c r="O132" s="33"/>
      <c r="P132" s="33"/>
      <c r="Q132" s="33"/>
      <c r="R132" s="33"/>
      <c r="S132" s="33"/>
      <c r="T132" s="33"/>
      <c r="U132" s="33"/>
      <c r="V132" s="33"/>
      <c r="W132" s="33"/>
      <c r="X132" s="33"/>
    </row>
    <row r="133" spans="1:24" ht="12.75" customHeight="1" x14ac:dyDescent="0.2">
      <c r="A133" s="33"/>
      <c r="B133" s="33"/>
      <c r="C133" s="84"/>
      <c r="D133" s="84"/>
      <c r="E133" s="69"/>
      <c r="F133" s="69"/>
      <c r="G133" s="76"/>
      <c r="H133" s="76"/>
      <c r="I133" s="33"/>
      <c r="J133" s="33"/>
      <c r="K133" s="33"/>
      <c r="L133" s="33"/>
      <c r="M133" s="33"/>
      <c r="N133" s="33"/>
      <c r="O133" s="33"/>
      <c r="P133" s="33"/>
      <c r="Q133" s="33"/>
      <c r="R133" s="33"/>
      <c r="S133" s="33"/>
      <c r="T133" s="33"/>
      <c r="U133" s="33"/>
      <c r="V133" s="33"/>
      <c r="W133" s="33"/>
      <c r="X133" s="33"/>
    </row>
    <row r="134" spans="1:24" ht="12.75" customHeight="1" x14ac:dyDescent="0.2">
      <c r="A134" s="33"/>
      <c r="B134" s="33"/>
      <c r="C134" s="84"/>
      <c r="D134" s="84"/>
      <c r="E134" s="69"/>
      <c r="F134" s="69"/>
      <c r="G134" s="76"/>
      <c r="H134" s="76"/>
      <c r="I134" s="33"/>
      <c r="J134" s="33"/>
      <c r="K134" s="33"/>
      <c r="L134" s="33"/>
      <c r="M134" s="33"/>
      <c r="N134" s="33"/>
      <c r="O134" s="33"/>
      <c r="P134" s="33"/>
      <c r="Q134" s="33"/>
      <c r="R134" s="33"/>
      <c r="S134" s="33"/>
      <c r="T134" s="33"/>
      <c r="U134" s="33"/>
      <c r="V134" s="33"/>
      <c r="W134" s="33"/>
      <c r="X134" s="33"/>
    </row>
    <row r="135" spans="1:24" ht="12.75" customHeight="1" x14ac:dyDescent="0.2">
      <c r="A135" s="33"/>
      <c r="B135" s="33"/>
      <c r="C135" s="84"/>
      <c r="D135" s="84"/>
      <c r="E135" s="69"/>
      <c r="F135" s="69"/>
      <c r="G135" s="76"/>
      <c r="H135" s="76"/>
      <c r="I135" s="33"/>
      <c r="J135" s="33"/>
      <c r="K135" s="33"/>
      <c r="L135" s="33"/>
      <c r="M135" s="33"/>
      <c r="N135" s="33"/>
      <c r="O135" s="33"/>
      <c r="P135" s="33"/>
      <c r="Q135" s="33"/>
      <c r="R135" s="33"/>
      <c r="S135" s="33"/>
      <c r="T135" s="33"/>
      <c r="U135" s="33"/>
      <c r="V135" s="33"/>
      <c r="W135" s="33"/>
      <c r="X135" s="33"/>
    </row>
    <row r="136" spans="1:24" ht="12.75" customHeight="1" x14ac:dyDescent="0.2">
      <c r="A136" s="33"/>
      <c r="B136" s="33"/>
      <c r="C136" s="84"/>
      <c r="D136" s="84"/>
      <c r="E136" s="69"/>
      <c r="F136" s="69"/>
      <c r="G136" s="76"/>
      <c r="H136" s="76"/>
      <c r="I136" s="33"/>
      <c r="J136" s="33"/>
      <c r="K136" s="33"/>
      <c r="L136" s="33"/>
      <c r="M136" s="33"/>
      <c r="N136" s="33"/>
      <c r="O136" s="33"/>
      <c r="P136" s="33"/>
      <c r="Q136" s="33"/>
      <c r="R136" s="33"/>
      <c r="S136" s="33"/>
      <c r="T136" s="33"/>
      <c r="U136" s="33"/>
      <c r="V136" s="33"/>
      <c r="W136" s="33"/>
      <c r="X136" s="33"/>
    </row>
    <row r="137" spans="1:24" ht="12.75" customHeight="1" x14ac:dyDescent="0.2">
      <c r="A137" s="33"/>
      <c r="B137" s="33"/>
      <c r="C137" s="84"/>
      <c r="D137" s="84"/>
      <c r="E137" s="69"/>
      <c r="F137" s="69"/>
      <c r="G137" s="76"/>
      <c r="H137" s="76"/>
      <c r="I137" s="33"/>
      <c r="J137" s="33"/>
      <c r="K137" s="33"/>
      <c r="L137" s="33"/>
      <c r="M137" s="33"/>
      <c r="N137" s="33"/>
      <c r="O137" s="33"/>
      <c r="P137" s="33"/>
      <c r="Q137" s="33"/>
      <c r="R137" s="33"/>
      <c r="S137" s="33"/>
      <c r="T137" s="33"/>
      <c r="U137" s="33"/>
      <c r="V137" s="33"/>
      <c r="W137" s="33"/>
      <c r="X137" s="33"/>
    </row>
    <row r="138" spans="1:24" ht="12.75" customHeight="1" x14ac:dyDescent="0.2">
      <c r="A138" s="33"/>
      <c r="B138" s="33"/>
      <c r="C138" s="84"/>
      <c r="D138" s="84"/>
      <c r="E138" s="69"/>
      <c r="F138" s="69"/>
      <c r="G138" s="76"/>
      <c r="H138" s="76"/>
      <c r="I138" s="33"/>
      <c r="J138" s="33"/>
      <c r="K138" s="33"/>
      <c r="L138" s="33"/>
      <c r="M138" s="33"/>
      <c r="N138" s="33"/>
      <c r="O138" s="33"/>
      <c r="P138" s="33"/>
      <c r="Q138" s="33"/>
      <c r="R138" s="33"/>
      <c r="S138" s="33"/>
      <c r="T138" s="33"/>
      <c r="U138" s="33"/>
      <c r="V138" s="33"/>
      <c r="W138" s="33"/>
      <c r="X138" s="33"/>
    </row>
    <row r="139" spans="1:24" ht="12.75" customHeight="1" x14ac:dyDescent="0.2">
      <c r="A139" s="33"/>
      <c r="B139" s="33"/>
      <c r="C139" s="84"/>
      <c r="D139" s="84"/>
      <c r="E139" s="69"/>
      <c r="F139" s="69"/>
      <c r="G139" s="76"/>
      <c r="H139" s="76"/>
      <c r="I139" s="33"/>
      <c r="J139" s="33"/>
      <c r="K139" s="33"/>
      <c r="L139" s="33"/>
      <c r="M139" s="33"/>
      <c r="N139" s="33"/>
      <c r="O139" s="33"/>
      <c r="P139" s="33"/>
      <c r="Q139" s="33"/>
      <c r="R139" s="33"/>
      <c r="S139" s="33"/>
      <c r="T139" s="33"/>
      <c r="U139" s="33"/>
      <c r="V139" s="33"/>
      <c r="W139" s="33"/>
      <c r="X139" s="33"/>
    </row>
    <row r="140" spans="1:24" ht="12.75" customHeight="1" x14ac:dyDescent="0.2">
      <c r="A140" s="33"/>
      <c r="B140" s="33"/>
      <c r="C140" s="84"/>
      <c r="D140" s="84"/>
      <c r="E140" s="69"/>
      <c r="F140" s="69"/>
      <c r="G140" s="76"/>
      <c r="H140" s="76"/>
      <c r="I140" s="33"/>
      <c r="J140" s="33"/>
      <c r="K140" s="33"/>
      <c r="L140" s="33"/>
      <c r="M140" s="33"/>
      <c r="N140" s="33"/>
      <c r="O140" s="33"/>
      <c r="P140" s="33"/>
      <c r="Q140" s="33"/>
      <c r="R140" s="33"/>
      <c r="S140" s="33"/>
      <c r="T140" s="33"/>
      <c r="U140" s="33"/>
      <c r="V140" s="33"/>
      <c r="W140" s="33"/>
      <c r="X140" s="33"/>
    </row>
    <row r="141" spans="1:24" ht="12.75" customHeight="1" x14ac:dyDescent="0.2">
      <c r="A141" s="33"/>
      <c r="B141" s="33"/>
      <c r="C141" s="84"/>
      <c r="D141" s="84"/>
      <c r="E141" s="69"/>
      <c r="F141" s="69"/>
      <c r="G141" s="76"/>
      <c r="H141" s="76"/>
      <c r="I141" s="33"/>
      <c r="J141" s="33"/>
      <c r="K141" s="33"/>
      <c r="L141" s="33"/>
      <c r="M141" s="33"/>
      <c r="N141" s="33"/>
      <c r="O141" s="33"/>
      <c r="P141" s="33"/>
      <c r="Q141" s="33"/>
      <c r="R141" s="33"/>
      <c r="S141" s="33"/>
      <c r="T141" s="33"/>
      <c r="U141" s="33"/>
      <c r="V141" s="33"/>
      <c r="W141" s="33"/>
      <c r="X141" s="33"/>
    </row>
    <row r="142" spans="1:24" ht="12.75" customHeight="1" x14ac:dyDescent="0.2">
      <c r="A142" s="33"/>
      <c r="B142" s="33"/>
      <c r="C142" s="84"/>
      <c r="D142" s="84"/>
      <c r="E142" s="69"/>
      <c r="F142" s="69"/>
      <c r="G142" s="76"/>
      <c r="H142" s="76"/>
      <c r="I142" s="33"/>
      <c r="J142" s="33"/>
      <c r="K142" s="33"/>
      <c r="L142" s="33"/>
      <c r="M142" s="33"/>
      <c r="N142" s="33"/>
      <c r="O142" s="33"/>
      <c r="P142" s="33"/>
      <c r="Q142" s="33"/>
      <c r="R142" s="33"/>
      <c r="S142" s="33"/>
      <c r="T142" s="33"/>
      <c r="U142" s="33"/>
      <c r="V142" s="33"/>
      <c r="W142" s="33"/>
      <c r="X142" s="33"/>
    </row>
    <row r="143" spans="1:24" ht="12.75" customHeight="1" x14ac:dyDescent="0.2">
      <c r="A143" s="33"/>
      <c r="B143" s="33"/>
      <c r="C143" s="84"/>
      <c r="D143" s="84"/>
      <c r="E143" s="69"/>
      <c r="F143" s="69"/>
      <c r="G143" s="76"/>
      <c r="H143" s="76"/>
      <c r="I143" s="33"/>
      <c r="J143" s="33"/>
      <c r="K143" s="33"/>
      <c r="L143" s="33"/>
      <c r="M143" s="33"/>
      <c r="N143" s="33"/>
      <c r="O143" s="33"/>
      <c r="P143" s="33"/>
      <c r="Q143" s="33"/>
      <c r="R143" s="33"/>
      <c r="S143" s="33"/>
      <c r="T143" s="33"/>
      <c r="U143" s="33"/>
      <c r="V143" s="33"/>
      <c r="W143" s="33"/>
      <c r="X143" s="33"/>
    </row>
    <row r="144" spans="1:24" ht="12.75" customHeight="1" x14ac:dyDescent="0.2">
      <c r="A144" s="33"/>
      <c r="B144" s="33"/>
      <c r="C144" s="84"/>
      <c r="D144" s="84"/>
      <c r="E144" s="69"/>
      <c r="F144" s="69"/>
      <c r="G144" s="76"/>
      <c r="H144" s="76"/>
      <c r="I144" s="33"/>
      <c r="J144" s="33"/>
      <c r="K144" s="33"/>
      <c r="L144" s="33"/>
      <c r="M144" s="33"/>
      <c r="N144" s="33"/>
      <c r="O144" s="33"/>
      <c r="P144" s="33"/>
      <c r="Q144" s="33"/>
      <c r="R144" s="33"/>
      <c r="S144" s="33"/>
      <c r="T144" s="33"/>
      <c r="U144" s="33"/>
      <c r="V144" s="33"/>
      <c r="W144" s="33"/>
      <c r="X144" s="33"/>
    </row>
    <row r="145" spans="1:24" ht="12.75" customHeight="1" x14ac:dyDescent="0.2">
      <c r="A145" s="33"/>
      <c r="B145" s="33"/>
      <c r="C145" s="84"/>
      <c r="D145" s="84"/>
      <c r="E145" s="69"/>
      <c r="F145" s="69"/>
      <c r="G145" s="76"/>
      <c r="H145" s="76"/>
      <c r="I145" s="33"/>
      <c r="J145" s="33"/>
      <c r="K145" s="33"/>
      <c r="L145" s="33"/>
      <c r="M145" s="33"/>
      <c r="N145" s="33"/>
      <c r="O145" s="33"/>
      <c r="P145" s="33"/>
      <c r="Q145" s="33"/>
      <c r="R145" s="33"/>
      <c r="S145" s="33"/>
      <c r="T145" s="33"/>
      <c r="U145" s="33"/>
      <c r="V145" s="33"/>
      <c r="W145" s="33"/>
      <c r="X145" s="33"/>
    </row>
    <row r="146" spans="1:24" ht="12.75" customHeight="1" x14ac:dyDescent="0.2">
      <c r="A146" s="33"/>
      <c r="B146" s="33"/>
      <c r="C146" s="84"/>
      <c r="D146" s="84"/>
      <c r="E146" s="69"/>
      <c r="F146" s="69"/>
      <c r="G146" s="76"/>
      <c r="H146" s="76"/>
      <c r="I146" s="33"/>
      <c r="J146" s="33"/>
      <c r="K146" s="33"/>
      <c r="L146" s="33"/>
      <c r="M146" s="33"/>
      <c r="N146" s="33"/>
      <c r="O146" s="33"/>
      <c r="P146" s="33"/>
      <c r="Q146" s="33"/>
      <c r="R146" s="33"/>
      <c r="S146" s="33"/>
      <c r="T146" s="33"/>
      <c r="U146" s="33"/>
      <c r="V146" s="33"/>
      <c r="W146" s="33"/>
      <c r="X146" s="33"/>
    </row>
    <row r="147" spans="1:24" ht="12.75" customHeight="1" x14ac:dyDescent="0.2">
      <c r="A147" s="33"/>
      <c r="B147" s="33"/>
      <c r="C147" s="84"/>
      <c r="D147" s="84"/>
      <c r="E147" s="69"/>
      <c r="F147" s="69"/>
      <c r="G147" s="76"/>
      <c r="H147" s="76"/>
      <c r="I147" s="33"/>
      <c r="J147" s="33"/>
      <c r="K147" s="33"/>
      <c r="L147" s="33"/>
      <c r="M147" s="33"/>
      <c r="N147" s="33"/>
      <c r="O147" s="33"/>
      <c r="P147" s="33"/>
      <c r="Q147" s="33"/>
      <c r="R147" s="33"/>
      <c r="S147" s="33"/>
      <c r="T147" s="33"/>
      <c r="U147" s="33"/>
      <c r="V147" s="33"/>
      <c r="W147" s="33"/>
      <c r="X147" s="33"/>
    </row>
    <row r="148" spans="1:24" ht="12.75" customHeight="1" x14ac:dyDescent="0.2">
      <c r="A148" s="33"/>
      <c r="B148" s="33"/>
      <c r="C148" s="84"/>
      <c r="D148" s="84"/>
      <c r="E148" s="69"/>
      <c r="F148" s="69"/>
      <c r="G148" s="76"/>
      <c r="H148" s="76"/>
      <c r="I148" s="33"/>
      <c r="J148" s="33"/>
      <c r="K148" s="33"/>
      <c r="L148" s="33"/>
      <c r="M148" s="33"/>
      <c r="N148" s="33"/>
      <c r="O148" s="33"/>
      <c r="P148" s="33"/>
      <c r="Q148" s="33"/>
      <c r="R148" s="33"/>
      <c r="S148" s="33"/>
      <c r="T148" s="33"/>
      <c r="U148" s="33"/>
      <c r="V148" s="33"/>
      <c r="W148" s="33"/>
      <c r="X148" s="33"/>
    </row>
    <row r="149" spans="1:24" ht="12.75" customHeight="1" x14ac:dyDescent="0.2">
      <c r="A149" s="33"/>
      <c r="B149" s="33"/>
      <c r="C149" s="84"/>
      <c r="D149" s="84"/>
      <c r="E149" s="69"/>
      <c r="F149" s="69"/>
      <c r="G149" s="76"/>
      <c r="H149" s="76"/>
      <c r="I149" s="33"/>
      <c r="J149" s="33"/>
      <c r="K149" s="33"/>
      <c r="L149" s="33"/>
      <c r="M149" s="33"/>
      <c r="N149" s="33"/>
      <c r="O149" s="33"/>
      <c r="P149" s="33"/>
      <c r="Q149" s="33"/>
      <c r="R149" s="33"/>
      <c r="S149" s="33"/>
      <c r="T149" s="33"/>
      <c r="U149" s="33"/>
      <c r="V149" s="33"/>
      <c r="W149" s="33"/>
      <c r="X149" s="33"/>
    </row>
    <row r="150" spans="1:24" ht="12.75" customHeight="1" x14ac:dyDescent="0.2">
      <c r="A150" s="33"/>
      <c r="B150" s="33"/>
      <c r="C150" s="84"/>
      <c r="D150" s="84"/>
      <c r="E150" s="69"/>
      <c r="F150" s="69"/>
      <c r="G150" s="76"/>
      <c r="H150" s="76"/>
      <c r="I150" s="33"/>
      <c r="J150" s="33"/>
      <c r="K150" s="33"/>
      <c r="L150" s="33"/>
      <c r="M150" s="33"/>
      <c r="N150" s="33"/>
      <c r="O150" s="33"/>
      <c r="P150" s="33"/>
      <c r="Q150" s="33"/>
      <c r="R150" s="33"/>
      <c r="S150" s="33"/>
      <c r="T150" s="33"/>
      <c r="U150" s="33"/>
      <c r="V150" s="33"/>
      <c r="W150" s="33"/>
      <c r="X150" s="33"/>
    </row>
    <row r="151" spans="1:24" ht="12.75" customHeight="1" x14ac:dyDescent="0.2">
      <c r="A151" s="33"/>
      <c r="B151" s="33"/>
      <c r="C151" s="84"/>
      <c r="D151" s="84"/>
      <c r="E151" s="69"/>
      <c r="F151" s="69"/>
      <c r="G151" s="76"/>
      <c r="H151" s="76"/>
      <c r="I151" s="33"/>
      <c r="J151" s="33"/>
      <c r="K151" s="33"/>
      <c r="L151" s="33"/>
      <c r="M151" s="33"/>
      <c r="N151" s="33"/>
      <c r="O151" s="33"/>
      <c r="P151" s="33"/>
      <c r="Q151" s="33"/>
      <c r="R151" s="33"/>
      <c r="S151" s="33"/>
      <c r="T151" s="33"/>
      <c r="U151" s="33"/>
      <c r="V151" s="33"/>
      <c r="W151" s="33"/>
      <c r="X151" s="33"/>
    </row>
    <row r="152" spans="1:24" ht="12.75" customHeight="1" x14ac:dyDescent="0.2">
      <c r="A152" s="33"/>
      <c r="B152" s="33"/>
      <c r="C152" s="84"/>
      <c r="D152" s="84"/>
      <c r="E152" s="69"/>
      <c r="F152" s="69"/>
      <c r="G152" s="76"/>
      <c r="H152" s="76"/>
      <c r="I152" s="33"/>
      <c r="J152" s="33"/>
      <c r="K152" s="33"/>
      <c r="L152" s="33"/>
      <c r="M152" s="33"/>
      <c r="N152" s="33"/>
      <c r="O152" s="33"/>
      <c r="P152" s="33"/>
      <c r="Q152" s="33"/>
      <c r="R152" s="33"/>
      <c r="S152" s="33"/>
      <c r="T152" s="33"/>
      <c r="U152" s="33"/>
      <c r="V152" s="33"/>
      <c r="W152" s="33"/>
      <c r="X152" s="33"/>
    </row>
    <row r="153" spans="1:24" ht="12.75" customHeight="1" x14ac:dyDescent="0.2">
      <c r="A153" s="33"/>
      <c r="B153" s="33"/>
      <c r="C153" s="84"/>
      <c r="D153" s="84"/>
      <c r="E153" s="69"/>
      <c r="F153" s="69"/>
      <c r="G153" s="76"/>
      <c r="H153" s="76"/>
      <c r="I153" s="33"/>
      <c r="J153" s="33"/>
      <c r="K153" s="33"/>
      <c r="L153" s="33"/>
      <c r="M153" s="33"/>
      <c r="N153" s="33"/>
      <c r="O153" s="33"/>
      <c r="P153" s="33"/>
      <c r="Q153" s="33"/>
      <c r="R153" s="33"/>
      <c r="S153" s="33"/>
      <c r="T153" s="33"/>
      <c r="U153" s="33"/>
      <c r="V153" s="33"/>
      <c r="W153" s="33"/>
      <c r="X153" s="33"/>
    </row>
    <row r="154" spans="1:24" ht="12.75" customHeight="1" x14ac:dyDescent="0.2">
      <c r="A154" s="33"/>
      <c r="B154" s="33"/>
      <c r="C154" s="84"/>
      <c r="D154" s="84"/>
      <c r="E154" s="69"/>
      <c r="F154" s="69"/>
      <c r="G154" s="76"/>
      <c r="H154" s="76"/>
      <c r="I154" s="33"/>
      <c r="J154" s="33"/>
      <c r="K154" s="33"/>
      <c r="L154" s="33"/>
      <c r="M154" s="33"/>
      <c r="N154" s="33"/>
      <c r="O154" s="33"/>
      <c r="P154" s="33"/>
      <c r="Q154" s="33"/>
      <c r="R154" s="33"/>
      <c r="S154" s="33"/>
      <c r="T154" s="33"/>
      <c r="U154" s="33"/>
      <c r="V154" s="33"/>
      <c r="W154" s="33"/>
      <c r="X154" s="33"/>
    </row>
    <row r="155" spans="1:24" ht="12.75" customHeight="1" x14ac:dyDescent="0.2">
      <c r="A155" s="33"/>
      <c r="B155" s="33"/>
      <c r="C155" s="84"/>
      <c r="D155" s="84"/>
      <c r="E155" s="69"/>
      <c r="F155" s="69"/>
      <c r="G155" s="76"/>
      <c r="H155" s="76"/>
      <c r="I155" s="33"/>
      <c r="J155" s="33"/>
      <c r="K155" s="33"/>
      <c r="L155" s="33"/>
      <c r="M155" s="33"/>
      <c r="N155" s="33"/>
      <c r="O155" s="33"/>
      <c r="P155" s="33"/>
      <c r="Q155" s="33"/>
      <c r="R155" s="33"/>
      <c r="S155" s="33"/>
      <c r="T155" s="33"/>
      <c r="U155" s="33"/>
      <c r="V155" s="33"/>
      <c r="W155" s="33"/>
      <c r="X155" s="33"/>
    </row>
    <row r="156" spans="1:24" ht="12.75" customHeight="1" x14ac:dyDescent="0.2">
      <c r="A156" s="33"/>
      <c r="B156" s="33"/>
      <c r="C156" s="84"/>
      <c r="D156" s="84"/>
      <c r="E156" s="69"/>
      <c r="F156" s="69"/>
      <c r="G156" s="76"/>
      <c r="H156" s="76"/>
      <c r="I156" s="33"/>
      <c r="J156" s="33"/>
      <c r="K156" s="33"/>
      <c r="L156" s="33"/>
      <c r="M156" s="33"/>
      <c r="N156" s="33"/>
      <c r="O156" s="33"/>
      <c r="P156" s="33"/>
      <c r="Q156" s="33"/>
      <c r="R156" s="33"/>
      <c r="S156" s="33"/>
      <c r="T156" s="33"/>
      <c r="U156" s="33"/>
      <c r="V156" s="33"/>
      <c r="W156" s="33"/>
      <c r="X156" s="33"/>
    </row>
    <row r="157" spans="1:24" ht="12.75" customHeight="1" x14ac:dyDescent="0.2">
      <c r="A157" s="33"/>
      <c r="B157" s="33"/>
      <c r="C157" s="84"/>
      <c r="D157" s="84"/>
      <c r="E157" s="69"/>
      <c r="F157" s="69"/>
      <c r="G157" s="76"/>
      <c r="H157" s="76"/>
      <c r="I157" s="33"/>
      <c r="J157" s="33"/>
      <c r="K157" s="33"/>
      <c r="L157" s="33"/>
      <c r="M157" s="33"/>
      <c r="N157" s="33"/>
      <c r="O157" s="33"/>
      <c r="P157" s="33"/>
      <c r="Q157" s="33"/>
      <c r="R157" s="33"/>
      <c r="S157" s="33"/>
      <c r="T157" s="33"/>
      <c r="U157" s="33"/>
      <c r="V157" s="33"/>
      <c r="W157" s="33"/>
      <c r="X157" s="33"/>
    </row>
    <row r="158" spans="1:24" ht="12.75" customHeight="1" x14ac:dyDescent="0.2">
      <c r="A158" s="33"/>
      <c r="B158" s="33"/>
      <c r="C158" s="84"/>
      <c r="D158" s="84"/>
      <c r="E158" s="69"/>
      <c r="F158" s="69"/>
      <c r="G158" s="76"/>
      <c r="H158" s="76"/>
      <c r="I158" s="33"/>
      <c r="J158" s="33"/>
      <c r="K158" s="33"/>
      <c r="L158" s="33"/>
      <c r="M158" s="33"/>
      <c r="N158" s="33"/>
      <c r="O158" s="33"/>
      <c r="P158" s="33"/>
      <c r="Q158" s="33"/>
      <c r="R158" s="33"/>
      <c r="S158" s="33"/>
      <c r="T158" s="33"/>
      <c r="U158" s="33"/>
      <c r="V158" s="33"/>
      <c r="W158" s="33"/>
      <c r="X158" s="33"/>
    </row>
    <row r="159" spans="1:24" ht="12.75" customHeight="1" x14ac:dyDescent="0.2">
      <c r="A159" s="33"/>
      <c r="B159" s="33"/>
      <c r="C159" s="84"/>
      <c r="D159" s="84"/>
      <c r="E159" s="69"/>
      <c r="F159" s="69"/>
      <c r="G159" s="76"/>
      <c r="H159" s="76"/>
      <c r="I159" s="33"/>
      <c r="J159" s="33"/>
      <c r="K159" s="33"/>
      <c r="L159" s="33"/>
      <c r="M159" s="33"/>
      <c r="N159" s="33"/>
      <c r="O159" s="33"/>
      <c r="P159" s="33"/>
      <c r="Q159" s="33"/>
      <c r="R159" s="33"/>
      <c r="S159" s="33"/>
      <c r="T159" s="33"/>
      <c r="U159" s="33"/>
      <c r="V159" s="33"/>
      <c r="W159" s="33"/>
      <c r="X159" s="33"/>
    </row>
    <row r="160" spans="1:24" ht="12.75" customHeight="1" x14ac:dyDescent="0.2">
      <c r="A160" s="33"/>
      <c r="B160" s="33"/>
      <c r="C160" s="84"/>
      <c r="D160" s="84"/>
      <c r="E160" s="69"/>
      <c r="F160" s="69"/>
      <c r="G160" s="76"/>
      <c r="H160" s="76"/>
      <c r="I160" s="33"/>
      <c r="J160" s="33"/>
      <c r="K160" s="33"/>
      <c r="L160" s="33"/>
      <c r="M160" s="33"/>
      <c r="N160" s="33"/>
      <c r="O160" s="33"/>
      <c r="P160" s="33"/>
      <c r="Q160" s="33"/>
      <c r="R160" s="33"/>
      <c r="S160" s="33"/>
      <c r="T160" s="33"/>
      <c r="U160" s="33"/>
      <c r="V160" s="33"/>
      <c r="W160" s="33"/>
      <c r="X160" s="33"/>
    </row>
    <row r="161" spans="1:24" ht="12.75" customHeight="1" x14ac:dyDescent="0.2">
      <c r="A161" s="33"/>
      <c r="B161" s="33"/>
      <c r="C161" s="84"/>
      <c r="D161" s="84"/>
      <c r="E161" s="69"/>
      <c r="F161" s="69"/>
      <c r="G161" s="76"/>
      <c r="H161" s="76"/>
      <c r="I161" s="33"/>
      <c r="J161" s="33"/>
      <c r="K161" s="33"/>
      <c r="L161" s="33"/>
      <c r="M161" s="33"/>
      <c r="N161" s="33"/>
      <c r="O161" s="33"/>
      <c r="P161" s="33"/>
      <c r="Q161" s="33"/>
      <c r="R161" s="33"/>
      <c r="S161" s="33"/>
      <c r="T161" s="33"/>
      <c r="U161" s="33"/>
      <c r="V161" s="33"/>
      <c r="W161" s="33"/>
      <c r="X161" s="33"/>
    </row>
    <row r="162" spans="1:24" ht="12.75" customHeight="1" x14ac:dyDescent="0.2">
      <c r="A162" s="33"/>
      <c r="B162" s="33"/>
      <c r="C162" s="84"/>
      <c r="D162" s="84"/>
      <c r="E162" s="69"/>
      <c r="F162" s="69"/>
      <c r="G162" s="76"/>
      <c r="H162" s="76"/>
      <c r="I162" s="33"/>
      <c r="J162" s="33"/>
      <c r="K162" s="33"/>
      <c r="L162" s="33"/>
      <c r="M162" s="33"/>
      <c r="N162" s="33"/>
      <c r="O162" s="33"/>
      <c r="P162" s="33"/>
      <c r="Q162" s="33"/>
      <c r="R162" s="33"/>
      <c r="S162" s="33"/>
      <c r="T162" s="33"/>
      <c r="U162" s="33"/>
      <c r="V162" s="33"/>
      <c r="W162" s="33"/>
      <c r="X162" s="33"/>
    </row>
    <row r="163" spans="1:24" ht="12.75" customHeight="1" x14ac:dyDescent="0.2">
      <c r="A163" s="33"/>
      <c r="B163" s="33"/>
      <c r="C163" s="84"/>
      <c r="D163" s="84"/>
      <c r="E163" s="69"/>
      <c r="F163" s="69"/>
      <c r="G163" s="76"/>
      <c r="H163" s="76"/>
      <c r="I163" s="33"/>
      <c r="J163" s="33"/>
      <c r="K163" s="33"/>
      <c r="L163" s="33"/>
      <c r="M163" s="33"/>
      <c r="N163" s="33"/>
      <c r="O163" s="33"/>
      <c r="P163" s="33"/>
      <c r="Q163" s="33"/>
      <c r="R163" s="33"/>
      <c r="S163" s="33"/>
      <c r="T163" s="33"/>
      <c r="U163" s="33"/>
      <c r="V163" s="33"/>
      <c r="W163" s="33"/>
      <c r="X163" s="33"/>
    </row>
    <row r="164" spans="1:24" ht="12.75" customHeight="1" x14ac:dyDescent="0.2">
      <c r="A164" s="33"/>
      <c r="B164" s="33"/>
      <c r="C164" s="84"/>
      <c r="D164" s="84"/>
      <c r="E164" s="69"/>
      <c r="F164" s="69"/>
      <c r="G164" s="76"/>
      <c r="H164" s="76"/>
      <c r="I164" s="33"/>
      <c r="J164" s="33"/>
      <c r="K164" s="33"/>
      <c r="L164" s="33"/>
      <c r="M164" s="33"/>
      <c r="N164" s="33"/>
      <c r="O164" s="33"/>
      <c r="P164" s="33"/>
      <c r="Q164" s="33"/>
      <c r="R164" s="33"/>
      <c r="S164" s="33"/>
      <c r="T164" s="33"/>
      <c r="U164" s="33"/>
      <c r="V164" s="33"/>
      <c r="W164" s="33"/>
      <c r="X164" s="33"/>
    </row>
    <row r="165" spans="1:24" ht="12.75" customHeight="1" x14ac:dyDescent="0.2">
      <c r="A165" s="33"/>
      <c r="B165" s="33"/>
      <c r="C165" s="84"/>
      <c r="D165" s="84"/>
      <c r="E165" s="69"/>
      <c r="F165" s="69"/>
      <c r="G165" s="76"/>
      <c r="H165" s="76"/>
      <c r="I165" s="33"/>
      <c r="J165" s="33"/>
      <c r="K165" s="33"/>
      <c r="L165" s="33"/>
      <c r="M165" s="33"/>
      <c r="N165" s="33"/>
      <c r="O165" s="33"/>
      <c r="P165" s="33"/>
      <c r="Q165" s="33"/>
      <c r="R165" s="33"/>
      <c r="S165" s="33"/>
      <c r="T165" s="33"/>
      <c r="U165" s="33"/>
      <c r="V165" s="33"/>
      <c r="W165" s="33"/>
      <c r="X165" s="33"/>
    </row>
    <row r="166" spans="1:24" ht="12.75" customHeight="1" x14ac:dyDescent="0.2">
      <c r="A166" s="33"/>
      <c r="B166" s="33"/>
      <c r="C166" s="84"/>
      <c r="D166" s="84"/>
      <c r="E166" s="69"/>
      <c r="F166" s="69"/>
      <c r="G166" s="76"/>
      <c r="H166" s="76"/>
      <c r="I166" s="33"/>
      <c r="J166" s="33"/>
      <c r="K166" s="33"/>
      <c r="L166" s="33"/>
      <c r="M166" s="33"/>
      <c r="N166" s="33"/>
      <c r="O166" s="33"/>
      <c r="P166" s="33"/>
      <c r="Q166" s="33"/>
      <c r="R166" s="33"/>
      <c r="S166" s="33"/>
      <c r="T166" s="33"/>
      <c r="U166" s="33"/>
      <c r="V166" s="33"/>
      <c r="W166" s="33"/>
      <c r="X166" s="33"/>
    </row>
    <row r="167" spans="1:24" ht="12.75" customHeight="1" x14ac:dyDescent="0.2">
      <c r="A167" s="33"/>
      <c r="B167" s="33"/>
      <c r="C167" s="84"/>
      <c r="D167" s="84"/>
      <c r="E167" s="69"/>
      <c r="F167" s="69"/>
      <c r="G167" s="76"/>
      <c r="H167" s="76"/>
      <c r="I167" s="33"/>
      <c r="J167" s="33"/>
      <c r="K167" s="33"/>
      <c r="L167" s="33"/>
      <c r="M167" s="33"/>
      <c r="N167" s="33"/>
      <c r="O167" s="33"/>
      <c r="P167" s="33"/>
      <c r="Q167" s="33"/>
      <c r="R167" s="33"/>
      <c r="S167" s="33"/>
      <c r="T167" s="33"/>
      <c r="U167" s="33"/>
      <c r="V167" s="33"/>
      <c r="W167" s="33"/>
      <c r="X167" s="33"/>
    </row>
    <row r="168" spans="1:24" ht="12.75" customHeight="1" x14ac:dyDescent="0.2">
      <c r="A168" s="33"/>
      <c r="B168" s="33"/>
      <c r="C168" s="84"/>
      <c r="D168" s="84"/>
      <c r="E168" s="69"/>
      <c r="F168" s="69"/>
      <c r="G168" s="76"/>
      <c r="H168" s="76"/>
      <c r="I168" s="33"/>
      <c r="J168" s="33"/>
      <c r="K168" s="33"/>
      <c r="L168" s="33"/>
      <c r="M168" s="33"/>
      <c r="N168" s="33"/>
      <c r="O168" s="33"/>
      <c r="P168" s="33"/>
      <c r="Q168" s="33"/>
      <c r="R168" s="33"/>
      <c r="S168" s="33"/>
      <c r="T168" s="33"/>
      <c r="U168" s="33"/>
      <c r="V168" s="33"/>
      <c r="W168" s="33"/>
      <c r="X168" s="33"/>
    </row>
    <row r="169" spans="1:24" ht="12.75" customHeight="1" x14ac:dyDescent="0.2">
      <c r="A169" s="33"/>
      <c r="B169" s="33"/>
      <c r="C169" s="84"/>
      <c r="D169" s="84"/>
      <c r="E169" s="69"/>
      <c r="F169" s="69"/>
      <c r="G169" s="76"/>
      <c r="H169" s="76"/>
      <c r="I169" s="33"/>
      <c r="J169" s="33"/>
      <c r="K169" s="33"/>
      <c r="L169" s="33"/>
      <c r="M169" s="33"/>
      <c r="N169" s="33"/>
      <c r="O169" s="33"/>
      <c r="P169" s="33"/>
      <c r="Q169" s="33"/>
      <c r="R169" s="33"/>
      <c r="S169" s="33"/>
      <c r="T169" s="33"/>
      <c r="U169" s="33"/>
      <c r="V169" s="33"/>
      <c r="W169" s="33"/>
      <c r="X169" s="33"/>
    </row>
    <row r="170" spans="1:24" ht="12.75" customHeight="1" x14ac:dyDescent="0.2">
      <c r="A170" s="33"/>
      <c r="B170" s="33"/>
      <c r="C170" s="84"/>
      <c r="D170" s="84"/>
      <c r="E170" s="69"/>
      <c r="F170" s="69"/>
      <c r="G170" s="76"/>
      <c r="H170" s="76"/>
      <c r="I170" s="33"/>
      <c r="J170" s="33"/>
      <c r="K170" s="33"/>
      <c r="L170" s="33"/>
      <c r="M170" s="33"/>
      <c r="N170" s="33"/>
      <c r="O170" s="33"/>
      <c r="P170" s="33"/>
      <c r="Q170" s="33"/>
      <c r="R170" s="33"/>
      <c r="S170" s="33"/>
      <c r="T170" s="33"/>
      <c r="U170" s="33"/>
      <c r="V170" s="33"/>
      <c r="W170" s="33"/>
      <c r="X170" s="33"/>
    </row>
    <row r="171" spans="1:24" ht="12.75" customHeight="1" x14ac:dyDescent="0.2">
      <c r="A171" s="33"/>
      <c r="B171" s="33"/>
      <c r="C171" s="84"/>
      <c r="D171" s="84"/>
      <c r="E171" s="69"/>
      <c r="F171" s="69"/>
      <c r="G171" s="76"/>
      <c r="H171" s="76"/>
      <c r="I171" s="33"/>
      <c r="J171" s="33"/>
      <c r="K171" s="33"/>
      <c r="L171" s="33"/>
      <c r="M171" s="33"/>
      <c r="N171" s="33"/>
      <c r="O171" s="33"/>
      <c r="P171" s="33"/>
      <c r="Q171" s="33"/>
      <c r="R171" s="33"/>
      <c r="S171" s="33"/>
      <c r="T171" s="33"/>
      <c r="U171" s="33"/>
      <c r="V171" s="33"/>
      <c r="W171" s="33"/>
      <c r="X171" s="33"/>
    </row>
    <row r="172" spans="1:24" ht="12.75" customHeight="1" x14ac:dyDescent="0.2">
      <c r="A172" s="33"/>
      <c r="B172" s="33"/>
      <c r="C172" s="84"/>
      <c r="D172" s="84"/>
      <c r="E172" s="69"/>
      <c r="F172" s="69"/>
      <c r="G172" s="76"/>
      <c r="H172" s="76"/>
      <c r="I172" s="33"/>
      <c r="J172" s="33"/>
      <c r="K172" s="33"/>
      <c r="L172" s="33"/>
      <c r="M172" s="33"/>
      <c r="N172" s="33"/>
      <c r="O172" s="33"/>
      <c r="P172" s="33"/>
      <c r="Q172" s="33"/>
      <c r="R172" s="33"/>
      <c r="S172" s="33"/>
      <c r="T172" s="33"/>
      <c r="U172" s="33"/>
      <c r="V172" s="33"/>
      <c r="W172" s="33"/>
      <c r="X172" s="33"/>
    </row>
    <row r="173" spans="1:24" ht="12.75" customHeight="1" x14ac:dyDescent="0.2">
      <c r="A173" s="33"/>
      <c r="B173" s="33"/>
      <c r="C173" s="84"/>
      <c r="D173" s="84"/>
      <c r="E173" s="69"/>
      <c r="F173" s="69"/>
      <c r="G173" s="76"/>
      <c r="H173" s="76"/>
      <c r="I173" s="33"/>
      <c r="J173" s="33"/>
      <c r="K173" s="33"/>
      <c r="L173" s="33"/>
      <c r="M173" s="33"/>
      <c r="N173" s="33"/>
      <c r="O173" s="33"/>
      <c r="P173" s="33"/>
      <c r="Q173" s="33"/>
      <c r="R173" s="33"/>
      <c r="S173" s="33"/>
      <c r="T173" s="33"/>
      <c r="U173" s="33"/>
      <c r="V173" s="33"/>
      <c r="W173" s="33"/>
      <c r="X173" s="33"/>
    </row>
    <row r="174" spans="1:24" ht="12.75" customHeight="1" x14ac:dyDescent="0.2">
      <c r="A174" s="33"/>
      <c r="B174" s="33"/>
      <c r="C174" s="84"/>
      <c r="D174" s="84"/>
      <c r="E174" s="69"/>
      <c r="F174" s="69"/>
      <c r="G174" s="76"/>
      <c r="H174" s="76"/>
      <c r="I174" s="33"/>
      <c r="J174" s="33"/>
      <c r="K174" s="33"/>
      <c r="L174" s="33"/>
      <c r="M174" s="33"/>
      <c r="N174" s="33"/>
      <c r="O174" s="33"/>
      <c r="P174" s="33"/>
      <c r="Q174" s="33"/>
      <c r="R174" s="33"/>
      <c r="S174" s="33"/>
      <c r="T174" s="33"/>
      <c r="U174" s="33"/>
      <c r="V174" s="33"/>
      <c r="W174" s="33"/>
      <c r="X174" s="33"/>
    </row>
    <row r="175" spans="1:24" ht="12.75" customHeight="1" x14ac:dyDescent="0.2">
      <c r="A175" s="33"/>
      <c r="B175" s="33"/>
      <c r="C175" s="84"/>
      <c r="D175" s="84"/>
      <c r="E175" s="69"/>
      <c r="F175" s="69"/>
      <c r="G175" s="76"/>
      <c r="H175" s="76"/>
      <c r="I175" s="33"/>
      <c r="J175" s="33"/>
      <c r="K175" s="33"/>
      <c r="L175" s="33"/>
      <c r="M175" s="33"/>
      <c r="N175" s="33"/>
      <c r="O175" s="33"/>
      <c r="P175" s="33"/>
      <c r="Q175" s="33"/>
      <c r="R175" s="33"/>
      <c r="S175" s="33"/>
      <c r="T175" s="33"/>
      <c r="U175" s="33"/>
      <c r="V175" s="33"/>
      <c r="W175" s="33"/>
      <c r="X175" s="33"/>
    </row>
    <row r="176" spans="1:24" ht="12.75" customHeight="1" x14ac:dyDescent="0.2">
      <c r="A176" s="33"/>
      <c r="B176" s="33"/>
      <c r="C176" s="84"/>
      <c r="D176" s="84"/>
      <c r="E176" s="69"/>
      <c r="F176" s="69"/>
      <c r="G176" s="76"/>
      <c r="H176" s="76"/>
      <c r="I176" s="33"/>
      <c r="J176" s="33"/>
      <c r="K176" s="33"/>
      <c r="L176" s="33"/>
      <c r="M176" s="33"/>
      <c r="N176" s="33"/>
      <c r="O176" s="33"/>
      <c r="P176" s="33"/>
      <c r="Q176" s="33"/>
      <c r="R176" s="33"/>
      <c r="S176" s="33"/>
      <c r="T176" s="33"/>
      <c r="U176" s="33"/>
      <c r="V176" s="33"/>
      <c r="W176" s="33"/>
      <c r="X176" s="33"/>
    </row>
    <row r="177" spans="1:24" ht="12.75" customHeight="1" x14ac:dyDescent="0.2">
      <c r="A177" s="33"/>
      <c r="B177" s="33"/>
      <c r="C177" s="84"/>
      <c r="D177" s="84"/>
      <c r="E177" s="69"/>
      <c r="F177" s="69"/>
      <c r="G177" s="76"/>
      <c r="H177" s="76"/>
      <c r="I177" s="33"/>
      <c r="J177" s="33"/>
      <c r="K177" s="33"/>
      <c r="L177" s="33"/>
      <c r="M177" s="33"/>
      <c r="N177" s="33"/>
      <c r="O177" s="33"/>
      <c r="P177" s="33"/>
      <c r="Q177" s="33"/>
      <c r="R177" s="33"/>
      <c r="S177" s="33"/>
      <c r="T177" s="33"/>
      <c r="U177" s="33"/>
      <c r="V177" s="33"/>
      <c r="W177" s="33"/>
      <c r="X177" s="33"/>
    </row>
    <row r="178" spans="1:24" ht="12.75" customHeight="1" x14ac:dyDescent="0.2">
      <c r="A178" s="33"/>
      <c r="B178" s="33"/>
      <c r="C178" s="84"/>
      <c r="D178" s="84"/>
      <c r="E178" s="69"/>
      <c r="F178" s="69"/>
      <c r="G178" s="76"/>
      <c r="H178" s="76"/>
      <c r="I178" s="33"/>
      <c r="J178" s="33"/>
      <c r="K178" s="33"/>
      <c r="L178" s="33"/>
      <c r="M178" s="33"/>
      <c r="N178" s="33"/>
      <c r="O178" s="33"/>
      <c r="P178" s="33"/>
      <c r="Q178" s="33"/>
      <c r="R178" s="33"/>
      <c r="S178" s="33"/>
      <c r="T178" s="33"/>
      <c r="U178" s="33"/>
      <c r="V178" s="33"/>
      <c r="W178" s="33"/>
      <c r="X178" s="33"/>
    </row>
    <row r="179" spans="1:24" ht="12.75" customHeight="1" x14ac:dyDescent="0.2">
      <c r="A179" s="33"/>
      <c r="B179" s="33"/>
      <c r="C179" s="84"/>
      <c r="D179" s="84"/>
      <c r="E179" s="69"/>
      <c r="F179" s="69"/>
      <c r="G179" s="76"/>
      <c r="H179" s="76"/>
      <c r="I179" s="33"/>
      <c r="J179" s="33"/>
      <c r="K179" s="33"/>
      <c r="L179" s="33"/>
      <c r="M179" s="33"/>
      <c r="N179" s="33"/>
      <c r="O179" s="33"/>
      <c r="P179" s="33"/>
      <c r="Q179" s="33"/>
      <c r="R179" s="33"/>
      <c r="S179" s="33"/>
      <c r="T179" s="33"/>
      <c r="U179" s="33"/>
      <c r="V179" s="33"/>
      <c r="W179" s="33"/>
      <c r="X179" s="33"/>
    </row>
    <row r="180" spans="1:24" ht="12.75" customHeight="1" x14ac:dyDescent="0.2">
      <c r="A180" s="33"/>
      <c r="B180" s="33"/>
      <c r="C180" s="84"/>
      <c r="D180" s="84"/>
      <c r="E180" s="69"/>
      <c r="F180" s="69"/>
      <c r="G180" s="76"/>
      <c r="H180" s="76"/>
      <c r="I180" s="33"/>
      <c r="J180" s="33"/>
      <c r="K180" s="33"/>
      <c r="L180" s="33"/>
      <c r="M180" s="33"/>
      <c r="N180" s="33"/>
      <c r="O180" s="33"/>
      <c r="P180" s="33"/>
      <c r="Q180" s="33"/>
      <c r="R180" s="33"/>
      <c r="S180" s="33"/>
      <c r="T180" s="33"/>
      <c r="U180" s="33"/>
      <c r="V180" s="33"/>
      <c r="W180" s="33"/>
      <c r="X180" s="33"/>
    </row>
    <row r="181" spans="1:24" ht="12.75" customHeight="1" x14ac:dyDescent="0.2">
      <c r="A181" s="33"/>
      <c r="B181" s="33"/>
      <c r="C181" s="84"/>
      <c r="D181" s="84"/>
      <c r="E181" s="69"/>
      <c r="F181" s="69"/>
      <c r="G181" s="76"/>
      <c r="H181" s="76"/>
      <c r="I181" s="33"/>
      <c r="J181" s="33"/>
      <c r="K181" s="33"/>
      <c r="L181" s="33"/>
      <c r="M181" s="33"/>
      <c r="N181" s="33"/>
      <c r="O181" s="33"/>
      <c r="P181" s="33"/>
      <c r="Q181" s="33"/>
      <c r="R181" s="33"/>
      <c r="S181" s="33"/>
      <c r="T181" s="33"/>
      <c r="U181" s="33"/>
      <c r="V181" s="33"/>
      <c r="W181" s="33"/>
      <c r="X181" s="33"/>
    </row>
    <row r="182" spans="1:24" ht="12.75" customHeight="1" x14ac:dyDescent="0.2">
      <c r="A182" s="33"/>
      <c r="B182" s="33"/>
      <c r="C182" s="84"/>
      <c r="D182" s="84"/>
      <c r="E182" s="69"/>
      <c r="F182" s="69"/>
      <c r="G182" s="76"/>
      <c r="H182" s="76"/>
      <c r="I182" s="33"/>
      <c r="J182" s="33"/>
      <c r="K182" s="33"/>
      <c r="L182" s="33"/>
      <c r="M182" s="33"/>
      <c r="N182" s="33"/>
      <c r="O182" s="33"/>
      <c r="P182" s="33"/>
      <c r="Q182" s="33"/>
      <c r="R182" s="33"/>
      <c r="S182" s="33"/>
      <c r="T182" s="33"/>
      <c r="U182" s="33"/>
      <c r="V182" s="33"/>
      <c r="W182" s="33"/>
      <c r="X182" s="33"/>
    </row>
    <row r="183" spans="1:24" ht="12.75" customHeight="1" x14ac:dyDescent="0.2">
      <c r="A183" s="33"/>
      <c r="B183" s="33"/>
      <c r="C183" s="84"/>
      <c r="D183" s="84"/>
      <c r="E183" s="69"/>
      <c r="F183" s="69"/>
      <c r="G183" s="76"/>
      <c r="H183" s="76"/>
      <c r="I183" s="33"/>
      <c r="J183" s="33"/>
      <c r="K183" s="33"/>
      <c r="L183" s="33"/>
      <c r="M183" s="33"/>
      <c r="N183" s="33"/>
      <c r="O183" s="33"/>
      <c r="P183" s="33"/>
      <c r="Q183" s="33"/>
      <c r="R183" s="33"/>
      <c r="S183" s="33"/>
      <c r="T183" s="33"/>
      <c r="U183" s="33"/>
      <c r="V183" s="33"/>
      <c r="W183" s="33"/>
      <c r="X183" s="33"/>
    </row>
    <row r="184" spans="1:24" ht="12.75" customHeight="1" x14ac:dyDescent="0.2">
      <c r="A184" s="33"/>
      <c r="B184" s="33"/>
      <c r="C184" s="84"/>
      <c r="D184" s="84"/>
      <c r="E184" s="69"/>
      <c r="F184" s="69"/>
      <c r="G184" s="76"/>
      <c r="H184" s="76"/>
      <c r="I184" s="33"/>
      <c r="J184" s="33"/>
      <c r="K184" s="33"/>
      <c r="L184" s="33"/>
      <c r="M184" s="33"/>
      <c r="N184" s="33"/>
      <c r="O184" s="33"/>
      <c r="P184" s="33"/>
      <c r="Q184" s="33"/>
      <c r="R184" s="33"/>
      <c r="S184" s="33"/>
      <c r="T184" s="33"/>
      <c r="U184" s="33"/>
      <c r="V184" s="33"/>
      <c r="W184" s="33"/>
      <c r="X184" s="33"/>
    </row>
    <row r="185" spans="1:24" ht="12.75" customHeight="1" x14ac:dyDescent="0.2">
      <c r="A185" s="33"/>
      <c r="B185" s="33"/>
      <c r="C185" s="84"/>
      <c r="D185" s="84"/>
      <c r="E185" s="69"/>
      <c r="F185" s="69"/>
      <c r="G185" s="76"/>
      <c r="H185" s="76"/>
      <c r="I185" s="33"/>
      <c r="J185" s="33"/>
      <c r="K185" s="33"/>
      <c r="L185" s="33"/>
      <c r="M185" s="33"/>
      <c r="N185" s="33"/>
      <c r="O185" s="33"/>
      <c r="P185" s="33"/>
      <c r="Q185" s="33"/>
      <c r="R185" s="33"/>
      <c r="S185" s="33"/>
      <c r="T185" s="33"/>
      <c r="U185" s="33"/>
      <c r="V185" s="33"/>
      <c r="W185" s="33"/>
      <c r="X185" s="33"/>
    </row>
    <row r="186" spans="1:24" ht="12.75" customHeight="1" x14ac:dyDescent="0.2">
      <c r="A186" s="33"/>
      <c r="B186" s="33"/>
      <c r="C186" s="84"/>
      <c r="D186" s="84"/>
      <c r="E186" s="69"/>
      <c r="F186" s="69"/>
      <c r="G186" s="76"/>
      <c r="H186" s="76"/>
      <c r="I186" s="33"/>
      <c r="J186" s="33"/>
      <c r="K186" s="33"/>
      <c r="L186" s="33"/>
      <c r="M186" s="33"/>
      <c r="N186" s="33"/>
      <c r="O186" s="33"/>
      <c r="P186" s="33"/>
      <c r="Q186" s="33"/>
      <c r="R186" s="33"/>
      <c r="S186" s="33"/>
      <c r="T186" s="33"/>
      <c r="U186" s="33"/>
      <c r="V186" s="33"/>
      <c r="W186" s="33"/>
      <c r="X186" s="33"/>
    </row>
    <row r="187" spans="1:24" ht="12.75" customHeight="1" x14ac:dyDescent="0.2">
      <c r="A187" s="33"/>
      <c r="B187" s="33"/>
      <c r="C187" s="84"/>
      <c r="D187" s="84"/>
      <c r="E187" s="69"/>
      <c r="F187" s="69"/>
      <c r="G187" s="76"/>
      <c r="H187" s="76"/>
      <c r="I187" s="33"/>
      <c r="J187" s="33"/>
      <c r="K187" s="33"/>
      <c r="L187" s="33"/>
      <c r="M187" s="33"/>
      <c r="N187" s="33"/>
      <c r="O187" s="33"/>
      <c r="P187" s="33"/>
      <c r="Q187" s="33"/>
      <c r="R187" s="33"/>
      <c r="S187" s="33"/>
      <c r="T187" s="33"/>
      <c r="U187" s="33"/>
      <c r="V187" s="33"/>
      <c r="W187" s="33"/>
      <c r="X187" s="33"/>
    </row>
    <row r="188" spans="1:24" ht="12.75" customHeight="1" x14ac:dyDescent="0.2">
      <c r="A188" s="33"/>
      <c r="B188" s="33"/>
      <c r="C188" s="84"/>
      <c r="D188" s="84"/>
      <c r="E188" s="69"/>
      <c r="F188" s="69"/>
      <c r="G188" s="76"/>
      <c r="H188" s="76"/>
      <c r="I188" s="33"/>
      <c r="J188" s="33"/>
      <c r="K188" s="33"/>
      <c r="L188" s="33"/>
      <c r="M188" s="33"/>
      <c r="N188" s="33"/>
      <c r="O188" s="33"/>
      <c r="P188" s="33"/>
      <c r="Q188" s="33"/>
      <c r="R188" s="33"/>
      <c r="S188" s="33"/>
      <c r="T188" s="33"/>
      <c r="U188" s="33"/>
      <c r="V188" s="33"/>
      <c r="W188" s="33"/>
      <c r="X188" s="33"/>
    </row>
    <row r="189" spans="1:24" ht="12.75" customHeight="1" x14ac:dyDescent="0.2">
      <c r="A189" s="33"/>
      <c r="B189" s="33"/>
      <c r="C189" s="84"/>
      <c r="D189" s="84"/>
      <c r="E189" s="69"/>
      <c r="F189" s="69"/>
      <c r="G189" s="76"/>
      <c r="H189" s="76"/>
      <c r="I189" s="33"/>
      <c r="J189" s="33"/>
      <c r="K189" s="33"/>
      <c r="L189" s="33"/>
      <c r="M189" s="33"/>
      <c r="N189" s="33"/>
      <c r="O189" s="33"/>
      <c r="P189" s="33"/>
      <c r="Q189" s="33"/>
      <c r="R189" s="33"/>
      <c r="S189" s="33"/>
      <c r="T189" s="33"/>
      <c r="U189" s="33"/>
      <c r="V189" s="33"/>
      <c r="W189" s="33"/>
      <c r="X189" s="33"/>
    </row>
    <row r="190" spans="1:24" ht="12.75" customHeight="1" x14ac:dyDescent="0.2">
      <c r="A190" s="33"/>
      <c r="B190" s="33"/>
      <c r="C190" s="84"/>
      <c r="D190" s="84"/>
      <c r="E190" s="69"/>
      <c r="F190" s="69"/>
      <c r="G190" s="76"/>
      <c r="H190" s="76"/>
      <c r="I190" s="33"/>
      <c r="J190" s="33"/>
      <c r="K190" s="33"/>
      <c r="L190" s="33"/>
      <c r="M190" s="33"/>
      <c r="N190" s="33"/>
      <c r="O190" s="33"/>
      <c r="P190" s="33"/>
      <c r="Q190" s="33"/>
      <c r="R190" s="33"/>
      <c r="S190" s="33"/>
      <c r="T190" s="33"/>
      <c r="U190" s="33"/>
      <c r="V190" s="33"/>
      <c r="W190" s="33"/>
      <c r="X190" s="33"/>
    </row>
    <row r="191" spans="1:24" ht="12.75" customHeight="1" x14ac:dyDescent="0.2">
      <c r="A191" s="33"/>
      <c r="B191" s="33"/>
      <c r="C191" s="84"/>
      <c r="D191" s="84"/>
      <c r="E191" s="69"/>
      <c r="F191" s="69"/>
      <c r="G191" s="76"/>
      <c r="H191" s="76"/>
      <c r="I191" s="33"/>
      <c r="J191" s="33"/>
      <c r="K191" s="33"/>
      <c r="L191" s="33"/>
      <c r="M191" s="33"/>
      <c r="N191" s="33"/>
      <c r="O191" s="33"/>
      <c r="P191" s="33"/>
      <c r="Q191" s="33"/>
      <c r="R191" s="33"/>
      <c r="S191" s="33"/>
      <c r="T191" s="33"/>
      <c r="U191" s="33"/>
      <c r="V191" s="33"/>
      <c r="W191" s="33"/>
      <c r="X191" s="33"/>
    </row>
    <row r="192" spans="1:24" ht="12.75" customHeight="1" x14ac:dyDescent="0.2">
      <c r="A192" s="33"/>
      <c r="B192" s="33"/>
      <c r="C192" s="84"/>
      <c r="D192" s="84"/>
      <c r="E192" s="69"/>
      <c r="F192" s="69"/>
      <c r="G192" s="76"/>
      <c r="H192" s="76"/>
      <c r="I192" s="33"/>
      <c r="J192" s="33"/>
      <c r="K192" s="33"/>
      <c r="L192" s="33"/>
      <c r="M192" s="33"/>
      <c r="N192" s="33"/>
      <c r="O192" s="33"/>
      <c r="P192" s="33"/>
      <c r="Q192" s="33"/>
      <c r="R192" s="33"/>
      <c r="S192" s="33"/>
      <c r="T192" s="33"/>
      <c r="U192" s="33"/>
      <c r="V192" s="33"/>
      <c r="W192" s="33"/>
      <c r="X192" s="33"/>
    </row>
    <row r="193" spans="1:24" ht="12.75" customHeight="1" x14ac:dyDescent="0.2">
      <c r="A193" s="33"/>
      <c r="B193" s="33"/>
      <c r="C193" s="84"/>
      <c r="D193" s="84"/>
      <c r="E193" s="69"/>
      <c r="F193" s="69"/>
      <c r="G193" s="76"/>
      <c r="H193" s="76"/>
      <c r="I193" s="33"/>
      <c r="J193" s="33"/>
      <c r="K193" s="33"/>
      <c r="L193" s="33"/>
      <c r="M193" s="33"/>
      <c r="N193" s="33"/>
      <c r="O193" s="33"/>
      <c r="P193" s="33"/>
      <c r="Q193" s="33"/>
      <c r="R193" s="33"/>
      <c r="S193" s="33"/>
      <c r="T193" s="33"/>
      <c r="U193" s="33"/>
      <c r="V193" s="33"/>
      <c r="W193" s="33"/>
      <c r="X193" s="33"/>
    </row>
    <row r="194" spans="1:24" ht="12.75" customHeight="1" x14ac:dyDescent="0.2">
      <c r="A194" s="33"/>
      <c r="B194" s="33"/>
      <c r="C194" s="84"/>
      <c r="D194" s="84"/>
      <c r="E194" s="69"/>
      <c r="F194" s="69"/>
      <c r="G194" s="76"/>
      <c r="H194" s="76"/>
      <c r="I194" s="33"/>
      <c r="J194" s="33"/>
      <c r="K194" s="33"/>
      <c r="L194" s="33"/>
      <c r="M194" s="33"/>
      <c r="N194" s="33"/>
      <c r="O194" s="33"/>
      <c r="P194" s="33"/>
      <c r="Q194" s="33"/>
      <c r="R194" s="33"/>
      <c r="S194" s="33"/>
      <c r="T194" s="33"/>
      <c r="U194" s="33"/>
      <c r="V194" s="33"/>
      <c r="W194" s="33"/>
      <c r="X194" s="33"/>
    </row>
    <row r="195" spans="1:24" ht="12.75" customHeight="1" x14ac:dyDescent="0.2">
      <c r="A195" s="33"/>
      <c r="B195" s="33"/>
      <c r="C195" s="84"/>
      <c r="D195" s="84"/>
      <c r="E195" s="69"/>
      <c r="F195" s="69"/>
      <c r="G195" s="76"/>
      <c r="H195" s="76"/>
      <c r="I195" s="33"/>
      <c r="J195" s="33"/>
      <c r="K195" s="33"/>
      <c r="L195" s="33"/>
      <c r="M195" s="33"/>
      <c r="N195" s="33"/>
      <c r="O195" s="33"/>
      <c r="P195" s="33"/>
      <c r="Q195" s="33"/>
      <c r="R195" s="33"/>
      <c r="S195" s="33"/>
      <c r="T195" s="33"/>
      <c r="U195" s="33"/>
      <c r="V195" s="33"/>
      <c r="W195" s="33"/>
      <c r="X195" s="33"/>
    </row>
    <row r="196" spans="1:24" ht="12.75" customHeight="1" x14ac:dyDescent="0.2">
      <c r="A196" s="33"/>
      <c r="B196" s="33"/>
      <c r="C196" s="84"/>
      <c r="D196" s="84"/>
      <c r="E196" s="69"/>
      <c r="F196" s="69"/>
      <c r="G196" s="76"/>
      <c r="H196" s="76"/>
      <c r="I196" s="33"/>
      <c r="J196" s="33"/>
      <c r="K196" s="33"/>
      <c r="L196" s="33"/>
      <c r="M196" s="33"/>
      <c r="N196" s="33"/>
      <c r="O196" s="33"/>
      <c r="P196" s="33"/>
      <c r="Q196" s="33"/>
      <c r="R196" s="33"/>
      <c r="S196" s="33"/>
      <c r="T196" s="33"/>
      <c r="U196" s="33"/>
      <c r="V196" s="33"/>
      <c r="W196" s="33"/>
      <c r="X196" s="33"/>
    </row>
    <row r="197" spans="1:24" ht="12.75" customHeight="1" x14ac:dyDescent="0.2">
      <c r="A197" s="33"/>
      <c r="B197" s="33"/>
      <c r="C197" s="84"/>
      <c r="D197" s="84"/>
      <c r="E197" s="69"/>
      <c r="F197" s="69"/>
      <c r="G197" s="76"/>
      <c r="H197" s="76"/>
      <c r="I197" s="33"/>
      <c r="J197" s="33"/>
      <c r="K197" s="33"/>
      <c r="L197" s="33"/>
      <c r="M197" s="33"/>
      <c r="N197" s="33"/>
      <c r="O197" s="33"/>
      <c r="P197" s="33"/>
      <c r="Q197" s="33"/>
      <c r="R197" s="33"/>
      <c r="S197" s="33"/>
      <c r="T197" s="33"/>
      <c r="U197" s="33"/>
      <c r="V197" s="33"/>
      <c r="W197" s="33"/>
      <c r="X197" s="33"/>
    </row>
    <row r="198" spans="1:24" ht="12.75" customHeight="1" x14ac:dyDescent="0.2">
      <c r="A198" s="33"/>
      <c r="B198" s="33"/>
      <c r="C198" s="84"/>
      <c r="D198" s="84"/>
      <c r="E198" s="69"/>
      <c r="F198" s="69"/>
      <c r="G198" s="76"/>
      <c r="H198" s="76"/>
      <c r="I198" s="33"/>
      <c r="J198" s="33"/>
      <c r="K198" s="33"/>
      <c r="L198" s="33"/>
      <c r="M198" s="33"/>
      <c r="N198" s="33"/>
      <c r="O198" s="33"/>
      <c r="P198" s="33"/>
      <c r="Q198" s="33"/>
      <c r="R198" s="33"/>
      <c r="S198" s="33"/>
      <c r="T198" s="33"/>
      <c r="U198" s="33"/>
      <c r="V198" s="33"/>
      <c r="W198" s="33"/>
      <c r="X198" s="33"/>
    </row>
    <row r="199" spans="1:24" ht="12.75" customHeight="1" x14ac:dyDescent="0.2">
      <c r="A199" s="33"/>
      <c r="B199" s="33"/>
      <c r="C199" s="84"/>
      <c r="D199" s="84"/>
      <c r="E199" s="69"/>
      <c r="F199" s="69"/>
      <c r="G199" s="76"/>
      <c r="H199" s="76"/>
      <c r="I199" s="33"/>
      <c r="J199" s="33"/>
      <c r="K199" s="33"/>
      <c r="L199" s="33"/>
      <c r="M199" s="33"/>
      <c r="N199" s="33"/>
      <c r="O199" s="33"/>
      <c r="P199" s="33"/>
      <c r="Q199" s="33"/>
      <c r="R199" s="33"/>
      <c r="S199" s="33"/>
      <c r="T199" s="33"/>
      <c r="U199" s="33"/>
      <c r="V199" s="33"/>
      <c r="W199" s="33"/>
      <c r="X199" s="33"/>
    </row>
    <row r="200" spans="1:24" ht="12.75" customHeight="1" x14ac:dyDescent="0.2">
      <c r="A200" s="33"/>
      <c r="B200" s="33"/>
      <c r="C200" s="84"/>
      <c r="D200" s="84"/>
      <c r="E200" s="69"/>
      <c r="F200" s="69"/>
      <c r="G200" s="76"/>
      <c r="H200" s="76"/>
      <c r="I200" s="33"/>
      <c r="J200" s="33"/>
      <c r="K200" s="33"/>
      <c r="L200" s="33"/>
      <c r="M200" s="33"/>
      <c r="N200" s="33"/>
      <c r="O200" s="33"/>
      <c r="P200" s="33"/>
      <c r="Q200" s="33"/>
      <c r="R200" s="33"/>
      <c r="S200" s="33"/>
      <c r="T200" s="33"/>
      <c r="U200" s="33"/>
      <c r="V200" s="33"/>
      <c r="W200" s="33"/>
      <c r="X200" s="33"/>
    </row>
    <row r="201" spans="1:24" ht="12.75" customHeight="1" x14ac:dyDescent="0.2">
      <c r="A201" s="33"/>
      <c r="B201" s="33"/>
      <c r="C201" s="84"/>
      <c r="D201" s="84"/>
      <c r="E201" s="69"/>
      <c r="F201" s="69"/>
      <c r="G201" s="76"/>
      <c r="H201" s="76"/>
      <c r="I201" s="33"/>
      <c r="J201" s="33"/>
      <c r="K201" s="33"/>
      <c r="L201" s="33"/>
      <c r="M201" s="33"/>
      <c r="N201" s="33"/>
      <c r="O201" s="33"/>
      <c r="P201" s="33"/>
      <c r="Q201" s="33"/>
      <c r="R201" s="33"/>
      <c r="S201" s="33"/>
      <c r="T201" s="33"/>
      <c r="U201" s="33"/>
      <c r="V201" s="33"/>
      <c r="W201" s="33"/>
      <c r="X201" s="33"/>
    </row>
    <row r="202" spans="1:24" ht="12.75" customHeight="1" x14ac:dyDescent="0.2">
      <c r="A202" s="33"/>
      <c r="B202" s="33"/>
      <c r="C202" s="84"/>
      <c r="D202" s="84"/>
      <c r="E202" s="69"/>
      <c r="F202" s="69"/>
      <c r="G202" s="76"/>
      <c r="H202" s="76"/>
      <c r="I202" s="33"/>
      <c r="J202" s="33"/>
      <c r="K202" s="33"/>
      <c r="L202" s="33"/>
      <c r="M202" s="33"/>
      <c r="N202" s="33"/>
      <c r="O202" s="33"/>
      <c r="P202" s="33"/>
      <c r="Q202" s="33"/>
      <c r="R202" s="33"/>
      <c r="S202" s="33"/>
      <c r="T202" s="33"/>
      <c r="U202" s="33"/>
      <c r="V202" s="33"/>
      <c r="W202" s="33"/>
      <c r="X202" s="33"/>
    </row>
    <row r="203" spans="1:24" ht="12.75" customHeight="1" x14ac:dyDescent="0.2">
      <c r="A203" s="33"/>
      <c r="B203" s="33"/>
      <c r="C203" s="84"/>
      <c r="D203" s="84"/>
      <c r="E203" s="69"/>
      <c r="F203" s="69"/>
      <c r="G203" s="76"/>
      <c r="H203" s="76"/>
      <c r="I203" s="33"/>
      <c r="J203" s="33"/>
      <c r="K203" s="33"/>
      <c r="L203" s="33"/>
      <c r="M203" s="33"/>
      <c r="N203" s="33"/>
      <c r="O203" s="33"/>
      <c r="P203" s="33"/>
      <c r="Q203" s="33"/>
      <c r="R203" s="33"/>
      <c r="S203" s="33"/>
      <c r="T203" s="33"/>
      <c r="U203" s="33"/>
      <c r="V203" s="33"/>
      <c r="W203" s="33"/>
      <c r="X203" s="33"/>
    </row>
    <row r="204" spans="1:24" ht="12.75" customHeight="1" x14ac:dyDescent="0.2">
      <c r="A204" s="33"/>
      <c r="B204" s="33"/>
      <c r="C204" s="84"/>
      <c r="D204" s="84"/>
      <c r="E204" s="69"/>
      <c r="F204" s="69"/>
      <c r="G204" s="76"/>
      <c r="H204" s="76"/>
      <c r="I204" s="33"/>
      <c r="J204" s="33"/>
      <c r="K204" s="33"/>
      <c r="L204" s="33"/>
      <c r="M204" s="33"/>
      <c r="N204" s="33"/>
      <c r="O204" s="33"/>
      <c r="P204" s="33"/>
      <c r="Q204" s="33"/>
      <c r="R204" s="33"/>
      <c r="S204" s="33"/>
      <c r="T204" s="33"/>
      <c r="U204" s="33"/>
      <c r="V204" s="33"/>
      <c r="W204" s="33"/>
      <c r="X204" s="33"/>
    </row>
    <row r="205" spans="1:24" ht="12.75" customHeight="1" x14ac:dyDescent="0.2">
      <c r="A205" s="33"/>
      <c r="B205" s="33"/>
      <c r="C205" s="84"/>
      <c r="D205" s="84"/>
      <c r="E205" s="69"/>
      <c r="F205" s="69"/>
      <c r="G205" s="76"/>
      <c r="H205" s="76"/>
      <c r="I205" s="33"/>
      <c r="J205" s="33"/>
      <c r="K205" s="33"/>
      <c r="L205" s="33"/>
      <c r="M205" s="33"/>
      <c r="N205" s="33"/>
      <c r="O205" s="33"/>
      <c r="P205" s="33"/>
      <c r="Q205" s="33"/>
      <c r="R205" s="33"/>
      <c r="S205" s="33"/>
      <c r="T205" s="33"/>
      <c r="U205" s="33"/>
      <c r="V205" s="33"/>
      <c r="W205" s="33"/>
      <c r="X205" s="33"/>
    </row>
    <row r="206" spans="1:24" ht="12.75" customHeight="1" x14ac:dyDescent="0.2">
      <c r="A206" s="33"/>
      <c r="B206" s="33"/>
      <c r="C206" s="84"/>
      <c r="D206" s="84"/>
      <c r="E206" s="69"/>
      <c r="F206" s="69"/>
      <c r="G206" s="76"/>
      <c r="H206" s="76"/>
      <c r="I206" s="33"/>
      <c r="J206" s="33"/>
      <c r="K206" s="33"/>
      <c r="L206" s="33"/>
      <c r="M206" s="33"/>
      <c r="N206" s="33"/>
      <c r="O206" s="33"/>
      <c r="P206" s="33"/>
      <c r="Q206" s="33"/>
      <c r="R206" s="33"/>
      <c r="S206" s="33"/>
      <c r="T206" s="33"/>
      <c r="U206" s="33"/>
      <c r="V206" s="33"/>
      <c r="W206" s="33"/>
      <c r="X206" s="33"/>
    </row>
    <row r="207" spans="1:24" ht="12.75" customHeight="1" x14ac:dyDescent="0.2">
      <c r="A207" s="33"/>
      <c r="B207" s="33"/>
      <c r="C207" s="84"/>
      <c r="D207" s="84"/>
      <c r="E207" s="69"/>
      <c r="F207" s="69"/>
      <c r="G207" s="76"/>
      <c r="H207" s="76"/>
      <c r="I207" s="33"/>
      <c r="J207" s="33"/>
      <c r="K207" s="33"/>
      <c r="L207" s="33"/>
      <c r="M207" s="33"/>
      <c r="N207" s="33"/>
      <c r="O207" s="33"/>
      <c r="P207" s="33"/>
      <c r="Q207" s="33"/>
      <c r="R207" s="33"/>
      <c r="S207" s="33"/>
      <c r="T207" s="33"/>
      <c r="U207" s="33"/>
      <c r="V207" s="33"/>
      <c r="W207" s="33"/>
      <c r="X207" s="33"/>
    </row>
    <row r="208" spans="1:24" ht="12.75" customHeight="1" x14ac:dyDescent="0.2">
      <c r="A208" s="33"/>
      <c r="B208" s="33"/>
      <c r="C208" s="84"/>
      <c r="D208" s="84"/>
      <c r="E208" s="69"/>
      <c r="F208" s="69"/>
      <c r="G208" s="76"/>
      <c r="H208" s="76"/>
      <c r="I208" s="33"/>
      <c r="J208" s="33"/>
      <c r="K208" s="33"/>
      <c r="L208" s="33"/>
      <c r="M208" s="33"/>
      <c r="N208" s="33"/>
      <c r="O208" s="33"/>
      <c r="P208" s="33"/>
      <c r="Q208" s="33"/>
      <c r="R208" s="33"/>
      <c r="S208" s="33"/>
      <c r="T208" s="33"/>
      <c r="U208" s="33"/>
      <c r="V208" s="33"/>
      <c r="W208" s="33"/>
      <c r="X208" s="33"/>
    </row>
    <row r="209" spans="1:24" ht="12.75" customHeight="1" x14ac:dyDescent="0.2">
      <c r="A209" s="33"/>
      <c r="B209" s="33"/>
      <c r="C209" s="84"/>
      <c r="D209" s="84"/>
      <c r="E209" s="69"/>
      <c r="F209" s="69"/>
      <c r="G209" s="76"/>
      <c r="H209" s="76"/>
      <c r="I209" s="33"/>
      <c r="J209" s="33"/>
      <c r="K209" s="33"/>
      <c r="L209" s="33"/>
      <c r="M209" s="33"/>
      <c r="N209" s="33"/>
      <c r="O209" s="33"/>
      <c r="P209" s="33"/>
      <c r="Q209" s="33"/>
      <c r="R209" s="33"/>
      <c r="S209" s="33"/>
      <c r="T209" s="33"/>
      <c r="U209" s="33"/>
      <c r="V209" s="33"/>
      <c r="W209" s="33"/>
      <c r="X209" s="33"/>
    </row>
    <row r="210" spans="1:24" ht="12.75" customHeight="1" x14ac:dyDescent="0.2">
      <c r="A210" s="33"/>
      <c r="B210" s="33"/>
      <c r="C210" s="84"/>
      <c r="D210" s="84"/>
      <c r="E210" s="69"/>
      <c r="F210" s="69"/>
      <c r="G210" s="76"/>
      <c r="H210" s="76"/>
      <c r="I210" s="33"/>
      <c r="J210" s="33"/>
      <c r="K210" s="33"/>
      <c r="L210" s="33"/>
      <c r="M210" s="33"/>
      <c r="N210" s="33"/>
      <c r="O210" s="33"/>
      <c r="P210" s="33"/>
      <c r="Q210" s="33"/>
      <c r="R210" s="33"/>
      <c r="S210" s="33"/>
      <c r="T210" s="33"/>
      <c r="U210" s="33"/>
      <c r="V210" s="33"/>
      <c r="W210" s="33"/>
      <c r="X210" s="33"/>
    </row>
    <row r="211" spans="1:24" ht="12.75" customHeight="1" x14ac:dyDescent="0.2">
      <c r="A211" s="33"/>
      <c r="B211" s="33"/>
      <c r="C211" s="84"/>
      <c r="D211" s="84"/>
      <c r="E211" s="69"/>
      <c r="F211" s="69"/>
      <c r="G211" s="76"/>
      <c r="H211" s="76"/>
      <c r="I211" s="33"/>
      <c r="J211" s="33"/>
      <c r="K211" s="33"/>
      <c r="L211" s="33"/>
      <c r="M211" s="33"/>
      <c r="N211" s="33"/>
      <c r="O211" s="33"/>
      <c r="P211" s="33"/>
      <c r="Q211" s="33"/>
      <c r="R211" s="33"/>
      <c r="S211" s="33"/>
      <c r="T211" s="33"/>
      <c r="U211" s="33"/>
      <c r="V211" s="33"/>
      <c r="W211" s="33"/>
      <c r="X211" s="33"/>
    </row>
    <row r="212" spans="1:24" ht="12.75" customHeight="1" x14ac:dyDescent="0.2">
      <c r="A212" s="33"/>
      <c r="B212" s="33"/>
      <c r="C212" s="84"/>
      <c r="D212" s="84"/>
      <c r="E212" s="69"/>
      <c r="F212" s="69"/>
      <c r="G212" s="76"/>
      <c r="H212" s="76"/>
      <c r="I212" s="33"/>
      <c r="J212" s="33"/>
      <c r="K212" s="33"/>
      <c r="L212" s="33"/>
      <c r="M212" s="33"/>
      <c r="N212" s="33"/>
      <c r="O212" s="33"/>
      <c r="P212" s="33"/>
      <c r="Q212" s="33"/>
      <c r="R212" s="33"/>
      <c r="S212" s="33"/>
      <c r="T212" s="33"/>
      <c r="U212" s="33"/>
      <c r="V212" s="33"/>
      <c r="W212" s="33"/>
      <c r="X212" s="33"/>
    </row>
    <row r="213" spans="1:24" ht="12.75" customHeight="1" x14ac:dyDescent="0.2">
      <c r="A213" s="33"/>
      <c r="B213" s="33"/>
      <c r="C213" s="84"/>
      <c r="D213" s="84"/>
      <c r="E213" s="69"/>
      <c r="F213" s="69"/>
      <c r="G213" s="76"/>
      <c r="H213" s="76"/>
      <c r="I213" s="33"/>
      <c r="J213" s="33"/>
      <c r="K213" s="33"/>
      <c r="L213" s="33"/>
      <c r="M213" s="33"/>
      <c r="N213" s="33"/>
      <c r="O213" s="33"/>
      <c r="P213" s="33"/>
      <c r="Q213" s="33"/>
      <c r="R213" s="33"/>
      <c r="S213" s="33"/>
      <c r="T213" s="33"/>
      <c r="U213" s="33"/>
      <c r="V213" s="33"/>
      <c r="W213" s="33"/>
      <c r="X213" s="33"/>
    </row>
    <row r="214" spans="1:24" ht="12.75" customHeight="1" x14ac:dyDescent="0.2">
      <c r="A214" s="33"/>
      <c r="B214" s="33"/>
      <c r="C214" s="84"/>
      <c r="D214" s="84"/>
      <c r="E214" s="69"/>
      <c r="F214" s="69"/>
      <c r="G214" s="76"/>
      <c r="H214" s="76"/>
      <c r="I214" s="33"/>
      <c r="J214" s="33"/>
      <c r="K214" s="33"/>
      <c r="L214" s="33"/>
      <c r="M214" s="33"/>
      <c r="N214" s="33"/>
      <c r="O214" s="33"/>
      <c r="P214" s="33"/>
      <c r="Q214" s="33"/>
      <c r="R214" s="33"/>
      <c r="S214" s="33"/>
      <c r="T214" s="33"/>
      <c r="U214" s="33"/>
      <c r="V214" s="33"/>
      <c r="W214" s="33"/>
      <c r="X214" s="33"/>
    </row>
    <row r="215" spans="1:24" ht="12.75" customHeight="1" x14ac:dyDescent="0.2">
      <c r="A215" s="33"/>
      <c r="B215" s="33"/>
      <c r="C215" s="84"/>
      <c r="D215" s="84"/>
      <c r="E215" s="69"/>
      <c r="F215" s="69"/>
      <c r="G215" s="76"/>
      <c r="H215" s="76"/>
      <c r="I215" s="33"/>
      <c r="J215" s="33"/>
      <c r="K215" s="33"/>
      <c r="L215" s="33"/>
      <c r="M215" s="33"/>
      <c r="N215" s="33"/>
      <c r="O215" s="33"/>
      <c r="P215" s="33"/>
      <c r="Q215" s="33"/>
      <c r="R215" s="33"/>
      <c r="S215" s="33"/>
      <c r="T215" s="33"/>
      <c r="U215" s="33"/>
      <c r="V215" s="33"/>
      <c r="W215" s="33"/>
      <c r="X215" s="33"/>
    </row>
    <row r="216" spans="1:24" ht="12.75" customHeight="1" x14ac:dyDescent="0.2">
      <c r="A216" s="33"/>
      <c r="B216" s="33"/>
      <c r="C216" s="84"/>
      <c r="D216" s="84"/>
      <c r="E216" s="69"/>
      <c r="F216" s="69"/>
      <c r="G216" s="76"/>
      <c r="H216" s="76"/>
      <c r="I216" s="33"/>
      <c r="J216" s="33"/>
      <c r="K216" s="33"/>
      <c r="L216" s="33"/>
      <c r="M216" s="33"/>
      <c r="N216" s="33"/>
      <c r="O216" s="33"/>
      <c r="P216" s="33"/>
      <c r="Q216" s="33"/>
      <c r="R216" s="33"/>
      <c r="S216" s="33"/>
      <c r="T216" s="33"/>
      <c r="U216" s="33"/>
      <c r="V216" s="33"/>
      <c r="W216" s="33"/>
      <c r="X216" s="33"/>
    </row>
    <row r="217" spans="1:24" ht="12.75" customHeight="1" x14ac:dyDescent="0.2">
      <c r="A217" s="33"/>
      <c r="B217" s="33"/>
      <c r="C217" s="84"/>
      <c r="D217" s="84"/>
      <c r="E217" s="69"/>
      <c r="F217" s="69"/>
      <c r="G217" s="76"/>
      <c r="H217" s="76"/>
      <c r="I217" s="33"/>
      <c r="J217" s="33"/>
      <c r="K217" s="33"/>
      <c r="L217" s="33"/>
      <c r="M217" s="33"/>
      <c r="N217" s="33"/>
      <c r="O217" s="33"/>
      <c r="P217" s="33"/>
      <c r="Q217" s="33"/>
      <c r="R217" s="33"/>
      <c r="S217" s="33"/>
      <c r="T217" s="33"/>
      <c r="U217" s="33"/>
      <c r="V217" s="33"/>
      <c r="W217" s="33"/>
      <c r="X217" s="33"/>
    </row>
    <row r="218" spans="1:24" ht="12.75" customHeight="1" x14ac:dyDescent="0.2">
      <c r="A218" s="33"/>
      <c r="B218" s="33"/>
      <c r="C218" s="84"/>
      <c r="D218" s="84"/>
      <c r="E218" s="69"/>
      <c r="F218" s="69"/>
      <c r="G218" s="76"/>
      <c r="H218" s="76"/>
      <c r="I218" s="33"/>
      <c r="J218" s="33"/>
      <c r="K218" s="33"/>
      <c r="L218" s="33"/>
      <c r="M218" s="33"/>
      <c r="N218" s="33"/>
      <c r="O218" s="33"/>
      <c r="P218" s="33"/>
      <c r="Q218" s="33"/>
      <c r="R218" s="33"/>
      <c r="S218" s="33"/>
      <c r="T218" s="33"/>
      <c r="U218" s="33"/>
      <c r="V218" s="33"/>
      <c r="W218" s="33"/>
      <c r="X218" s="33"/>
    </row>
    <row r="219" spans="1:24" ht="12.75" customHeight="1" x14ac:dyDescent="0.2">
      <c r="A219" s="33"/>
      <c r="B219" s="33"/>
      <c r="C219" s="84"/>
      <c r="D219" s="84"/>
      <c r="E219" s="69"/>
      <c r="F219" s="69"/>
      <c r="G219" s="76"/>
      <c r="H219" s="76"/>
      <c r="I219" s="33"/>
      <c r="J219" s="33"/>
      <c r="K219" s="33"/>
      <c r="L219" s="33"/>
      <c r="M219" s="33"/>
      <c r="N219" s="33"/>
      <c r="O219" s="33"/>
      <c r="P219" s="33"/>
      <c r="Q219" s="33"/>
      <c r="R219" s="33"/>
      <c r="S219" s="33"/>
      <c r="T219" s="33"/>
      <c r="U219" s="33"/>
      <c r="V219" s="33"/>
      <c r="W219" s="33"/>
      <c r="X219" s="33"/>
    </row>
    <row r="220" spans="1:24" ht="12.75" customHeight="1" x14ac:dyDescent="0.2">
      <c r="A220" s="33"/>
      <c r="B220" s="33"/>
      <c r="C220" s="84"/>
      <c r="D220" s="84"/>
      <c r="E220" s="69"/>
      <c r="F220" s="69"/>
      <c r="G220" s="76"/>
      <c r="H220" s="76"/>
      <c r="I220" s="33"/>
      <c r="J220" s="33"/>
      <c r="K220" s="33"/>
      <c r="L220" s="33"/>
      <c r="M220" s="33"/>
      <c r="N220" s="33"/>
      <c r="O220" s="33"/>
      <c r="P220" s="33"/>
      <c r="Q220" s="33"/>
      <c r="R220" s="33"/>
      <c r="S220" s="33"/>
      <c r="T220" s="33"/>
      <c r="U220" s="33"/>
      <c r="V220" s="33"/>
      <c r="W220" s="33"/>
      <c r="X220" s="33"/>
    </row>
    <row r="221" spans="1:24" ht="12.75" customHeight="1" x14ac:dyDescent="0.2">
      <c r="A221" s="33"/>
      <c r="B221" s="33"/>
      <c r="C221" s="84"/>
      <c r="D221" s="84"/>
      <c r="E221" s="69"/>
      <c r="F221" s="69"/>
      <c r="G221" s="76"/>
      <c r="H221" s="76"/>
      <c r="I221" s="33"/>
      <c r="J221" s="33"/>
      <c r="K221" s="33"/>
      <c r="L221" s="33"/>
      <c r="M221" s="33"/>
      <c r="N221" s="33"/>
      <c r="O221" s="33"/>
      <c r="P221" s="33"/>
      <c r="Q221" s="33"/>
      <c r="R221" s="33"/>
      <c r="S221" s="33"/>
      <c r="T221" s="33"/>
      <c r="U221" s="33"/>
      <c r="V221" s="33"/>
      <c r="W221" s="33"/>
      <c r="X221" s="33"/>
    </row>
    <row r="222" spans="1:24" ht="12.75" customHeight="1" x14ac:dyDescent="0.2">
      <c r="A222" s="33"/>
      <c r="B222" s="33"/>
      <c r="C222" s="84"/>
      <c r="D222" s="84"/>
      <c r="E222" s="69"/>
      <c r="F222" s="69"/>
      <c r="G222" s="76"/>
      <c r="H222" s="76"/>
      <c r="I222" s="33"/>
      <c r="J222" s="33"/>
      <c r="K222" s="33"/>
      <c r="L222" s="33"/>
      <c r="M222" s="33"/>
      <c r="N222" s="33"/>
      <c r="O222" s="33"/>
      <c r="P222" s="33"/>
      <c r="Q222" s="33"/>
      <c r="R222" s="33"/>
      <c r="S222" s="33"/>
      <c r="T222" s="33"/>
      <c r="U222" s="33"/>
      <c r="V222" s="33"/>
      <c r="W222" s="33"/>
      <c r="X222" s="33"/>
    </row>
    <row r="223" spans="1:24" ht="12.75" customHeight="1" x14ac:dyDescent="0.2">
      <c r="A223" s="33"/>
      <c r="B223" s="33"/>
      <c r="C223" s="84"/>
      <c r="D223" s="84"/>
      <c r="E223" s="69"/>
      <c r="F223" s="69"/>
      <c r="G223" s="76"/>
      <c r="H223" s="76"/>
      <c r="I223" s="33"/>
      <c r="J223" s="33"/>
      <c r="K223" s="33"/>
      <c r="L223" s="33"/>
      <c r="M223" s="33"/>
      <c r="N223" s="33"/>
      <c r="O223" s="33"/>
      <c r="P223" s="33"/>
      <c r="Q223" s="33"/>
      <c r="R223" s="33"/>
      <c r="S223" s="33"/>
      <c r="T223" s="33"/>
      <c r="U223" s="33"/>
      <c r="V223" s="33"/>
      <c r="W223" s="33"/>
      <c r="X223" s="33"/>
    </row>
    <row r="224" spans="1:24" ht="12.75" customHeight="1" x14ac:dyDescent="0.2">
      <c r="A224" s="33"/>
      <c r="B224" s="33"/>
      <c r="C224" s="84"/>
      <c r="D224" s="84"/>
      <c r="E224" s="69"/>
      <c r="F224" s="69"/>
      <c r="G224" s="76"/>
      <c r="H224" s="76"/>
      <c r="I224" s="33"/>
      <c r="J224" s="33"/>
      <c r="K224" s="33"/>
      <c r="L224" s="33"/>
      <c r="M224" s="33"/>
      <c r="N224" s="33"/>
      <c r="O224" s="33"/>
      <c r="P224" s="33"/>
      <c r="Q224" s="33"/>
      <c r="R224" s="33"/>
      <c r="S224" s="33"/>
      <c r="T224" s="33"/>
      <c r="U224" s="33"/>
      <c r="V224" s="33"/>
      <c r="W224" s="33"/>
      <c r="X224" s="33"/>
    </row>
    <row r="225" spans="1:24" ht="12.75" customHeight="1" x14ac:dyDescent="0.2">
      <c r="A225" s="33"/>
      <c r="B225" s="33"/>
      <c r="C225" s="84"/>
      <c r="D225" s="84"/>
      <c r="E225" s="69"/>
      <c r="F225" s="69"/>
      <c r="G225" s="76"/>
      <c r="H225" s="76"/>
      <c r="I225" s="33"/>
      <c r="J225" s="33"/>
      <c r="K225" s="33"/>
      <c r="L225" s="33"/>
      <c r="M225" s="33"/>
      <c r="N225" s="33"/>
      <c r="O225" s="33"/>
      <c r="P225" s="33"/>
      <c r="Q225" s="33"/>
      <c r="R225" s="33"/>
      <c r="S225" s="33"/>
      <c r="T225" s="33"/>
      <c r="U225" s="33"/>
      <c r="V225" s="33"/>
      <c r="W225" s="33"/>
      <c r="X225" s="33"/>
    </row>
    <row r="226" spans="1:24" ht="12.75" customHeight="1" x14ac:dyDescent="0.2">
      <c r="A226" s="33"/>
      <c r="B226" s="33"/>
      <c r="C226" s="84"/>
      <c r="D226" s="84"/>
      <c r="E226" s="69"/>
      <c r="F226" s="69"/>
      <c r="G226" s="76"/>
      <c r="H226" s="76"/>
      <c r="I226" s="33"/>
      <c r="J226" s="33"/>
      <c r="K226" s="33"/>
      <c r="L226" s="33"/>
      <c r="M226" s="33"/>
      <c r="N226" s="33"/>
      <c r="O226" s="33"/>
      <c r="P226" s="33"/>
      <c r="Q226" s="33"/>
      <c r="R226" s="33"/>
      <c r="S226" s="33"/>
      <c r="T226" s="33"/>
      <c r="U226" s="33"/>
      <c r="V226" s="33"/>
      <c r="W226" s="33"/>
      <c r="X226" s="33"/>
    </row>
    <row r="227" spans="1:24" ht="12.75" customHeight="1" x14ac:dyDescent="0.2">
      <c r="A227" s="33"/>
      <c r="B227" s="33"/>
      <c r="C227" s="84"/>
      <c r="D227" s="84"/>
      <c r="E227" s="69"/>
      <c r="F227" s="69"/>
      <c r="G227" s="76"/>
      <c r="H227" s="76"/>
      <c r="I227" s="33"/>
      <c r="J227" s="33"/>
      <c r="K227" s="33"/>
      <c r="L227" s="33"/>
      <c r="M227" s="33"/>
      <c r="N227" s="33"/>
      <c r="O227" s="33"/>
      <c r="P227" s="33"/>
      <c r="Q227" s="33"/>
      <c r="R227" s="33"/>
      <c r="S227" s="33"/>
      <c r="T227" s="33"/>
      <c r="U227" s="33"/>
      <c r="V227" s="33"/>
      <c r="W227" s="33"/>
      <c r="X227" s="33"/>
    </row>
    <row r="228" spans="1:24" ht="12.75" customHeight="1" x14ac:dyDescent="0.2">
      <c r="A228" s="33"/>
      <c r="B228" s="33"/>
      <c r="C228" s="84"/>
      <c r="D228" s="84"/>
      <c r="E228" s="69"/>
      <c r="F228" s="69"/>
      <c r="G228" s="76"/>
      <c r="H228" s="76"/>
      <c r="I228" s="33"/>
      <c r="J228" s="33"/>
      <c r="K228" s="33"/>
      <c r="L228" s="33"/>
      <c r="M228" s="33"/>
      <c r="N228" s="33"/>
      <c r="O228" s="33"/>
      <c r="P228" s="33"/>
      <c r="Q228" s="33"/>
      <c r="R228" s="33"/>
      <c r="S228" s="33"/>
      <c r="T228" s="33"/>
      <c r="U228" s="33"/>
      <c r="V228" s="33"/>
      <c r="W228" s="33"/>
      <c r="X228" s="33"/>
    </row>
    <row r="229" spans="1:24" ht="12.75" customHeight="1" x14ac:dyDescent="0.2">
      <c r="A229" s="33"/>
      <c r="B229" s="33"/>
      <c r="C229" s="84"/>
      <c r="D229" s="84"/>
      <c r="E229" s="69"/>
      <c r="F229" s="69"/>
      <c r="G229" s="76"/>
      <c r="H229" s="76"/>
      <c r="I229" s="33"/>
      <c r="J229" s="33"/>
      <c r="K229" s="33"/>
      <c r="L229" s="33"/>
      <c r="M229" s="33"/>
      <c r="N229" s="33"/>
      <c r="O229" s="33"/>
      <c r="P229" s="33"/>
      <c r="Q229" s="33"/>
      <c r="R229" s="33"/>
      <c r="S229" s="33"/>
      <c r="T229" s="33"/>
      <c r="U229" s="33"/>
      <c r="V229" s="33"/>
      <c r="W229" s="33"/>
      <c r="X229" s="33"/>
    </row>
    <row r="230" spans="1:24" ht="12.75" customHeight="1" x14ac:dyDescent="0.2">
      <c r="A230" s="33"/>
      <c r="B230" s="33"/>
      <c r="C230" s="84"/>
      <c r="D230" s="84"/>
      <c r="E230" s="69"/>
      <c r="F230" s="69"/>
      <c r="G230" s="76"/>
      <c r="H230" s="76"/>
      <c r="I230" s="33"/>
      <c r="J230" s="33"/>
      <c r="K230" s="33"/>
      <c r="L230" s="33"/>
      <c r="M230" s="33"/>
      <c r="N230" s="33"/>
      <c r="O230" s="33"/>
      <c r="P230" s="33"/>
      <c r="Q230" s="33"/>
      <c r="R230" s="33"/>
      <c r="S230" s="33"/>
      <c r="T230" s="33"/>
      <c r="U230" s="33"/>
      <c r="V230" s="33"/>
      <c r="W230" s="33"/>
      <c r="X230" s="33"/>
    </row>
    <row r="231" spans="1:24" ht="12.75" customHeight="1" x14ac:dyDescent="0.2">
      <c r="A231" s="33"/>
      <c r="B231" s="33"/>
      <c r="C231" s="84"/>
      <c r="D231" s="84"/>
      <c r="E231" s="69"/>
      <c r="F231" s="69"/>
      <c r="G231" s="76"/>
      <c r="H231" s="76"/>
      <c r="I231" s="33"/>
      <c r="J231" s="33"/>
      <c r="K231" s="33"/>
      <c r="L231" s="33"/>
      <c r="M231" s="33"/>
      <c r="N231" s="33"/>
      <c r="O231" s="33"/>
      <c r="P231" s="33"/>
      <c r="Q231" s="33"/>
      <c r="R231" s="33"/>
      <c r="S231" s="33"/>
      <c r="T231" s="33"/>
      <c r="U231" s="33"/>
      <c r="V231" s="33"/>
      <c r="W231" s="33"/>
      <c r="X231" s="33"/>
    </row>
    <row r="232" spans="1:24" ht="12.75" customHeight="1" x14ac:dyDescent="0.2">
      <c r="A232" s="33"/>
      <c r="B232" s="33"/>
      <c r="C232" s="84"/>
      <c r="D232" s="84"/>
      <c r="E232" s="69"/>
      <c r="F232" s="69"/>
      <c r="G232" s="76"/>
      <c r="H232" s="76"/>
      <c r="I232" s="33"/>
      <c r="J232" s="33"/>
      <c r="K232" s="33"/>
      <c r="L232" s="33"/>
      <c r="M232" s="33"/>
      <c r="N232" s="33"/>
      <c r="O232" s="33"/>
      <c r="P232" s="33"/>
      <c r="Q232" s="33"/>
      <c r="R232" s="33"/>
      <c r="S232" s="33"/>
      <c r="T232" s="33"/>
      <c r="U232" s="33"/>
      <c r="V232" s="33"/>
      <c r="W232" s="33"/>
      <c r="X232" s="33"/>
    </row>
    <row r="233" spans="1:24" ht="12.75" customHeight="1" x14ac:dyDescent="0.2">
      <c r="A233" s="33"/>
      <c r="B233" s="33"/>
      <c r="C233" s="84"/>
      <c r="D233" s="84"/>
      <c r="E233" s="69"/>
      <c r="F233" s="69"/>
      <c r="G233" s="76"/>
      <c r="H233" s="76"/>
      <c r="I233" s="33"/>
      <c r="J233" s="33"/>
      <c r="K233" s="33"/>
      <c r="L233" s="33"/>
      <c r="M233" s="33"/>
      <c r="N233" s="33"/>
      <c r="O233" s="33"/>
      <c r="P233" s="33"/>
      <c r="Q233" s="33"/>
      <c r="R233" s="33"/>
      <c r="S233" s="33"/>
      <c r="T233" s="33"/>
      <c r="U233" s="33"/>
      <c r="V233" s="33"/>
      <c r="W233" s="33"/>
      <c r="X233" s="33"/>
    </row>
    <row r="234" spans="1:24" ht="12.75" customHeight="1" x14ac:dyDescent="0.2">
      <c r="A234" s="33"/>
      <c r="B234" s="33"/>
      <c r="C234" s="84"/>
      <c r="D234" s="84"/>
      <c r="E234" s="69"/>
      <c r="F234" s="69"/>
      <c r="G234" s="76"/>
      <c r="H234" s="76"/>
      <c r="I234" s="33"/>
      <c r="J234" s="33"/>
      <c r="K234" s="33"/>
      <c r="L234" s="33"/>
      <c r="M234" s="33"/>
      <c r="N234" s="33"/>
      <c r="O234" s="33"/>
      <c r="P234" s="33"/>
      <c r="Q234" s="33"/>
      <c r="R234" s="33"/>
      <c r="S234" s="33"/>
      <c r="T234" s="33"/>
      <c r="U234" s="33"/>
      <c r="V234" s="33"/>
      <c r="W234" s="33"/>
      <c r="X234" s="33"/>
    </row>
    <row r="235" spans="1:24" ht="12.75" customHeight="1" x14ac:dyDescent="0.2">
      <c r="A235" s="33"/>
      <c r="B235" s="33"/>
      <c r="C235" s="84"/>
      <c r="D235" s="84"/>
      <c r="E235" s="69"/>
      <c r="F235" s="69"/>
      <c r="G235" s="76"/>
      <c r="H235" s="76"/>
      <c r="I235" s="33"/>
      <c r="J235" s="33"/>
      <c r="K235" s="33"/>
      <c r="L235" s="33"/>
      <c r="M235" s="33"/>
      <c r="N235" s="33"/>
      <c r="O235" s="33"/>
      <c r="P235" s="33"/>
      <c r="Q235" s="33"/>
      <c r="R235" s="33"/>
      <c r="S235" s="33"/>
      <c r="T235" s="33"/>
      <c r="U235" s="33"/>
      <c r="V235" s="33"/>
      <c r="W235" s="33"/>
      <c r="X235" s="33"/>
    </row>
    <row r="236" spans="1:24" ht="12.75" customHeight="1" x14ac:dyDescent="0.2">
      <c r="A236" s="33"/>
      <c r="B236" s="33"/>
      <c r="C236" s="84"/>
      <c r="D236" s="84"/>
      <c r="E236" s="69"/>
      <c r="F236" s="69"/>
      <c r="G236" s="76"/>
      <c r="H236" s="76"/>
      <c r="I236" s="33"/>
      <c r="J236" s="33"/>
      <c r="K236" s="33"/>
      <c r="L236" s="33"/>
      <c r="M236" s="33"/>
      <c r="N236" s="33"/>
      <c r="O236" s="33"/>
      <c r="P236" s="33"/>
      <c r="Q236" s="33"/>
      <c r="R236" s="33"/>
      <c r="S236" s="33"/>
      <c r="T236" s="33"/>
      <c r="U236" s="33"/>
      <c r="V236" s="33"/>
      <c r="W236" s="33"/>
      <c r="X236" s="33"/>
    </row>
    <row r="237" spans="1:24" ht="12.75" customHeight="1" x14ac:dyDescent="0.2">
      <c r="A237" s="33"/>
      <c r="B237" s="33"/>
      <c r="C237" s="84"/>
      <c r="D237" s="84"/>
      <c r="E237" s="69"/>
      <c r="F237" s="69"/>
      <c r="G237" s="76"/>
      <c r="H237" s="76"/>
      <c r="I237" s="33"/>
      <c r="J237" s="33"/>
      <c r="K237" s="33"/>
      <c r="L237" s="33"/>
      <c r="M237" s="33"/>
      <c r="N237" s="33"/>
      <c r="O237" s="33"/>
      <c r="P237" s="33"/>
      <c r="Q237" s="33"/>
      <c r="R237" s="33"/>
      <c r="S237" s="33"/>
      <c r="T237" s="33"/>
      <c r="U237" s="33"/>
      <c r="V237" s="33"/>
      <c r="W237" s="33"/>
      <c r="X237" s="33"/>
    </row>
    <row r="238" spans="1:24" ht="12.75" customHeight="1" x14ac:dyDescent="0.2">
      <c r="A238" s="33"/>
      <c r="B238" s="33"/>
      <c r="C238" s="84"/>
      <c r="D238" s="84"/>
      <c r="E238" s="69"/>
      <c r="F238" s="69"/>
      <c r="G238" s="76"/>
      <c r="H238" s="76"/>
      <c r="I238" s="33"/>
      <c r="J238" s="33"/>
      <c r="K238" s="33"/>
      <c r="L238" s="33"/>
      <c r="M238" s="33"/>
      <c r="N238" s="33"/>
      <c r="O238" s="33"/>
      <c r="P238" s="33"/>
      <c r="Q238" s="33"/>
      <c r="R238" s="33"/>
      <c r="S238" s="33"/>
      <c r="T238" s="33"/>
      <c r="U238" s="33"/>
      <c r="V238" s="33"/>
      <c r="W238" s="33"/>
      <c r="X238" s="33"/>
    </row>
    <row r="239" spans="1:24" ht="12.75" customHeight="1" x14ac:dyDescent="0.2">
      <c r="A239" s="33"/>
      <c r="B239" s="33"/>
      <c r="C239" s="84"/>
      <c r="D239" s="84"/>
      <c r="E239" s="69"/>
      <c r="F239" s="69"/>
      <c r="G239" s="76"/>
      <c r="H239" s="76"/>
      <c r="I239" s="33"/>
      <c r="J239" s="33"/>
      <c r="K239" s="33"/>
      <c r="L239" s="33"/>
      <c r="M239" s="33"/>
      <c r="N239" s="33"/>
      <c r="O239" s="33"/>
      <c r="P239" s="33"/>
      <c r="Q239" s="33"/>
      <c r="R239" s="33"/>
      <c r="S239" s="33"/>
      <c r="T239" s="33"/>
      <c r="U239" s="33"/>
      <c r="V239" s="33"/>
      <c r="W239" s="33"/>
      <c r="X239" s="33"/>
    </row>
    <row r="240" spans="1:24" ht="12.75" customHeight="1" x14ac:dyDescent="0.2">
      <c r="A240" s="33"/>
      <c r="B240" s="33"/>
      <c r="C240" s="84"/>
      <c r="D240" s="84"/>
      <c r="E240" s="69"/>
      <c r="F240" s="69"/>
      <c r="G240" s="76"/>
      <c r="H240" s="76"/>
      <c r="I240" s="33"/>
      <c r="J240" s="33"/>
      <c r="K240" s="33"/>
      <c r="L240" s="33"/>
      <c r="M240" s="33"/>
      <c r="N240" s="33"/>
      <c r="O240" s="33"/>
      <c r="P240" s="33"/>
      <c r="Q240" s="33"/>
      <c r="R240" s="33"/>
      <c r="S240" s="33"/>
      <c r="T240" s="33"/>
      <c r="U240" s="33"/>
      <c r="V240" s="33"/>
      <c r="W240" s="33"/>
      <c r="X240" s="33"/>
    </row>
    <row r="241" spans="1:24" ht="12.75" customHeight="1" x14ac:dyDescent="0.2">
      <c r="A241" s="33"/>
      <c r="B241" s="33"/>
      <c r="C241" s="84"/>
      <c r="D241" s="84"/>
      <c r="E241" s="69"/>
      <c r="F241" s="69"/>
      <c r="G241" s="76"/>
      <c r="H241" s="76"/>
      <c r="I241" s="33"/>
      <c r="J241" s="33"/>
      <c r="K241" s="33"/>
      <c r="L241" s="33"/>
      <c r="M241" s="33"/>
      <c r="N241" s="33"/>
      <c r="O241" s="33"/>
      <c r="P241" s="33"/>
      <c r="Q241" s="33"/>
      <c r="R241" s="33"/>
      <c r="S241" s="33"/>
      <c r="T241" s="33"/>
      <c r="U241" s="33"/>
      <c r="V241" s="33"/>
      <c r="W241" s="33"/>
      <c r="X241" s="33"/>
    </row>
    <row r="242" spans="1:24" ht="12.75" customHeight="1" x14ac:dyDescent="0.2">
      <c r="A242" s="33"/>
      <c r="B242" s="33"/>
      <c r="C242" s="84"/>
      <c r="D242" s="84"/>
      <c r="E242" s="69"/>
      <c r="F242" s="69"/>
      <c r="G242" s="76"/>
      <c r="H242" s="76"/>
      <c r="I242" s="33"/>
      <c r="J242" s="33"/>
      <c r="K242" s="33"/>
      <c r="L242" s="33"/>
      <c r="M242" s="33"/>
      <c r="N242" s="33"/>
      <c r="O242" s="33"/>
      <c r="P242" s="33"/>
      <c r="Q242" s="33"/>
      <c r="R242" s="33"/>
      <c r="S242" s="33"/>
      <c r="T242" s="33"/>
      <c r="U242" s="33"/>
      <c r="V242" s="33"/>
      <c r="W242" s="33"/>
      <c r="X242" s="33"/>
    </row>
    <row r="243" spans="1:24" ht="12.75" customHeight="1" x14ac:dyDescent="0.2">
      <c r="A243" s="33"/>
      <c r="B243" s="33"/>
      <c r="C243" s="84"/>
      <c r="D243" s="84"/>
      <c r="E243" s="69"/>
      <c r="F243" s="69"/>
      <c r="G243" s="76"/>
      <c r="H243" s="76"/>
      <c r="I243" s="33"/>
      <c r="J243" s="33"/>
      <c r="K243" s="33"/>
      <c r="L243" s="33"/>
      <c r="M243" s="33"/>
      <c r="N243" s="33"/>
      <c r="O243" s="33"/>
      <c r="P243" s="33"/>
      <c r="Q243" s="33"/>
      <c r="R243" s="33"/>
      <c r="S243" s="33"/>
      <c r="T243" s="33"/>
      <c r="U243" s="33"/>
      <c r="V243" s="33"/>
      <c r="W243" s="33"/>
      <c r="X243" s="33"/>
    </row>
    <row r="244" spans="1:24" ht="12.75" customHeight="1" x14ac:dyDescent="0.2">
      <c r="A244" s="33"/>
      <c r="B244" s="33"/>
      <c r="C244" s="84"/>
      <c r="D244" s="84"/>
      <c r="E244" s="69"/>
      <c r="F244" s="69"/>
      <c r="G244" s="76"/>
      <c r="H244" s="76"/>
      <c r="I244" s="33"/>
      <c r="J244" s="33"/>
      <c r="K244" s="33"/>
      <c r="L244" s="33"/>
      <c r="M244" s="33"/>
      <c r="N244" s="33"/>
      <c r="O244" s="33"/>
      <c r="P244" s="33"/>
      <c r="Q244" s="33"/>
      <c r="R244" s="33"/>
      <c r="S244" s="33"/>
      <c r="T244" s="33"/>
      <c r="U244" s="33"/>
      <c r="V244" s="33"/>
      <c r="W244" s="33"/>
      <c r="X244" s="33"/>
    </row>
    <row r="245" spans="1:24" ht="12.75" customHeight="1" x14ac:dyDescent="0.2">
      <c r="A245" s="33"/>
      <c r="B245" s="33"/>
      <c r="C245" s="84"/>
      <c r="D245" s="84"/>
      <c r="E245" s="69"/>
      <c r="F245" s="69"/>
      <c r="G245" s="76"/>
      <c r="H245" s="76"/>
      <c r="I245" s="33"/>
      <c r="J245" s="33"/>
      <c r="K245" s="33"/>
      <c r="L245" s="33"/>
      <c r="M245" s="33"/>
      <c r="N245" s="33"/>
      <c r="O245" s="33"/>
      <c r="P245" s="33"/>
      <c r="Q245" s="33"/>
      <c r="R245" s="33"/>
      <c r="S245" s="33"/>
      <c r="T245" s="33"/>
      <c r="U245" s="33"/>
      <c r="V245" s="33"/>
      <c r="W245" s="33"/>
      <c r="X245" s="33"/>
    </row>
    <row r="246" spans="1:24" ht="12.75" customHeight="1" x14ac:dyDescent="0.2">
      <c r="A246" s="33"/>
      <c r="B246" s="33"/>
      <c r="C246" s="84"/>
      <c r="D246" s="84"/>
      <c r="E246" s="69"/>
      <c r="F246" s="69"/>
      <c r="G246" s="76"/>
      <c r="H246" s="76"/>
      <c r="I246" s="33"/>
      <c r="J246" s="33"/>
      <c r="K246" s="33"/>
      <c r="L246" s="33"/>
      <c r="M246" s="33"/>
      <c r="N246" s="33"/>
      <c r="O246" s="33"/>
      <c r="P246" s="33"/>
      <c r="Q246" s="33"/>
      <c r="R246" s="33"/>
      <c r="S246" s="33"/>
      <c r="T246" s="33"/>
      <c r="U246" s="33"/>
      <c r="V246" s="33"/>
      <c r="W246" s="33"/>
      <c r="X246" s="33"/>
    </row>
    <row r="247" spans="1:24" ht="12.75" customHeight="1" x14ac:dyDescent="0.2">
      <c r="A247" s="33"/>
      <c r="B247" s="33"/>
      <c r="C247" s="84"/>
      <c r="D247" s="84"/>
      <c r="E247" s="69"/>
      <c r="F247" s="69"/>
      <c r="G247" s="76"/>
      <c r="H247" s="76"/>
      <c r="I247" s="33"/>
      <c r="J247" s="33"/>
      <c r="K247" s="33"/>
      <c r="L247" s="33"/>
      <c r="M247" s="33"/>
      <c r="N247" s="33"/>
      <c r="O247" s="33"/>
      <c r="P247" s="33"/>
      <c r="Q247" s="33"/>
      <c r="R247" s="33"/>
      <c r="S247" s="33"/>
      <c r="T247" s="33"/>
      <c r="U247" s="33"/>
      <c r="V247" s="33"/>
      <c r="W247" s="33"/>
      <c r="X247" s="33"/>
    </row>
    <row r="248" spans="1:24" ht="12.75" customHeight="1" x14ac:dyDescent="0.2">
      <c r="A248" s="33"/>
      <c r="B248" s="33"/>
      <c r="C248" s="84"/>
      <c r="D248" s="84"/>
      <c r="E248" s="69"/>
      <c r="F248" s="69"/>
      <c r="G248" s="76"/>
      <c r="H248" s="76"/>
      <c r="I248" s="33"/>
      <c r="J248" s="33"/>
      <c r="K248" s="33"/>
      <c r="L248" s="33"/>
      <c r="M248" s="33"/>
      <c r="N248" s="33"/>
      <c r="O248" s="33"/>
      <c r="P248" s="33"/>
      <c r="Q248" s="33"/>
      <c r="R248" s="33"/>
      <c r="S248" s="33"/>
      <c r="T248" s="33"/>
      <c r="U248" s="33"/>
      <c r="V248" s="33"/>
      <c r="W248" s="33"/>
      <c r="X248" s="33"/>
    </row>
    <row r="249" spans="1:24" ht="12.75" customHeight="1" x14ac:dyDescent="0.2">
      <c r="A249" s="33"/>
      <c r="B249" s="33"/>
      <c r="C249" s="84"/>
      <c r="D249" s="84"/>
      <c r="E249" s="69"/>
      <c r="F249" s="69"/>
      <c r="G249" s="76"/>
      <c r="H249" s="76"/>
      <c r="I249" s="33"/>
      <c r="J249" s="33"/>
      <c r="K249" s="33"/>
      <c r="L249" s="33"/>
      <c r="M249" s="33"/>
      <c r="N249" s="33"/>
      <c r="O249" s="33"/>
      <c r="P249" s="33"/>
      <c r="Q249" s="33"/>
      <c r="R249" s="33"/>
      <c r="S249" s="33"/>
      <c r="T249" s="33"/>
      <c r="U249" s="33"/>
      <c r="V249" s="33"/>
      <c r="W249" s="33"/>
      <c r="X249" s="33"/>
    </row>
    <row r="250" spans="1:24" ht="12.75" customHeight="1" x14ac:dyDescent="0.2">
      <c r="A250" s="33"/>
      <c r="B250" s="33"/>
      <c r="C250" s="84"/>
      <c r="D250" s="84"/>
      <c r="E250" s="69"/>
      <c r="F250" s="69"/>
      <c r="G250" s="76"/>
      <c r="H250" s="76"/>
      <c r="I250" s="33"/>
      <c r="J250" s="33"/>
      <c r="K250" s="33"/>
      <c r="L250" s="33"/>
      <c r="M250" s="33"/>
      <c r="N250" s="33"/>
      <c r="O250" s="33"/>
      <c r="P250" s="33"/>
      <c r="Q250" s="33"/>
      <c r="R250" s="33"/>
      <c r="S250" s="33"/>
      <c r="T250" s="33"/>
      <c r="U250" s="33"/>
      <c r="V250" s="33"/>
      <c r="W250" s="33"/>
      <c r="X250" s="33"/>
    </row>
    <row r="251" spans="1:24" ht="12.75" customHeight="1" x14ac:dyDescent="0.2">
      <c r="A251" s="33"/>
      <c r="B251" s="33"/>
      <c r="C251" s="84"/>
      <c r="D251" s="84"/>
      <c r="E251" s="69"/>
      <c r="F251" s="69"/>
      <c r="G251" s="76"/>
      <c r="H251" s="76"/>
      <c r="I251" s="33"/>
      <c r="J251" s="33"/>
      <c r="K251" s="33"/>
      <c r="L251" s="33"/>
      <c r="M251" s="33"/>
      <c r="N251" s="33"/>
      <c r="O251" s="33"/>
      <c r="P251" s="33"/>
      <c r="Q251" s="33"/>
      <c r="R251" s="33"/>
      <c r="S251" s="33"/>
      <c r="T251" s="33"/>
      <c r="U251" s="33"/>
      <c r="V251" s="33"/>
      <c r="W251" s="33"/>
      <c r="X251" s="33"/>
    </row>
    <row r="252" spans="1:24" ht="12.75" customHeight="1" x14ac:dyDescent="0.2">
      <c r="A252" s="33"/>
      <c r="B252" s="33"/>
      <c r="C252" s="84"/>
      <c r="D252" s="84"/>
      <c r="E252" s="69"/>
      <c r="F252" s="69"/>
      <c r="G252" s="76"/>
      <c r="H252" s="76"/>
      <c r="I252" s="33"/>
      <c r="J252" s="33"/>
      <c r="K252" s="33"/>
      <c r="L252" s="33"/>
      <c r="M252" s="33"/>
      <c r="N252" s="33"/>
      <c r="O252" s="33"/>
      <c r="P252" s="33"/>
      <c r="Q252" s="33"/>
      <c r="R252" s="33"/>
      <c r="S252" s="33"/>
      <c r="T252" s="33"/>
      <c r="U252" s="33"/>
      <c r="V252" s="33"/>
      <c r="W252" s="33"/>
      <c r="X252" s="33"/>
    </row>
    <row r="253" spans="1:24" ht="12.75" customHeight="1" x14ac:dyDescent="0.2">
      <c r="A253" s="33"/>
      <c r="B253" s="33"/>
      <c r="C253" s="84"/>
      <c r="D253" s="84"/>
      <c r="E253" s="69"/>
      <c r="F253" s="69"/>
      <c r="G253" s="76"/>
      <c r="H253" s="76"/>
      <c r="I253" s="33"/>
      <c r="J253" s="33"/>
      <c r="K253" s="33"/>
      <c r="L253" s="33"/>
      <c r="M253" s="33"/>
      <c r="N253" s="33"/>
      <c r="O253" s="33"/>
      <c r="P253" s="33"/>
      <c r="Q253" s="33"/>
      <c r="R253" s="33"/>
      <c r="S253" s="33"/>
      <c r="T253" s="33"/>
      <c r="U253" s="33"/>
      <c r="V253" s="33"/>
      <c r="W253" s="33"/>
      <c r="X253" s="33"/>
    </row>
    <row r="254" spans="1:24" ht="12.75" customHeight="1" x14ac:dyDescent="0.2">
      <c r="A254" s="33"/>
      <c r="B254" s="33"/>
      <c r="C254" s="84"/>
      <c r="D254" s="84"/>
      <c r="E254" s="69"/>
      <c r="F254" s="69"/>
      <c r="G254" s="76"/>
      <c r="H254" s="76"/>
      <c r="I254" s="33"/>
      <c r="J254" s="33"/>
      <c r="K254" s="33"/>
      <c r="L254" s="33"/>
      <c r="M254" s="33"/>
      <c r="N254" s="33"/>
      <c r="O254" s="33"/>
      <c r="P254" s="33"/>
      <c r="Q254" s="33"/>
      <c r="R254" s="33"/>
      <c r="S254" s="33"/>
      <c r="T254" s="33"/>
      <c r="U254" s="33"/>
      <c r="V254" s="33"/>
      <c r="W254" s="33"/>
      <c r="X254" s="33"/>
    </row>
    <row r="255" spans="1:24" ht="12.75" customHeight="1" x14ac:dyDescent="0.2">
      <c r="A255" s="33"/>
      <c r="B255" s="33"/>
      <c r="C255" s="84"/>
      <c r="D255" s="84"/>
      <c r="E255" s="69"/>
      <c r="F255" s="69"/>
      <c r="G255" s="76"/>
      <c r="H255" s="76"/>
      <c r="I255" s="33"/>
      <c r="J255" s="33"/>
      <c r="K255" s="33"/>
      <c r="L255" s="33"/>
      <c r="M255" s="33"/>
      <c r="N255" s="33"/>
      <c r="O255" s="33"/>
      <c r="P255" s="33"/>
      <c r="Q255" s="33"/>
      <c r="R255" s="33"/>
      <c r="S255" s="33"/>
      <c r="T255" s="33"/>
      <c r="U255" s="33"/>
      <c r="V255" s="33"/>
      <c r="W255" s="33"/>
      <c r="X255" s="33"/>
    </row>
    <row r="256" spans="1:24" ht="12.75" customHeight="1" x14ac:dyDescent="0.2">
      <c r="A256" s="33"/>
      <c r="B256" s="33"/>
      <c r="C256" s="84"/>
      <c r="D256" s="84"/>
      <c r="E256" s="69"/>
      <c r="F256" s="69"/>
      <c r="G256" s="76"/>
      <c r="H256" s="76"/>
      <c r="I256" s="33"/>
      <c r="J256" s="33"/>
      <c r="K256" s="33"/>
      <c r="L256" s="33"/>
      <c r="M256" s="33"/>
      <c r="N256" s="33"/>
      <c r="O256" s="33"/>
      <c r="P256" s="33"/>
      <c r="Q256" s="33"/>
      <c r="R256" s="33"/>
      <c r="S256" s="33"/>
      <c r="T256" s="33"/>
      <c r="U256" s="33"/>
      <c r="V256" s="33"/>
      <c r="W256" s="33"/>
      <c r="X256" s="33"/>
    </row>
    <row r="257" spans="1:24" ht="12.75" customHeight="1" x14ac:dyDescent="0.2">
      <c r="A257" s="33"/>
      <c r="B257" s="33"/>
      <c r="C257" s="84"/>
      <c r="D257" s="84"/>
      <c r="E257" s="69"/>
      <c r="F257" s="69"/>
      <c r="G257" s="76"/>
      <c r="H257" s="76"/>
      <c r="I257" s="33"/>
      <c r="J257" s="33"/>
      <c r="K257" s="33"/>
      <c r="L257" s="33"/>
      <c r="M257" s="33"/>
      <c r="N257" s="33"/>
      <c r="O257" s="33"/>
      <c r="P257" s="33"/>
      <c r="Q257" s="33"/>
      <c r="R257" s="33"/>
      <c r="S257" s="33"/>
      <c r="T257" s="33"/>
      <c r="U257" s="33"/>
      <c r="V257" s="33"/>
      <c r="W257" s="33"/>
      <c r="X257" s="33"/>
    </row>
    <row r="258" spans="1:24" ht="12.75" customHeight="1" x14ac:dyDescent="0.2">
      <c r="A258" s="33"/>
      <c r="B258" s="33"/>
      <c r="C258" s="84"/>
      <c r="D258" s="84"/>
      <c r="E258" s="69"/>
      <c r="F258" s="69"/>
      <c r="G258" s="76"/>
      <c r="H258" s="76"/>
      <c r="I258" s="33"/>
      <c r="J258" s="33"/>
      <c r="K258" s="33"/>
      <c r="L258" s="33"/>
      <c r="M258" s="33"/>
      <c r="N258" s="33"/>
      <c r="O258" s="33"/>
      <c r="P258" s="33"/>
      <c r="Q258" s="33"/>
      <c r="R258" s="33"/>
      <c r="S258" s="33"/>
      <c r="T258" s="33"/>
      <c r="U258" s="33"/>
      <c r="V258" s="33"/>
      <c r="W258" s="33"/>
      <c r="X258" s="33"/>
    </row>
    <row r="259" spans="1:24" ht="12.75" customHeight="1" x14ac:dyDescent="0.2">
      <c r="A259" s="33"/>
      <c r="B259" s="33"/>
      <c r="C259" s="84"/>
      <c r="D259" s="84"/>
      <c r="E259" s="69"/>
      <c r="F259" s="69"/>
      <c r="G259" s="76"/>
      <c r="H259" s="76"/>
      <c r="I259" s="33"/>
      <c r="J259" s="33"/>
      <c r="K259" s="33"/>
      <c r="L259" s="33"/>
      <c r="M259" s="33"/>
      <c r="N259" s="33"/>
      <c r="O259" s="33"/>
      <c r="P259" s="33"/>
      <c r="Q259" s="33"/>
      <c r="R259" s="33"/>
      <c r="S259" s="33"/>
      <c r="T259" s="33"/>
      <c r="U259" s="33"/>
      <c r="V259" s="33"/>
      <c r="W259" s="33"/>
      <c r="X259" s="33"/>
    </row>
    <row r="260" spans="1:24" ht="12.75" customHeight="1" x14ac:dyDescent="0.2">
      <c r="A260" s="33"/>
      <c r="B260" s="33"/>
      <c r="C260" s="84"/>
      <c r="D260" s="84"/>
      <c r="E260" s="69"/>
      <c r="F260" s="69"/>
      <c r="G260" s="76"/>
      <c r="H260" s="76"/>
      <c r="I260" s="33"/>
      <c r="J260" s="33"/>
      <c r="K260" s="33"/>
      <c r="L260" s="33"/>
      <c r="M260" s="33"/>
      <c r="N260" s="33"/>
      <c r="O260" s="33"/>
      <c r="P260" s="33"/>
      <c r="Q260" s="33"/>
      <c r="R260" s="33"/>
      <c r="S260" s="33"/>
      <c r="T260" s="33"/>
      <c r="U260" s="33"/>
      <c r="V260" s="33"/>
      <c r="W260" s="33"/>
      <c r="X260" s="33"/>
    </row>
    <row r="261" spans="1:24" ht="12.75" customHeight="1" x14ac:dyDescent="0.2">
      <c r="A261" s="33"/>
      <c r="B261" s="33"/>
      <c r="C261" s="84"/>
      <c r="D261" s="84"/>
      <c r="E261" s="69"/>
      <c r="F261" s="69"/>
      <c r="G261" s="76"/>
      <c r="H261" s="76"/>
      <c r="I261" s="33"/>
      <c r="J261" s="33"/>
      <c r="K261" s="33"/>
      <c r="L261" s="33"/>
      <c r="M261" s="33"/>
      <c r="N261" s="33"/>
      <c r="O261" s="33"/>
      <c r="P261" s="33"/>
      <c r="Q261" s="33"/>
      <c r="R261" s="33"/>
      <c r="S261" s="33"/>
      <c r="T261" s="33"/>
      <c r="U261" s="33"/>
      <c r="V261" s="33"/>
      <c r="W261" s="33"/>
      <c r="X261" s="33"/>
    </row>
    <row r="262" spans="1:24" ht="12.75" customHeight="1" x14ac:dyDescent="0.2">
      <c r="A262" s="33"/>
      <c r="B262" s="33"/>
      <c r="C262" s="84"/>
      <c r="D262" s="84"/>
      <c r="E262" s="69"/>
      <c r="F262" s="69"/>
      <c r="G262" s="76"/>
      <c r="H262" s="76"/>
      <c r="I262" s="33"/>
      <c r="J262" s="33"/>
      <c r="K262" s="33"/>
      <c r="L262" s="33"/>
      <c r="M262" s="33"/>
      <c r="N262" s="33"/>
      <c r="O262" s="33"/>
      <c r="P262" s="33"/>
      <c r="Q262" s="33"/>
      <c r="R262" s="33"/>
      <c r="S262" s="33"/>
      <c r="T262" s="33"/>
      <c r="U262" s="33"/>
      <c r="V262" s="33"/>
      <c r="W262" s="33"/>
      <c r="X262" s="33"/>
    </row>
    <row r="263" spans="1:24" ht="12.75" customHeight="1" x14ac:dyDescent="0.2">
      <c r="A263" s="33"/>
      <c r="B263" s="33"/>
      <c r="C263" s="84"/>
      <c r="D263" s="84"/>
      <c r="E263" s="69"/>
      <c r="F263" s="69"/>
      <c r="G263" s="76"/>
      <c r="H263" s="76"/>
      <c r="I263" s="33"/>
      <c r="J263" s="33"/>
      <c r="K263" s="33"/>
      <c r="L263" s="33"/>
      <c r="M263" s="33"/>
      <c r="N263" s="33"/>
      <c r="O263" s="33"/>
      <c r="P263" s="33"/>
      <c r="Q263" s="33"/>
      <c r="R263" s="33"/>
      <c r="S263" s="33"/>
      <c r="T263" s="33"/>
      <c r="U263" s="33"/>
      <c r="V263" s="33"/>
      <c r="W263" s="33"/>
      <c r="X263" s="33"/>
    </row>
    <row r="264" spans="1:24" ht="12.75" customHeight="1" x14ac:dyDescent="0.2">
      <c r="A264" s="33"/>
      <c r="B264" s="33"/>
      <c r="C264" s="84"/>
      <c r="D264" s="84"/>
      <c r="E264" s="69"/>
      <c r="F264" s="69"/>
      <c r="G264" s="76"/>
      <c r="H264" s="76"/>
      <c r="I264" s="33"/>
      <c r="J264" s="33"/>
      <c r="K264" s="33"/>
      <c r="L264" s="33"/>
      <c r="M264" s="33"/>
      <c r="N264" s="33"/>
      <c r="O264" s="33"/>
      <c r="P264" s="33"/>
      <c r="Q264" s="33"/>
      <c r="R264" s="33"/>
      <c r="S264" s="33"/>
      <c r="T264" s="33"/>
      <c r="U264" s="33"/>
      <c r="V264" s="33"/>
      <c r="W264" s="33"/>
      <c r="X264" s="33"/>
    </row>
    <row r="265" spans="1:24" ht="12.75" customHeight="1" x14ac:dyDescent="0.2">
      <c r="A265" s="33"/>
      <c r="B265" s="33"/>
      <c r="C265" s="84"/>
      <c r="D265" s="84"/>
      <c r="E265" s="69"/>
      <c r="F265" s="69"/>
      <c r="G265" s="76"/>
      <c r="H265" s="76"/>
      <c r="I265" s="33"/>
      <c r="J265" s="33"/>
      <c r="K265" s="33"/>
      <c r="L265" s="33"/>
      <c r="M265" s="33"/>
      <c r="N265" s="33"/>
      <c r="O265" s="33"/>
      <c r="P265" s="33"/>
      <c r="Q265" s="33"/>
      <c r="R265" s="33"/>
      <c r="S265" s="33"/>
      <c r="T265" s="33"/>
      <c r="U265" s="33"/>
      <c r="V265" s="33"/>
      <c r="W265" s="33"/>
      <c r="X265" s="33"/>
    </row>
    <row r="266" spans="1:24" ht="12.75" customHeight="1" x14ac:dyDescent="0.2">
      <c r="A266" s="33"/>
      <c r="B266" s="33"/>
      <c r="C266" s="84"/>
      <c r="D266" s="84"/>
      <c r="E266" s="69"/>
      <c r="F266" s="69"/>
      <c r="G266" s="76"/>
      <c r="H266" s="76"/>
      <c r="I266" s="33"/>
      <c r="J266" s="33"/>
      <c r="K266" s="33"/>
      <c r="L266" s="33"/>
      <c r="M266" s="33"/>
      <c r="N266" s="33"/>
      <c r="O266" s="33"/>
      <c r="P266" s="33"/>
      <c r="Q266" s="33"/>
      <c r="R266" s="33"/>
      <c r="S266" s="33"/>
      <c r="T266" s="33"/>
      <c r="U266" s="33"/>
      <c r="V266" s="33"/>
      <c r="W266" s="33"/>
      <c r="X266" s="33"/>
    </row>
    <row r="267" spans="1:24" ht="12.75" customHeight="1" x14ac:dyDescent="0.2">
      <c r="A267" s="33"/>
      <c r="B267" s="33"/>
      <c r="C267" s="84"/>
      <c r="D267" s="84"/>
      <c r="E267" s="69"/>
      <c r="F267" s="69"/>
      <c r="G267" s="76"/>
      <c r="H267" s="76"/>
      <c r="I267" s="33"/>
      <c r="J267" s="33"/>
      <c r="K267" s="33"/>
      <c r="L267" s="33"/>
      <c r="M267" s="33"/>
      <c r="N267" s="33"/>
      <c r="O267" s="33"/>
      <c r="P267" s="33"/>
      <c r="Q267" s="33"/>
      <c r="R267" s="33"/>
      <c r="S267" s="33"/>
      <c r="T267" s="33"/>
      <c r="U267" s="33"/>
      <c r="V267" s="33"/>
      <c r="W267" s="33"/>
      <c r="X267" s="33"/>
    </row>
    <row r="268" spans="1:24" ht="12.75" customHeight="1" x14ac:dyDescent="0.2">
      <c r="A268" s="33"/>
      <c r="B268" s="33"/>
      <c r="C268" s="84"/>
      <c r="D268" s="84"/>
      <c r="E268" s="69"/>
      <c r="F268" s="69"/>
      <c r="G268" s="76"/>
      <c r="H268" s="76"/>
      <c r="I268" s="33"/>
      <c r="J268" s="33"/>
      <c r="K268" s="33"/>
      <c r="L268" s="33"/>
      <c r="M268" s="33"/>
      <c r="N268" s="33"/>
      <c r="O268" s="33"/>
      <c r="P268" s="33"/>
      <c r="Q268" s="33"/>
      <c r="R268" s="33"/>
      <c r="S268" s="33"/>
      <c r="T268" s="33"/>
      <c r="U268" s="33"/>
      <c r="V268" s="33"/>
      <c r="W268" s="33"/>
      <c r="X268" s="33"/>
    </row>
    <row r="269" spans="1:24" ht="12.75" customHeight="1" x14ac:dyDescent="0.2">
      <c r="A269" s="33"/>
      <c r="B269" s="33"/>
      <c r="C269" s="84"/>
      <c r="D269" s="84"/>
      <c r="E269" s="69"/>
      <c r="F269" s="69"/>
      <c r="G269" s="76"/>
      <c r="H269" s="76"/>
      <c r="I269" s="33"/>
      <c r="J269" s="33"/>
      <c r="K269" s="33"/>
      <c r="L269" s="33"/>
      <c r="M269" s="33"/>
      <c r="N269" s="33"/>
      <c r="O269" s="33"/>
      <c r="P269" s="33"/>
      <c r="Q269" s="33"/>
      <c r="R269" s="33"/>
      <c r="S269" s="33"/>
      <c r="T269" s="33"/>
      <c r="U269" s="33"/>
      <c r="V269" s="33"/>
      <c r="W269" s="33"/>
      <c r="X269" s="33"/>
    </row>
    <row r="270" spans="1:24" ht="12.75" customHeight="1" x14ac:dyDescent="0.2">
      <c r="A270" s="33"/>
      <c r="B270" s="33"/>
      <c r="C270" s="84"/>
      <c r="D270" s="84"/>
      <c r="E270" s="69"/>
      <c r="F270" s="69"/>
      <c r="G270" s="76"/>
      <c r="H270" s="76"/>
      <c r="I270" s="33"/>
      <c r="J270" s="33"/>
      <c r="K270" s="33"/>
      <c r="L270" s="33"/>
      <c r="M270" s="33"/>
      <c r="N270" s="33"/>
      <c r="O270" s="33"/>
      <c r="P270" s="33"/>
      <c r="Q270" s="33"/>
      <c r="R270" s="33"/>
      <c r="S270" s="33"/>
      <c r="T270" s="33"/>
      <c r="U270" s="33"/>
      <c r="V270" s="33"/>
      <c r="W270" s="33"/>
      <c r="X270" s="33"/>
    </row>
    <row r="271" spans="1:24" ht="12.75" customHeight="1" x14ac:dyDescent="0.2">
      <c r="A271" s="33"/>
      <c r="B271" s="33"/>
      <c r="C271" s="84"/>
      <c r="D271" s="84"/>
      <c r="E271" s="69"/>
      <c r="F271" s="69"/>
      <c r="G271" s="76"/>
      <c r="H271" s="76"/>
      <c r="I271" s="33"/>
      <c r="J271" s="33"/>
      <c r="K271" s="33"/>
      <c r="L271" s="33"/>
      <c r="M271" s="33"/>
      <c r="N271" s="33"/>
      <c r="O271" s="33"/>
      <c r="P271" s="33"/>
      <c r="Q271" s="33"/>
      <c r="R271" s="33"/>
      <c r="S271" s="33"/>
      <c r="T271" s="33"/>
      <c r="U271" s="33"/>
      <c r="V271" s="33"/>
      <c r="W271" s="33"/>
      <c r="X271" s="33"/>
    </row>
    <row r="272" spans="1:24" ht="12.75" customHeight="1" x14ac:dyDescent="0.2">
      <c r="A272" s="33"/>
      <c r="B272" s="33"/>
      <c r="C272" s="84"/>
      <c r="D272" s="84"/>
      <c r="E272" s="69"/>
      <c r="F272" s="69"/>
      <c r="G272" s="76"/>
      <c r="H272" s="76"/>
      <c r="I272" s="33"/>
      <c r="J272" s="33"/>
      <c r="K272" s="33"/>
      <c r="L272" s="33"/>
      <c r="M272" s="33"/>
      <c r="N272" s="33"/>
      <c r="O272" s="33"/>
      <c r="P272" s="33"/>
      <c r="Q272" s="33"/>
      <c r="R272" s="33"/>
      <c r="S272" s="33"/>
      <c r="T272" s="33"/>
      <c r="U272" s="33"/>
      <c r="V272" s="33"/>
      <c r="W272" s="33"/>
      <c r="X272" s="33"/>
    </row>
    <row r="273" spans="1:24" ht="12.75" customHeight="1" x14ac:dyDescent="0.2">
      <c r="A273" s="33"/>
      <c r="B273" s="33"/>
      <c r="C273" s="84"/>
      <c r="D273" s="84"/>
      <c r="E273" s="69"/>
      <c r="F273" s="69"/>
      <c r="G273" s="76"/>
      <c r="H273" s="76"/>
      <c r="I273" s="33"/>
      <c r="J273" s="33"/>
      <c r="K273" s="33"/>
      <c r="L273" s="33"/>
      <c r="M273" s="33"/>
      <c r="N273" s="33"/>
      <c r="O273" s="33"/>
      <c r="P273" s="33"/>
      <c r="Q273" s="33"/>
      <c r="R273" s="33"/>
      <c r="S273" s="33"/>
      <c r="T273" s="33"/>
      <c r="U273" s="33"/>
      <c r="V273" s="33"/>
      <c r="W273" s="33"/>
      <c r="X273" s="33"/>
    </row>
    <row r="274" spans="1:24" ht="12.75" customHeight="1" x14ac:dyDescent="0.2">
      <c r="A274" s="33"/>
      <c r="B274" s="33"/>
      <c r="C274" s="84"/>
      <c r="D274" s="84"/>
      <c r="E274" s="69"/>
      <c r="F274" s="69"/>
      <c r="G274" s="76"/>
      <c r="H274" s="76"/>
      <c r="I274" s="33"/>
      <c r="J274" s="33"/>
      <c r="K274" s="33"/>
      <c r="L274" s="33"/>
      <c r="M274" s="33"/>
      <c r="N274" s="33"/>
      <c r="O274" s="33"/>
      <c r="P274" s="33"/>
      <c r="Q274" s="33"/>
      <c r="R274" s="33"/>
      <c r="S274" s="33"/>
      <c r="T274" s="33"/>
      <c r="U274" s="33"/>
      <c r="V274" s="33"/>
      <c r="W274" s="33"/>
      <c r="X274" s="33"/>
    </row>
    <row r="275" spans="1:24" ht="12.75" customHeight="1" x14ac:dyDescent="0.2">
      <c r="A275" s="33"/>
      <c r="B275" s="33"/>
      <c r="C275" s="84"/>
      <c r="D275" s="84"/>
      <c r="E275" s="69"/>
      <c r="F275" s="69"/>
      <c r="G275" s="76"/>
      <c r="H275" s="76"/>
      <c r="I275" s="33"/>
      <c r="J275" s="33"/>
      <c r="K275" s="33"/>
      <c r="L275" s="33"/>
      <c r="M275" s="33"/>
      <c r="N275" s="33"/>
      <c r="O275" s="33"/>
      <c r="P275" s="33"/>
      <c r="Q275" s="33"/>
      <c r="R275" s="33"/>
      <c r="S275" s="33"/>
      <c r="T275" s="33"/>
      <c r="U275" s="33"/>
      <c r="V275" s="33"/>
      <c r="W275" s="33"/>
      <c r="X275" s="33"/>
    </row>
    <row r="276" spans="1:24" ht="12.75" customHeight="1" x14ac:dyDescent="0.2">
      <c r="A276" s="33"/>
      <c r="B276" s="33"/>
      <c r="C276" s="84"/>
      <c r="D276" s="84"/>
      <c r="E276" s="69"/>
      <c r="F276" s="69"/>
      <c r="G276" s="76"/>
      <c r="H276" s="76"/>
      <c r="I276" s="33"/>
      <c r="J276" s="33"/>
      <c r="K276" s="33"/>
      <c r="L276" s="33"/>
      <c r="M276" s="33"/>
      <c r="N276" s="33"/>
      <c r="O276" s="33"/>
      <c r="P276" s="33"/>
      <c r="Q276" s="33"/>
      <c r="R276" s="33"/>
      <c r="S276" s="33"/>
      <c r="T276" s="33"/>
      <c r="U276" s="33"/>
      <c r="V276" s="33"/>
      <c r="W276" s="33"/>
      <c r="X276" s="33"/>
    </row>
    <row r="277" spans="1:24" ht="12.75" customHeight="1" x14ac:dyDescent="0.2">
      <c r="A277" s="33"/>
      <c r="B277" s="33"/>
      <c r="C277" s="84"/>
      <c r="D277" s="84"/>
      <c r="E277" s="69"/>
      <c r="F277" s="69"/>
      <c r="G277" s="76"/>
      <c r="H277" s="76"/>
      <c r="I277" s="33"/>
      <c r="J277" s="33"/>
      <c r="K277" s="33"/>
      <c r="L277" s="33"/>
      <c r="M277" s="33"/>
      <c r="N277" s="33"/>
      <c r="O277" s="33"/>
      <c r="P277" s="33"/>
      <c r="Q277" s="33"/>
      <c r="R277" s="33"/>
      <c r="S277" s="33"/>
      <c r="T277" s="33"/>
      <c r="U277" s="33"/>
      <c r="V277" s="33"/>
      <c r="W277" s="33"/>
      <c r="X277" s="33"/>
    </row>
    <row r="278" spans="1:24" ht="12.75" customHeight="1" x14ac:dyDescent="0.2">
      <c r="A278" s="33"/>
      <c r="B278" s="33"/>
      <c r="C278" s="84"/>
      <c r="D278" s="84"/>
      <c r="E278" s="69"/>
      <c r="F278" s="69"/>
      <c r="G278" s="76"/>
      <c r="H278" s="76"/>
      <c r="I278" s="33"/>
      <c r="J278" s="33"/>
      <c r="K278" s="33"/>
      <c r="L278" s="33"/>
      <c r="M278" s="33"/>
      <c r="N278" s="33"/>
      <c r="O278" s="33"/>
      <c r="P278" s="33"/>
      <c r="Q278" s="33"/>
      <c r="R278" s="33"/>
      <c r="S278" s="33"/>
      <c r="T278" s="33"/>
      <c r="U278" s="33"/>
      <c r="V278" s="33"/>
      <c r="W278" s="33"/>
      <c r="X278" s="33"/>
    </row>
    <row r="279" spans="1:24" ht="12.75" customHeight="1" x14ac:dyDescent="0.2">
      <c r="A279" s="33"/>
      <c r="B279" s="33"/>
      <c r="C279" s="84"/>
      <c r="D279" s="84"/>
      <c r="E279" s="69"/>
      <c r="F279" s="69"/>
      <c r="G279" s="76"/>
      <c r="H279" s="76"/>
      <c r="I279" s="33"/>
      <c r="J279" s="33"/>
      <c r="K279" s="33"/>
      <c r="L279" s="33"/>
      <c r="M279" s="33"/>
      <c r="N279" s="33"/>
      <c r="O279" s="33"/>
      <c r="P279" s="33"/>
      <c r="Q279" s="33"/>
      <c r="R279" s="33"/>
      <c r="S279" s="33"/>
      <c r="T279" s="33"/>
      <c r="U279" s="33"/>
      <c r="V279" s="33"/>
      <c r="W279" s="33"/>
      <c r="X279" s="33"/>
    </row>
    <row r="280" spans="1:24" ht="12.75" customHeight="1" x14ac:dyDescent="0.2">
      <c r="A280" s="33"/>
      <c r="B280" s="33"/>
      <c r="C280" s="84"/>
      <c r="D280" s="84"/>
      <c r="E280" s="69"/>
      <c r="F280" s="69"/>
      <c r="G280" s="76"/>
      <c r="H280" s="76"/>
      <c r="I280" s="33"/>
      <c r="J280" s="33"/>
      <c r="K280" s="33"/>
      <c r="L280" s="33"/>
      <c r="M280" s="33"/>
      <c r="N280" s="33"/>
      <c r="O280" s="33"/>
      <c r="P280" s="33"/>
      <c r="Q280" s="33"/>
      <c r="R280" s="33"/>
      <c r="S280" s="33"/>
      <c r="T280" s="33"/>
      <c r="U280" s="33"/>
      <c r="V280" s="33"/>
      <c r="W280" s="33"/>
      <c r="X280" s="33"/>
    </row>
    <row r="281" spans="1:24" ht="12.75" customHeight="1" x14ac:dyDescent="0.2">
      <c r="A281" s="33"/>
      <c r="B281" s="33"/>
      <c r="C281" s="84"/>
      <c r="D281" s="84"/>
      <c r="E281" s="69"/>
      <c r="F281" s="69"/>
      <c r="G281" s="76"/>
      <c r="H281" s="76"/>
      <c r="I281" s="33"/>
      <c r="J281" s="33"/>
      <c r="K281" s="33"/>
      <c r="L281" s="33"/>
      <c r="M281" s="33"/>
      <c r="N281" s="33"/>
      <c r="O281" s="33"/>
      <c r="P281" s="33"/>
      <c r="Q281" s="33"/>
      <c r="R281" s="33"/>
      <c r="S281" s="33"/>
      <c r="T281" s="33"/>
      <c r="U281" s="33"/>
      <c r="V281" s="33"/>
      <c r="W281" s="33"/>
      <c r="X281" s="33"/>
    </row>
    <row r="282" spans="1:24" ht="12.75" customHeight="1" x14ac:dyDescent="0.2">
      <c r="A282" s="33"/>
      <c r="B282" s="33"/>
      <c r="C282" s="84"/>
      <c r="D282" s="84"/>
      <c r="E282" s="69"/>
      <c r="F282" s="69"/>
      <c r="G282" s="76"/>
      <c r="H282" s="76"/>
      <c r="I282" s="33"/>
      <c r="J282" s="33"/>
      <c r="K282" s="33"/>
      <c r="L282" s="33"/>
      <c r="M282" s="33"/>
      <c r="N282" s="33"/>
      <c r="O282" s="33"/>
      <c r="P282" s="33"/>
      <c r="Q282" s="33"/>
      <c r="R282" s="33"/>
      <c r="S282" s="33"/>
      <c r="T282" s="33"/>
      <c r="U282" s="33"/>
      <c r="V282" s="33"/>
      <c r="W282" s="33"/>
      <c r="X282" s="33"/>
    </row>
    <row r="283" spans="1:24" ht="12.75" customHeight="1" x14ac:dyDescent="0.2">
      <c r="A283" s="33"/>
      <c r="B283" s="33"/>
      <c r="C283" s="84"/>
      <c r="D283" s="84"/>
      <c r="E283" s="69"/>
      <c r="F283" s="69"/>
      <c r="G283" s="76"/>
      <c r="H283" s="76"/>
      <c r="I283" s="33"/>
      <c r="J283" s="33"/>
      <c r="K283" s="33"/>
      <c r="L283" s="33"/>
      <c r="M283" s="33"/>
      <c r="N283" s="33"/>
      <c r="O283" s="33"/>
      <c r="P283" s="33"/>
      <c r="Q283" s="33"/>
      <c r="R283" s="33"/>
      <c r="S283" s="33"/>
      <c r="T283" s="33"/>
      <c r="U283" s="33"/>
      <c r="V283" s="33"/>
      <c r="W283" s="33"/>
      <c r="X283" s="33"/>
    </row>
    <row r="284" spans="1:24" ht="12.75" customHeight="1" x14ac:dyDescent="0.2">
      <c r="A284" s="33"/>
      <c r="B284" s="33"/>
      <c r="C284" s="84"/>
      <c r="D284" s="84"/>
      <c r="E284" s="69"/>
      <c r="F284" s="69"/>
      <c r="G284" s="76"/>
      <c r="H284" s="76"/>
      <c r="I284" s="33"/>
      <c r="J284" s="33"/>
      <c r="K284" s="33"/>
      <c r="L284" s="33"/>
      <c r="M284" s="33"/>
      <c r="N284" s="33"/>
      <c r="O284" s="33"/>
      <c r="P284" s="33"/>
      <c r="Q284" s="33"/>
      <c r="R284" s="33"/>
      <c r="S284" s="33"/>
      <c r="T284" s="33"/>
      <c r="U284" s="33"/>
      <c r="V284" s="33"/>
      <c r="W284" s="33"/>
      <c r="X284" s="33"/>
    </row>
    <row r="285" spans="1:24" ht="12.75" customHeight="1" x14ac:dyDescent="0.2">
      <c r="A285" s="33"/>
      <c r="B285" s="33"/>
      <c r="C285" s="84"/>
      <c r="D285" s="84"/>
      <c r="E285" s="69"/>
      <c r="F285" s="69"/>
      <c r="G285" s="76"/>
      <c r="H285" s="76"/>
      <c r="I285" s="33"/>
      <c r="J285" s="33"/>
      <c r="K285" s="33"/>
      <c r="L285" s="33"/>
      <c r="M285" s="33"/>
      <c r="N285" s="33"/>
      <c r="O285" s="33"/>
      <c r="P285" s="33"/>
      <c r="Q285" s="33"/>
      <c r="R285" s="33"/>
      <c r="S285" s="33"/>
      <c r="T285" s="33"/>
      <c r="U285" s="33"/>
      <c r="V285" s="33"/>
      <c r="W285" s="33"/>
      <c r="X285" s="33"/>
    </row>
    <row r="286" spans="1:24" ht="12.75" customHeight="1" x14ac:dyDescent="0.2">
      <c r="A286" s="33"/>
      <c r="B286" s="33"/>
      <c r="C286" s="84"/>
      <c r="D286" s="84"/>
      <c r="E286" s="69"/>
      <c r="F286" s="69"/>
      <c r="G286" s="76"/>
      <c r="H286" s="76"/>
      <c r="I286" s="33"/>
      <c r="J286" s="33"/>
      <c r="K286" s="33"/>
      <c r="L286" s="33"/>
      <c r="M286" s="33"/>
      <c r="N286" s="33"/>
      <c r="O286" s="33"/>
      <c r="P286" s="33"/>
      <c r="Q286" s="33"/>
      <c r="R286" s="33"/>
      <c r="S286" s="33"/>
      <c r="T286" s="33"/>
      <c r="U286" s="33"/>
      <c r="V286" s="33"/>
      <c r="W286" s="33"/>
      <c r="X286" s="33"/>
    </row>
    <row r="287" spans="1:24" ht="12.75" customHeight="1" x14ac:dyDescent="0.2">
      <c r="A287" s="33"/>
      <c r="B287" s="33"/>
      <c r="C287" s="84"/>
      <c r="D287" s="84"/>
      <c r="E287" s="69"/>
      <c r="F287" s="69"/>
      <c r="G287" s="76"/>
      <c r="H287" s="76"/>
      <c r="I287" s="33"/>
      <c r="J287" s="33"/>
      <c r="K287" s="33"/>
      <c r="L287" s="33"/>
      <c r="M287" s="33"/>
      <c r="N287" s="33"/>
      <c r="O287" s="33"/>
      <c r="P287" s="33"/>
      <c r="Q287" s="33"/>
      <c r="R287" s="33"/>
      <c r="S287" s="33"/>
      <c r="T287" s="33"/>
      <c r="U287" s="33"/>
      <c r="V287" s="33"/>
      <c r="W287" s="33"/>
      <c r="X287" s="33"/>
    </row>
    <row r="288" spans="1:24" ht="12.75" customHeight="1" x14ac:dyDescent="0.2">
      <c r="A288" s="33"/>
      <c r="B288" s="33"/>
      <c r="C288" s="84"/>
      <c r="D288" s="84"/>
      <c r="E288" s="69"/>
      <c r="F288" s="69"/>
      <c r="G288" s="76"/>
      <c r="H288" s="76"/>
      <c r="I288" s="33"/>
      <c r="J288" s="33"/>
      <c r="K288" s="33"/>
      <c r="L288" s="33"/>
      <c r="M288" s="33"/>
      <c r="N288" s="33"/>
      <c r="O288" s="33"/>
      <c r="P288" s="33"/>
      <c r="Q288" s="33"/>
      <c r="R288" s="33"/>
      <c r="S288" s="33"/>
      <c r="T288" s="33"/>
      <c r="U288" s="33"/>
      <c r="V288" s="33"/>
      <c r="W288" s="33"/>
      <c r="X288" s="33"/>
    </row>
    <row r="289" spans="1:24" ht="12.75" customHeight="1" x14ac:dyDescent="0.2">
      <c r="A289" s="33"/>
      <c r="B289" s="33"/>
      <c r="C289" s="84"/>
      <c r="D289" s="84"/>
      <c r="E289" s="69"/>
      <c r="F289" s="69"/>
      <c r="G289" s="76"/>
      <c r="H289" s="76"/>
      <c r="I289" s="33"/>
      <c r="J289" s="33"/>
      <c r="K289" s="33"/>
      <c r="L289" s="33"/>
      <c r="M289" s="33"/>
      <c r="N289" s="33"/>
      <c r="O289" s="33"/>
      <c r="P289" s="33"/>
      <c r="Q289" s="33"/>
      <c r="R289" s="33"/>
      <c r="S289" s="33"/>
      <c r="T289" s="33"/>
      <c r="U289" s="33"/>
      <c r="V289" s="33"/>
      <c r="W289" s="33"/>
      <c r="X289" s="33"/>
    </row>
    <row r="290" spans="1:24" ht="12.75" customHeight="1" x14ac:dyDescent="0.2">
      <c r="A290" s="33"/>
      <c r="B290" s="33"/>
      <c r="C290" s="84"/>
      <c r="D290" s="84"/>
      <c r="E290" s="69"/>
      <c r="F290" s="69"/>
      <c r="G290" s="76"/>
      <c r="H290" s="76"/>
      <c r="I290" s="33"/>
      <c r="J290" s="33"/>
      <c r="K290" s="33"/>
      <c r="L290" s="33"/>
      <c r="M290" s="33"/>
      <c r="N290" s="33"/>
      <c r="O290" s="33"/>
      <c r="P290" s="33"/>
      <c r="Q290" s="33"/>
      <c r="R290" s="33"/>
      <c r="S290" s="33"/>
      <c r="T290" s="33"/>
      <c r="U290" s="33"/>
      <c r="V290" s="33"/>
      <c r="W290" s="33"/>
      <c r="X290" s="33"/>
    </row>
    <row r="291" spans="1:24" ht="12.75" customHeight="1" x14ac:dyDescent="0.2">
      <c r="A291" s="33"/>
      <c r="B291" s="33"/>
      <c r="C291" s="84"/>
      <c r="D291" s="84"/>
      <c r="E291" s="69"/>
      <c r="F291" s="69"/>
      <c r="G291" s="76"/>
      <c r="H291" s="76"/>
      <c r="I291" s="33"/>
      <c r="J291" s="33"/>
      <c r="K291" s="33"/>
      <c r="L291" s="33"/>
      <c r="M291" s="33"/>
      <c r="N291" s="33"/>
      <c r="O291" s="33"/>
      <c r="P291" s="33"/>
      <c r="Q291" s="33"/>
      <c r="R291" s="33"/>
      <c r="S291" s="33"/>
      <c r="T291" s="33"/>
      <c r="U291" s="33"/>
      <c r="V291" s="33"/>
      <c r="W291" s="33"/>
      <c r="X291" s="33"/>
    </row>
    <row r="292" spans="1:24" ht="12.75" customHeight="1" x14ac:dyDescent="0.2">
      <c r="A292" s="33"/>
      <c r="B292" s="33"/>
      <c r="C292" s="84"/>
      <c r="D292" s="84"/>
      <c r="E292" s="69"/>
      <c r="F292" s="69"/>
      <c r="G292" s="76"/>
      <c r="H292" s="76"/>
      <c r="I292" s="33"/>
      <c r="J292" s="33"/>
      <c r="K292" s="33"/>
      <c r="L292" s="33"/>
      <c r="M292" s="33"/>
      <c r="N292" s="33"/>
      <c r="O292" s="33"/>
      <c r="P292" s="33"/>
      <c r="Q292" s="33"/>
      <c r="R292" s="33"/>
      <c r="S292" s="33"/>
      <c r="T292" s="33"/>
      <c r="U292" s="33"/>
      <c r="V292" s="33"/>
      <c r="W292" s="33"/>
      <c r="X292" s="33"/>
    </row>
    <row r="293" spans="1:24" ht="12.75" customHeight="1" x14ac:dyDescent="0.2">
      <c r="A293" s="33"/>
      <c r="B293" s="33"/>
      <c r="C293" s="84"/>
      <c r="D293" s="84"/>
      <c r="E293" s="69"/>
      <c r="F293" s="69"/>
      <c r="G293" s="76"/>
      <c r="H293" s="76"/>
      <c r="I293" s="33"/>
      <c r="J293" s="33"/>
      <c r="K293" s="33"/>
      <c r="L293" s="33"/>
      <c r="M293" s="33"/>
      <c r="N293" s="33"/>
      <c r="O293" s="33"/>
      <c r="P293" s="33"/>
      <c r="Q293" s="33"/>
      <c r="R293" s="33"/>
      <c r="S293" s="33"/>
      <c r="T293" s="33"/>
      <c r="U293" s="33"/>
      <c r="V293" s="33"/>
      <c r="W293" s="33"/>
      <c r="X293" s="33"/>
    </row>
    <row r="294" spans="1:24" ht="12.75" customHeight="1" x14ac:dyDescent="0.2">
      <c r="A294" s="33"/>
      <c r="B294" s="33"/>
      <c r="C294" s="84"/>
      <c r="D294" s="84"/>
      <c r="E294" s="69"/>
      <c r="F294" s="69"/>
      <c r="G294" s="76"/>
      <c r="H294" s="76"/>
      <c r="I294" s="33"/>
      <c r="J294" s="33"/>
      <c r="K294" s="33"/>
      <c r="L294" s="33"/>
      <c r="M294" s="33"/>
      <c r="N294" s="33"/>
      <c r="O294" s="33"/>
      <c r="P294" s="33"/>
      <c r="Q294" s="33"/>
      <c r="R294" s="33"/>
      <c r="S294" s="33"/>
      <c r="T294" s="33"/>
      <c r="U294" s="33"/>
      <c r="V294" s="33"/>
      <c r="W294" s="33"/>
      <c r="X294" s="33"/>
    </row>
    <row r="295" spans="1:24" ht="12.75" customHeight="1" x14ac:dyDescent="0.2">
      <c r="A295" s="33"/>
      <c r="B295" s="33"/>
      <c r="C295" s="84"/>
      <c r="D295" s="84"/>
      <c r="E295" s="69"/>
      <c r="F295" s="69"/>
      <c r="G295" s="76"/>
      <c r="H295" s="76"/>
      <c r="I295" s="33"/>
      <c r="J295" s="33"/>
      <c r="K295" s="33"/>
      <c r="L295" s="33"/>
      <c r="M295" s="33"/>
      <c r="N295" s="33"/>
      <c r="O295" s="33"/>
      <c r="P295" s="33"/>
      <c r="Q295" s="33"/>
      <c r="R295" s="33"/>
      <c r="S295" s="33"/>
      <c r="T295" s="33"/>
      <c r="U295" s="33"/>
      <c r="V295" s="33"/>
      <c r="W295" s="33"/>
      <c r="X295" s="33"/>
    </row>
    <row r="296" spans="1:24" ht="12.75" customHeight="1" x14ac:dyDescent="0.2">
      <c r="A296" s="33"/>
      <c r="B296" s="33"/>
      <c r="C296" s="84"/>
      <c r="D296" s="84"/>
      <c r="E296" s="69"/>
      <c r="F296" s="69"/>
      <c r="G296" s="76"/>
      <c r="H296" s="76"/>
      <c r="I296" s="33"/>
      <c r="J296" s="33"/>
      <c r="K296" s="33"/>
      <c r="L296" s="33"/>
      <c r="M296" s="33"/>
      <c r="N296" s="33"/>
      <c r="O296" s="33"/>
      <c r="P296" s="33"/>
      <c r="Q296" s="33"/>
      <c r="R296" s="33"/>
      <c r="S296" s="33"/>
      <c r="T296" s="33"/>
      <c r="U296" s="33"/>
      <c r="V296" s="33"/>
      <c r="W296" s="33"/>
      <c r="X296" s="33"/>
    </row>
    <row r="297" spans="1:24" ht="12.75" customHeight="1" x14ac:dyDescent="0.2">
      <c r="A297" s="33"/>
      <c r="B297" s="33"/>
      <c r="C297" s="84"/>
      <c r="D297" s="84"/>
      <c r="E297" s="69"/>
      <c r="F297" s="69"/>
      <c r="G297" s="76"/>
      <c r="H297" s="76"/>
      <c r="I297" s="33"/>
      <c r="J297" s="33"/>
      <c r="K297" s="33"/>
      <c r="L297" s="33"/>
      <c r="M297" s="33"/>
      <c r="N297" s="33"/>
      <c r="O297" s="33"/>
      <c r="P297" s="33"/>
      <c r="Q297" s="33"/>
      <c r="R297" s="33"/>
      <c r="S297" s="33"/>
      <c r="T297" s="33"/>
      <c r="U297" s="33"/>
      <c r="V297" s="33"/>
      <c r="W297" s="33"/>
      <c r="X297" s="33"/>
    </row>
    <row r="298" spans="1:24" ht="12.75" customHeight="1" x14ac:dyDescent="0.2">
      <c r="A298" s="33"/>
      <c r="B298" s="33"/>
      <c r="C298" s="84"/>
      <c r="D298" s="84"/>
      <c r="E298" s="69"/>
      <c r="F298" s="69"/>
      <c r="G298" s="76"/>
      <c r="H298" s="76"/>
      <c r="I298" s="33"/>
      <c r="J298" s="33"/>
      <c r="K298" s="33"/>
      <c r="L298" s="33"/>
      <c r="M298" s="33"/>
      <c r="N298" s="33"/>
      <c r="O298" s="33"/>
      <c r="P298" s="33"/>
      <c r="Q298" s="33"/>
      <c r="R298" s="33"/>
      <c r="S298" s="33"/>
      <c r="T298" s="33"/>
      <c r="U298" s="33"/>
      <c r="V298" s="33"/>
      <c r="W298" s="33"/>
      <c r="X298" s="33"/>
    </row>
    <row r="299" spans="1:24" ht="12.75" customHeight="1" x14ac:dyDescent="0.2">
      <c r="A299" s="33"/>
      <c r="B299" s="33"/>
      <c r="C299" s="84"/>
      <c r="D299" s="84"/>
      <c r="E299" s="69"/>
      <c r="F299" s="69"/>
      <c r="G299" s="76"/>
      <c r="H299" s="76"/>
      <c r="I299" s="33"/>
      <c r="J299" s="33"/>
      <c r="K299" s="33"/>
      <c r="L299" s="33"/>
      <c r="M299" s="33"/>
      <c r="N299" s="33"/>
      <c r="O299" s="33"/>
      <c r="P299" s="33"/>
      <c r="Q299" s="33"/>
      <c r="R299" s="33"/>
      <c r="S299" s="33"/>
      <c r="T299" s="33"/>
      <c r="U299" s="33"/>
      <c r="V299" s="33"/>
      <c r="W299" s="33"/>
      <c r="X299" s="33"/>
    </row>
    <row r="300" spans="1:24" ht="12.75" customHeight="1" x14ac:dyDescent="0.2">
      <c r="A300" s="33"/>
      <c r="B300" s="33"/>
      <c r="C300" s="84"/>
      <c r="D300" s="84"/>
      <c r="E300" s="69"/>
      <c r="F300" s="69"/>
      <c r="G300" s="76"/>
      <c r="H300" s="76"/>
      <c r="I300" s="33"/>
      <c r="J300" s="33"/>
      <c r="K300" s="33"/>
      <c r="L300" s="33"/>
      <c r="M300" s="33"/>
      <c r="N300" s="33"/>
      <c r="O300" s="33"/>
      <c r="P300" s="33"/>
      <c r="Q300" s="33"/>
      <c r="R300" s="33"/>
      <c r="S300" s="33"/>
      <c r="T300" s="33"/>
      <c r="U300" s="33"/>
      <c r="V300" s="33"/>
      <c r="W300" s="33"/>
      <c r="X300" s="33"/>
    </row>
    <row r="301" spans="1:24" ht="12.75" customHeight="1" x14ac:dyDescent="0.2">
      <c r="A301" s="33"/>
      <c r="B301" s="33"/>
      <c r="C301" s="84"/>
      <c r="D301" s="84"/>
      <c r="E301" s="69"/>
      <c r="F301" s="69"/>
      <c r="G301" s="76"/>
      <c r="H301" s="76"/>
      <c r="I301" s="33"/>
      <c r="J301" s="33"/>
      <c r="K301" s="33"/>
      <c r="L301" s="33"/>
      <c r="M301" s="33"/>
      <c r="N301" s="33"/>
      <c r="O301" s="33"/>
      <c r="P301" s="33"/>
      <c r="Q301" s="33"/>
      <c r="R301" s="33"/>
      <c r="S301" s="33"/>
      <c r="T301" s="33"/>
      <c r="U301" s="33"/>
      <c r="V301" s="33"/>
      <c r="W301" s="33"/>
      <c r="X301" s="33"/>
    </row>
    <row r="302" spans="1:24" ht="12.75" customHeight="1" x14ac:dyDescent="0.2">
      <c r="A302" s="33"/>
      <c r="B302" s="33"/>
      <c r="C302" s="84"/>
      <c r="D302" s="84"/>
      <c r="E302" s="69"/>
      <c r="F302" s="69"/>
      <c r="G302" s="76"/>
      <c r="H302" s="76"/>
      <c r="I302" s="33"/>
      <c r="J302" s="33"/>
      <c r="K302" s="33"/>
      <c r="L302" s="33"/>
      <c r="M302" s="33"/>
      <c r="N302" s="33"/>
      <c r="O302" s="33"/>
      <c r="P302" s="33"/>
      <c r="Q302" s="33"/>
      <c r="R302" s="33"/>
      <c r="S302" s="33"/>
      <c r="T302" s="33"/>
      <c r="U302" s="33"/>
      <c r="V302" s="33"/>
      <c r="W302" s="33"/>
      <c r="X302" s="33"/>
    </row>
    <row r="303" spans="1:24" ht="12.75" customHeight="1" x14ac:dyDescent="0.2">
      <c r="A303" s="33"/>
      <c r="B303" s="33"/>
      <c r="C303" s="84"/>
      <c r="D303" s="84"/>
      <c r="E303" s="69"/>
      <c r="F303" s="69"/>
      <c r="G303" s="76"/>
      <c r="H303" s="76"/>
      <c r="I303" s="33"/>
      <c r="J303" s="33"/>
      <c r="K303" s="33"/>
      <c r="L303" s="33"/>
      <c r="M303" s="33"/>
      <c r="N303" s="33"/>
      <c r="O303" s="33"/>
      <c r="P303" s="33"/>
      <c r="Q303" s="33"/>
      <c r="R303" s="33"/>
      <c r="S303" s="33"/>
      <c r="T303" s="33"/>
      <c r="U303" s="33"/>
      <c r="V303" s="33"/>
      <c r="W303" s="33"/>
      <c r="X303" s="33"/>
    </row>
    <row r="304" spans="1:24" ht="12.75" customHeight="1" x14ac:dyDescent="0.2">
      <c r="A304" s="33"/>
      <c r="B304" s="33"/>
      <c r="C304" s="84"/>
      <c r="D304" s="84"/>
      <c r="E304" s="69"/>
      <c r="F304" s="69"/>
      <c r="G304" s="76"/>
      <c r="H304" s="76"/>
      <c r="I304" s="33"/>
      <c r="J304" s="33"/>
      <c r="K304" s="33"/>
      <c r="L304" s="33"/>
      <c r="M304" s="33"/>
      <c r="N304" s="33"/>
      <c r="O304" s="33"/>
      <c r="P304" s="33"/>
      <c r="Q304" s="33"/>
      <c r="R304" s="33"/>
      <c r="S304" s="33"/>
      <c r="T304" s="33"/>
      <c r="U304" s="33"/>
      <c r="V304" s="33"/>
      <c r="W304" s="33"/>
      <c r="X304" s="33"/>
    </row>
    <row r="305" spans="1:24" ht="12.75" customHeight="1" x14ac:dyDescent="0.2">
      <c r="A305" s="33"/>
      <c r="B305" s="33"/>
      <c r="C305" s="84"/>
      <c r="D305" s="84"/>
      <c r="E305" s="69"/>
      <c r="F305" s="69"/>
      <c r="G305" s="76"/>
      <c r="H305" s="76"/>
      <c r="I305" s="33"/>
      <c r="J305" s="33"/>
      <c r="K305" s="33"/>
      <c r="L305" s="33"/>
      <c r="M305" s="33"/>
      <c r="N305" s="33"/>
      <c r="O305" s="33"/>
      <c r="P305" s="33"/>
      <c r="Q305" s="33"/>
      <c r="R305" s="33"/>
      <c r="S305" s="33"/>
      <c r="T305" s="33"/>
      <c r="U305" s="33"/>
      <c r="V305" s="33"/>
      <c r="W305" s="33"/>
      <c r="X305" s="33"/>
    </row>
    <row r="306" spans="1:24" ht="12.75" customHeight="1" x14ac:dyDescent="0.2">
      <c r="A306" s="33"/>
      <c r="B306" s="33"/>
      <c r="C306" s="84"/>
      <c r="D306" s="84"/>
      <c r="E306" s="69"/>
      <c r="F306" s="69"/>
      <c r="G306" s="76"/>
      <c r="H306" s="76"/>
      <c r="I306" s="33"/>
      <c r="J306" s="33"/>
      <c r="K306" s="33"/>
      <c r="L306" s="33"/>
      <c r="M306" s="33"/>
      <c r="N306" s="33"/>
      <c r="O306" s="33"/>
      <c r="P306" s="33"/>
      <c r="Q306" s="33"/>
      <c r="R306" s="33"/>
      <c r="S306" s="33"/>
      <c r="T306" s="33"/>
      <c r="U306" s="33"/>
      <c r="V306" s="33"/>
      <c r="W306" s="33"/>
      <c r="X306" s="33"/>
    </row>
    <row r="307" spans="1:24" ht="12.75" customHeight="1" x14ac:dyDescent="0.2">
      <c r="A307" s="33"/>
      <c r="B307" s="33"/>
      <c r="C307" s="84"/>
      <c r="D307" s="84"/>
      <c r="E307" s="69"/>
      <c r="F307" s="69"/>
      <c r="G307" s="76"/>
      <c r="H307" s="76"/>
      <c r="I307" s="33"/>
      <c r="J307" s="33"/>
      <c r="K307" s="33"/>
      <c r="L307" s="33"/>
      <c r="M307" s="33"/>
      <c r="N307" s="33"/>
      <c r="O307" s="33"/>
      <c r="P307" s="33"/>
      <c r="Q307" s="33"/>
      <c r="R307" s="33"/>
      <c r="S307" s="33"/>
      <c r="T307" s="33"/>
      <c r="U307" s="33"/>
      <c r="V307" s="33"/>
      <c r="W307" s="33"/>
      <c r="X307" s="33"/>
    </row>
    <row r="308" spans="1:24" ht="12.75" customHeight="1" x14ac:dyDescent="0.2">
      <c r="A308" s="33"/>
      <c r="B308" s="33"/>
      <c r="C308" s="84"/>
      <c r="D308" s="84"/>
      <c r="E308" s="69"/>
      <c r="F308" s="69"/>
      <c r="G308" s="76"/>
      <c r="H308" s="76"/>
      <c r="I308" s="33"/>
      <c r="J308" s="33"/>
      <c r="K308" s="33"/>
      <c r="L308" s="33"/>
      <c r="M308" s="33"/>
      <c r="N308" s="33"/>
      <c r="O308" s="33"/>
      <c r="P308" s="33"/>
      <c r="Q308" s="33"/>
      <c r="R308" s="33"/>
      <c r="S308" s="33"/>
      <c r="T308" s="33"/>
      <c r="U308" s="33"/>
      <c r="V308" s="33"/>
      <c r="W308" s="33"/>
      <c r="X308" s="33"/>
    </row>
    <row r="309" spans="1:24" ht="12.75" customHeight="1" x14ac:dyDescent="0.2">
      <c r="A309" s="33"/>
      <c r="B309" s="33"/>
      <c r="C309" s="84"/>
      <c r="D309" s="84"/>
      <c r="E309" s="69"/>
      <c r="F309" s="69"/>
      <c r="G309" s="76"/>
      <c r="H309" s="76"/>
      <c r="I309" s="33"/>
      <c r="J309" s="33"/>
      <c r="K309" s="33"/>
      <c r="L309" s="33"/>
      <c r="M309" s="33"/>
      <c r="N309" s="33"/>
      <c r="O309" s="33"/>
      <c r="P309" s="33"/>
      <c r="Q309" s="33"/>
      <c r="R309" s="33"/>
      <c r="S309" s="33"/>
      <c r="T309" s="33"/>
      <c r="U309" s="33"/>
      <c r="V309" s="33"/>
      <c r="W309" s="33"/>
      <c r="X309" s="33"/>
    </row>
    <row r="310" spans="1:24" ht="12.75" customHeight="1" x14ac:dyDescent="0.2">
      <c r="A310" s="33"/>
      <c r="B310" s="33"/>
      <c r="C310" s="84"/>
      <c r="D310" s="84"/>
      <c r="E310" s="69"/>
      <c r="F310" s="69"/>
      <c r="G310" s="76"/>
      <c r="H310" s="76"/>
      <c r="I310" s="33"/>
      <c r="J310" s="33"/>
      <c r="K310" s="33"/>
      <c r="L310" s="33"/>
      <c r="M310" s="33"/>
      <c r="N310" s="33"/>
      <c r="O310" s="33"/>
      <c r="P310" s="33"/>
      <c r="Q310" s="33"/>
      <c r="R310" s="33"/>
      <c r="S310" s="33"/>
      <c r="T310" s="33"/>
      <c r="U310" s="33"/>
      <c r="V310" s="33"/>
      <c r="W310" s="33"/>
      <c r="X310" s="33"/>
    </row>
    <row r="311" spans="1:24" ht="12.75" customHeight="1" x14ac:dyDescent="0.2">
      <c r="A311" s="33"/>
      <c r="B311" s="33"/>
      <c r="C311" s="84"/>
      <c r="D311" s="84"/>
      <c r="E311" s="69"/>
      <c r="F311" s="69"/>
      <c r="G311" s="76"/>
      <c r="H311" s="76"/>
      <c r="I311" s="33"/>
      <c r="J311" s="33"/>
      <c r="K311" s="33"/>
      <c r="L311" s="33"/>
      <c r="M311" s="33"/>
      <c r="N311" s="33"/>
      <c r="O311" s="33"/>
      <c r="P311" s="33"/>
      <c r="Q311" s="33"/>
      <c r="R311" s="33"/>
      <c r="S311" s="33"/>
      <c r="T311" s="33"/>
      <c r="U311" s="33"/>
      <c r="V311" s="33"/>
      <c r="W311" s="33"/>
      <c r="X311" s="33"/>
    </row>
    <row r="312" spans="1:24" ht="12.75" customHeight="1" x14ac:dyDescent="0.2">
      <c r="A312" s="33"/>
      <c r="B312" s="33"/>
      <c r="C312" s="84"/>
      <c r="D312" s="84"/>
      <c r="E312" s="69"/>
      <c r="F312" s="69"/>
      <c r="G312" s="76"/>
      <c r="H312" s="76"/>
      <c r="I312" s="33"/>
      <c r="J312" s="33"/>
      <c r="K312" s="33"/>
      <c r="L312" s="33"/>
      <c r="M312" s="33"/>
      <c r="N312" s="33"/>
      <c r="O312" s="33"/>
      <c r="P312" s="33"/>
      <c r="Q312" s="33"/>
      <c r="R312" s="33"/>
      <c r="S312" s="33"/>
      <c r="T312" s="33"/>
      <c r="U312" s="33"/>
      <c r="V312" s="33"/>
      <c r="W312" s="33"/>
      <c r="X312" s="33"/>
    </row>
    <row r="313" spans="1:24" ht="12.75" customHeight="1" x14ac:dyDescent="0.2">
      <c r="A313" s="33"/>
      <c r="B313" s="33"/>
      <c r="C313" s="84"/>
      <c r="D313" s="84"/>
      <c r="E313" s="69"/>
      <c r="F313" s="69"/>
      <c r="G313" s="76"/>
      <c r="H313" s="76"/>
      <c r="I313" s="33"/>
      <c r="J313" s="33"/>
      <c r="K313" s="33"/>
      <c r="L313" s="33"/>
      <c r="M313" s="33"/>
      <c r="N313" s="33"/>
      <c r="O313" s="33"/>
      <c r="P313" s="33"/>
      <c r="Q313" s="33"/>
      <c r="R313" s="33"/>
      <c r="S313" s="33"/>
      <c r="T313" s="33"/>
      <c r="U313" s="33"/>
      <c r="V313" s="33"/>
      <c r="W313" s="33"/>
      <c r="X313" s="33"/>
    </row>
    <row r="314" spans="1:24" ht="12.75" customHeight="1" x14ac:dyDescent="0.2">
      <c r="A314" s="33"/>
      <c r="B314" s="33"/>
      <c r="C314" s="84"/>
      <c r="D314" s="84"/>
      <c r="E314" s="69"/>
      <c r="F314" s="69"/>
      <c r="G314" s="76"/>
      <c r="H314" s="76"/>
      <c r="I314" s="33"/>
      <c r="J314" s="33"/>
      <c r="K314" s="33"/>
      <c r="L314" s="33"/>
      <c r="M314" s="33"/>
      <c r="N314" s="33"/>
      <c r="O314" s="33"/>
      <c r="P314" s="33"/>
      <c r="Q314" s="33"/>
      <c r="R314" s="33"/>
      <c r="S314" s="33"/>
      <c r="T314" s="33"/>
      <c r="U314" s="33"/>
      <c r="V314" s="33"/>
      <c r="W314" s="33"/>
      <c r="X314" s="33"/>
    </row>
    <row r="315" spans="1:24" ht="12.75" customHeight="1" x14ac:dyDescent="0.2">
      <c r="A315" s="33"/>
      <c r="B315" s="33"/>
      <c r="C315" s="84"/>
      <c r="D315" s="84"/>
      <c r="E315" s="69"/>
      <c r="F315" s="69"/>
      <c r="G315" s="76"/>
      <c r="H315" s="76"/>
      <c r="I315" s="33"/>
      <c r="J315" s="33"/>
      <c r="K315" s="33"/>
      <c r="L315" s="33"/>
      <c r="M315" s="33"/>
      <c r="N315" s="33"/>
      <c r="O315" s="33"/>
      <c r="P315" s="33"/>
      <c r="Q315" s="33"/>
      <c r="R315" s="33"/>
      <c r="S315" s="33"/>
      <c r="T315" s="33"/>
      <c r="U315" s="33"/>
      <c r="V315" s="33"/>
      <c r="W315" s="33"/>
      <c r="X315" s="33"/>
    </row>
    <row r="316" spans="1:24" ht="12.75" customHeight="1" x14ac:dyDescent="0.2">
      <c r="A316" s="33"/>
      <c r="B316" s="33"/>
      <c r="C316" s="84"/>
      <c r="D316" s="84"/>
      <c r="E316" s="69"/>
      <c r="F316" s="69"/>
      <c r="G316" s="76"/>
      <c r="H316" s="76"/>
      <c r="I316" s="33"/>
      <c r="J316" s="33"/>
      <c r="K316" s="33"/>
      <c r="L316" s="33"/>
      <c r="M316" s="33"/>
      <c r="N316" s="33"/>
      <c r="O316" s="33"/>
      <c r="P316" s="33"/>
      <c r="Q316" s="33"/>
      <c r="R316" s="33"/>
      <c r="S316" s="33"/>
      <c r="T316" s="33"/>
      <c r="U316" s="33"/>
      <c r="V316" s="33"/>
      <c r="W316" s="33"/>
      <c r="X316" s="33"/>
    </row>
    <row r="317" spans="1:24" ht="12.75" customHeight="1" x14ac:dyDescent="0.2">
      <c r="A317" s="33"/>
      <c r="B317" s="33"/>
      <c r="C317" s="84"/>
      <c r="D317" s="84"/>
      <c r="E317" s="69"/>
      <c r="F317" s="69"/>
      <c r="G317" s="76"/>
      <c r="H317" s="76"/>
      <c r="I317" s="33"/>
      <c r="J317" s="33"/>
      <c r="K317" s="33"/>
      <c r="L317" s="33"/>
      <c r="M317" s="33"/>
      <c r="N317" s="33"/>
      <c r="O317" s="33"/>
      <c r="P317" s="33"/>
      <c r="Q317" s="33"/>
      <c r="R317" s="33"/>
      <c r="S317" s="33"/>
      <c r="T317" s="33"/>
      <c r="U317" s="33"/>
      <c r="V317" s="33"/>
      <c r="W317" s="33"/>
      <c r="X317" s="33"/>
    </row>
    <row r="318" spans="1:24" ht="12.75" customHeight="1" x14ac:dyDescent="0.2">
      <c r="A318" s="33"/>
      <c r="B318" s="33"/>
      <c r="C318" s="84"/>
      <c r="D318" s="84"/>
      <c r="E318" s="69"/>
      <c r="F318" s="69"/>
      <c r="G318" s="76"/>
      <c r="H318" s="76"/>
      <c r="I318" s="33"/>
      <c r="J318" s="33"/>
      <c r="K318" s="33"/>
      <c r="L318" s="33"/>
      <c r="M318" s="33"/>
      <c r="N318" s="33"/>
      <c r="O318" s="33"/>
      <c r="P318" s="33"/>
      <c r="Q318" s="33"/>
      <c r="R318" s="33"/>
      <c r="S318" s="33"/>
      <c r="T318" s="33"/>
      <c r="U318" s="33"/>
      <c r="V318" s="33"/>
      <c r="W318" s="33"/>
      <c r="X318" s="33"/>
    </row>
    <row r="319" spans="1:24" ht="12.75" customHeight="1" x14ac:dyDescent="0.2">
      <c r="A319" s="33"/>
      <c r="B319" s="33"/>
      <c r="C319" s="84"/>
      <c r="D319" s="84"/>
      <c r="E319" s="69"/>
      <c r="F319" s="69"/>
      <c r="G319" s="76"/>
      <c r="H319" s="76"/>
      <c r="I319" s="33"/>
      <c r="J319" s="33"/>
      <c r="K319" s="33"/>
      <c r="L319" s="33"/>
      <c r="M319" s="33"/>
      <c r="N319" s="33"/>
      <c r="O319" s="33"/>
      <c r="P319" s="33"/>
      <c r="Q319" s="33"/>
      <c r="R319" s="33"/>
      <c r="S319" s="33"/>
      <c r="T319" s="33"/>
      <c r="U319" s="33"/>
      <c r="V319" s="33"/>
      <c r="W319" s="33"/>
      <c r="X319" s="33"/>
    </row>
    <row r="320" spans="1:24" ht="12.75" customHeight="1" x14ac:dyDescent="0.2">
      <c r="A320" s="33"/>
      <c r="B320" s="33"/>
      <c r="C320" s="84"/>
      <c r="D320" s="84"/>
      <c r="E320" s="69"/>
      <c r="F320" s="69"/>
      <c r="G320" s="76"/>
      <c r="H320" s="76"/>
      <c r="I320" s="33"/>
      <c r="J320" s="33"/>
      <c r="K320" s="33"/>
      <c r="L320" s="33"/>
      <c r="M320" s="33"/>
      <c r="N320" s="33"/>
      <c r="O320" s="33"/>
      <c r="P320" s="33"/>
      <c r="Q320" s="33"/>
      <c r="R320" s="33"/>
      <c r="S320" s="33"/>
      <c r="T320" s="33"/>
      <c r="U320" s="33"/>
      <c r="V320" s="33"/>
      <c r="W320" s="33"/>
      <c r="X320" s="33"/>
    </row>
    <row r="321" spans="1:24" ht="12.75" customHeight="1" x14ac:dyDescent="0.2">
      <c r="A321" s="33"/>
      <c r="B321" s="33"/>
      <c r="C321" s="84"/>
      <c r="D321" s="84"/>
      <c r="E321" s="69"/>
      <c r="F321" s="69"/>
      <c r="G321" s="76"/>
      <c r="H321" s="76"/>
      <c r="I321" s="33"/>
      <c r="J321" s="33"/>
      <c r="K321" s="33"/>
      <c r="L321" s="33"/>
      <c r="M321" s="33"/>
      <c r="N321" s="33"/>
      <c r="O321" s="33"/>
      <c r="P321" s="33"/>
      <c r="Q321" s="33"/>
      <c r="R321" s="33"/>
      <c r="S321" s="33"/>
      <c r="T321" s="33"/>
      <c r="U321" s="33"/>
      <c r="V321" s="33"/>
      <c r="W321" s="33"/>
      <c r="X321" s="33"/>
    </row>
    <row r="322" spans="1:24" ht="12.75" customHeight="1" x14ac:dyDescent="0.2">
      <c r="A322" s="33"/>
      <c r="B322" s="33"/>
      <c r="C322" s="84"/>
      <c r="D322" s="84"/>
      <c r="E322" s="69"/>
      <c r="F322" s="69"/>
      <c r="G322" s="76"/>
      <c r="H322" s="76"/>
      <c r="I322" s="33"/>
      <c r="J322" s="33"/>
      <c r="K322" s="33"/>
      <c r="L322" s="33"/>
      <c r="M322" s="33"/>
      <c r="N322" s="33"/>
      <c r="O322" s="33"/>
      <c r="P322" s="33"/>
      <c r="Q322" s="33"/>
      <c r="R322" s="33"/>
      <c r="S322" s="33"/>
      <c r="T322" s="33"/>
      <c r="U322" s="33"/>
      <c r="V322" s="33"/>
      <c r="W322" s="33"/>
      <c r="X322" s="33"/>
    </row>
    <row r="323" spans="1:24" ht="12.75" customHeight="1" x14ac:dyDescent="0.2">
      <c r="A323" s="33"/>
      <c r="B323" s="33"/>
      <c r="C323" s="84"/>
      <c r="D323" s="84"/>
      <c r="E323" s="69"/>
      <c r="F323" s="69"/>
      <c r="G323" s="76"/>
      <c r="H323" s="76"/>
      <c r="I323" s="33"/>
      <c r="J323" s="33"/>
      <c r="K323" s="33"/>
      <c r="L323" s="33"/>
      <c r="M323" s="33"/>
      <c r="N323" s="33"/>
      <c r="O323" s="33"/>
      <c r="P323" s="33"/>
      <c r="Q323" s="33"/>
      <c r="R323" s="33"/>
      <c r="S323" s="33"/>
      <c r="T323" s="33"/>
      <c r="U323" s="33"/>
      <c r="V323" s="33"/>
      <c r="W323" s="33"/>
      <c r="X323" s="33"/>
    </row>
    <row r="324" spans="1:24" ht="12.75" customHeight="1" x14ac:dyDescent="0.2">
      <c r="A324" s="33"/>
      <c r="B324" s="33"/>
      <c r="C324" s="84"/>
      <c r="D324" s="84"/>
      <c r="E324" s="69"/>
      <c r="F324" s="69"/>
      <c r="G324" s="76"/>
      <c r="H324" s="76"/>
      <c r="I324" s="33"/>
      <c r="J324" s="33"/>
      <c r="K324" s="33"/>
      <c r="L324" s="33"/>
      <c r="M324" s="33"/>
      <c r="N324" s="33"/>
      <c r="O324" s="33"/>
      <c r="P324" s="33"/>
      <c r="Q324" s="33"/>
      <c r="R324" s="33"/>
      <c r="S324" s="33"/>
      <c r="T324" s="33"/>
      <c r="U324" s="33"/>
      <c r="V324" s="33"/>
      <c r="W324" s="33"/>
      <c r="X324" s="33"/>
    </row>
    <row r="325" spans="1:24" ht="12.75" customHeight="1" x14ac:dyDescent="0.2">
      <c r="A325" s="33"/>
      <c r="B325" s="33"/>
      <c r="C325" s="84"/>
      <c r="D325" s="84"/>
      <c r="E325" s="69"/>
      <c r="F325" s="69"/>
      <c r="G325" s="76"/>
      <c r="H325" s="76"/>
      <c r="I325" s="33"/>
      <c r="J325" s="33"/>
      <c r="K325" s="33"/>
      <c r="L325" s="33"/>
      <c r="M325" s="33"/>
      <c r="N325" s="33"/>
      <c r="O325" s="33"/>
      <c r="P325" s="33"/>
      <c r="Q325" s="33"/>
      <c r="R325" s="33"/>
      <c r="S325" s="33"/>
      <c r="T325" s="33"/>
      <c r="U325" s="33"/>
      <c r="V325" s="33"/>
      <c r="W325" s="33"/>
      <c r="X325" s="33"/>
    </row>
    <row r="326" spans="1:24" ht="12.75" customHeight="1" x14ac:dyDescent="0.2">
      <c r="A326" s="33"/>
      <c r="B326" s="33"/>
      <c r="C326" s="84"/>
      <c r="D326" s="84"/>
      <c r="E326" s="69"/>
      <c r="F326" s="69"/>
      <c r="G326" s="76"/>
      <c r="H326" s="76"/>
      <c r="I326" s="33"/>
      <c r="J326" s="33"/>
      <c r="K326" s="33"/>
      <c r="L326" s="33"/>
      <c r="M326" s="33"/>
      <c r="N326" s="33"/>
      <c r="O326" s="33"/>
      <c r="P326" s="33"/>
      <c r="Q326" s="33"/>
      <c r="R326" s="33"/>
      <c r="S326" s="33"/>
      <c r="T326" s="33"/>
      <c r="U326" s="33"/>
      <c r="V326" s="33"/>
      <c r="W326" s="33"/>
      <c r="X326" s="33"/>
    </row>
    <row r="327" spans="1:24" ht="12.75" customHeight="1" x14ac:dyDescent="0.2">
      <c r="A327" s="33"/>
      <c r="B327" s="33"/>
      <c r="C327" s="84"/>
      <c r="D327" s="84"/>
      <c r="E327" s="69"/>
      <c r="F327" s="69"/>
      <c r="G327" s="76"/>
      <c r="H327" s="76"/>
      <c r="I327" s="33"/>
      <c r="J327" s="33"/>
      <c r="K327" s="33"/>
      <c r="L327" s="33"/>
      <c r="M327" s="33"/>
      <c r="N327" s="33"/>
      <c r="O327" s="33"/>
      <c r="P327" s="33"/>
      <c r="Q327" s="33"/>
      <c r="R327" s="33"/>
      <c r="S327" s="33"/>
      <c r="T327" s="33"/>
      <c r="U327" s="33"/>
      <c r="V327" s="33"/>
      <c r="W327" s="33"/>
      <c r="X327" s="33"/>
    </row>
    <row r="328" spans="1:24" ht="12.75" customHeight="1" x14ac:dyDescent="0.2">
      <c r="A328" s="33"/>
      <c r="B328" s="33"/>
      <c r="C328" s="84"/>
      <c r="D328" s="84"/>
      <c r="E328" s="69"/>
      <c r="F328" s="69"/>
      <c r="G328" s="76"/>
      <c r="H328" s="76"/>
      <c r="I328" s="33"/>
      <c r="J328" s="33"/>
      <c r="K328" s="33"/>
      <c r="L328" s="33"/>
      <c r="M328" s="33"/>
      <c r="N328" s="33"/>
      <c r="O328" s="33"/>
      <c r="P328" s="33"/>
      <c r="Q328" s="33"/>
      <c r="R328" s="33"/>
      <c r="S328" s="33"/>
      <c r="T328" s="33"/>
      <c r="U328" s="33"/>
      <c r="V328" s="33"/>
      <c r="W328" s="33"/>
      <c r="X328" s="33"/>
    </row>
    <row r="329" spans="1:24" ht="12.75" customHeight="1" x14ac:dyDescent="0.2">
      <c r="A329" s="33"/>
      <c r="B329" s="33"/>
      <c r="C329" s="84"/>
      <c r="D329" s="84"/>
      <c r="E329" s="69"/>
      <c r="F329" s="69"/>
      <c r="G329" s="76"/>
      <c r="H329" s="76"/>
      <c r="I329" s="33"/>
      <c r="J329" s="33"/>
      <c r="K329" s="33"/>
      <c r="L329" s="33"/>
      <c r="M329" s="33"/>
      <c r="N329" s="33"/>
      <c r="O329" s="33"/>
      <c r="P329" s="33"/>
      <c r="Q329" s="33"/>
      <c r="R329" s="33"/>
      <c r="S329" s="33"/>
      <c r="T329" s="33"/>
      <c r="U329" s="33"/>
      <c r="V329" s="33"/>
      <c r="W329" s="33"/>
      <c r="X329" s="33"/>
    </row>
    <row r="330" spans="1:24" ht="12.75" customHeight="1" x14ac:dyDescent="0.2">
      <c r="A330" s="33"/>
      <c r="B330" s="33"/>
      <c r="C330" s="84"/>
      <c r="D330" s="84"/>
      <c r="E330" s="69"/>
      <c r="F330" s="69"/>
      <c r="G330" s="76"/>
      <c r="H330" s="76"/>
      <c r="I330" s="33"/>
      <c r="J330" s="33"/>
      <c r="K330" s="33"/>
      <c r="L330" s="33"/>
      <c r="M330" s="33"/>
      <c r="N330" s="33"/>
      <c r="O330" s="33"/>
      <c r="P330" s="33"/>
      <c r="Q330" s="33"/>
      <c r="R330" s="33"/>
      <c r="S330" s="33"/>
      <c r="T330" s="33"/>
      <c r="U330" s="33"/>
      <c r="V330" s="33"/>
      <c r="W330" s="33"/>
      <c r="X330" s="33"/>
    </row>
    <row r="331" spans="1:24" ht="12.75" customHeight="1" x14ac:dyDescent="0.2">
      <c r="A331" s="33"/>
      <c r="B331" s="33"/>
      <c r="C331" s="84"/>
      <c r="D331" s="84"/>
      <c r="E331" s="69"/>
      <c r="F331" s="69"/>
      <c r="G331" s="76"/>
      <c r="H331" s="76"/>
      <c r="I331" s="33"/>
      <c r="J331" s="33"/>
      <c r="K331" s="33"/>
      <c r="L331" s="33"/>
      <c r="M331" s="33"/>
      <c r="N331" s="33"/>
      <c r="O331" s="33"/>
      <c r="P331" s="33"/>
      <c r="Q331" s="33"/>
      <c r="R331" s="33"/>
      <c r="S331" s="33"/>
      <c r="T331" s="33"/>
      <c r="U331" s="33"/>
      <c r="V331" s="33"/>
      <c r="W331" s="33"/>
      <c r="X331" s="33"/>
    </row>
    <row r="332" spans="1:24" ht="12.75" customHeight="1" x14ac:dyDescent="0.2">
      <c r="A332" s="33"/>
      <c r="B332" s="33"/>
      <c r="C332" s="84"/>
      <c r="D332" s="84"/>
      <c r="E332" s="69"/>
      <c r="F332" s="69"/>
      <c r="G332" s="76"/>
      <c r="H332" s="76"/>
      <c r="I332" s="33"/>
      <c r="J332" s="33"/>
      <c r="K332" s="33"/>
      <c r="L332" s="33"/>
      <c r="M332" s="33"/>
      <c r="N332" s="33"/>
      <c r="O332" s="33"/>
      <c r="P332" s="33"/>
      <c r="Q332" s="33"/>
      <c r="R332" s="33"/>
      <c r="S332" s="33"/>
      <c r="T332" s="33"/>
      <c r="U332" s="33"/>
      <c r="V332" s="33"/>
      <c r="W332" s="33"/>
      <c r="X332" s="33"/>
    </row>
    <row r="333" spans="1:24" ht="12.75" customHeight="1" x14ac:dyDescent="0.2">
      <c r="A333" s="33"/>
      <c r="B333" s="33"/>
      <c r="C333" s="84"/>
      <c r="D333" s="84"/>
      <c r="E333" s="69"/>
      <c r="F333" s="69"/>
      <c r="G333" s="76"/>
      <c r="H333" s="76"/>
      <c r="I333" s="33"/>
      <c r="J333" s="33"/>
      <c r="K333" s="33"/>
      <c r="L333" s="33"/>
      <c r="M333" s="33"/>
      <c r="N333" s="33"/>
      <c r="O333" s="33"/>
      <c r="P333" s="33"/>
      <c r="Q333" s="33"/>
      <c r="R333" s="33"/>
      <c r="S333" s="33"/>
      <c r="T333" s="33"/>
      <c r="U333" s="33"/>
      <c r="V333" s="33"/>
      <c r="W333" s="33"/>
      <c r="X333" s="33"/>
    </row>
    <row r="334" spans="1:24" ht="12.75" customHeight="1" x14ac:dyDescent="0.2">
      <c r="A334" s="33"/>
      <c r="B334" s="33"/>
      <c r="C334" s="84"/>
      <c r="D334" s="84"/>
      <c r="E334" s="69"/>
      <c r="F334" s="69"/>
      <c r="G334" s="76"/>
      <c r="H334" s="76"/>
      <c r="I334" s="33"/>
      <c r="J334" s="33"/>
      <c r="K334" s="33"/>
      <c r="L334" s="33"/>
      <c r="M334" s="33"/>
      <c r="N334" s="33"/>
      <c r="O334" s="33"/>
      <c r="P334" s="33"/>
      <c r="Q334" s="33"/>
      <c r="R334" s="33"/>
      <c r="S334" s="33"/>
      <c r="T334" s="33"/>
      <c r="U334" s="33"/>
      <c r="V334" s="33"/>
      <c r="W334" s="33"/>
      <c r="X334" s="33"/>
    </row>
    <row r="335" spans="1:24" ht="12.75" customHeight="1" x14ac:dyDescent="0.2">
      <c r="A335" s="33"/>
      <c r="B335" s="33"/>
      <c r="C335" s="84"/>
      <c r="D335" s="84"/>
      <c r="E335" s="69"/>
      <c r="F335" s="69"/>
      <c r="G335" s="76"/>
      <c r="H335" s="76"/>
      <c r="I335" s="33"/>
      <c r="J335" s="33"/>
      <c r="K335" s="33"/>
      <c r="L335" s="33"/>
      <c r="M335" s="33"/>
      <c r="N335" s="33"/>
      <c r="O335" s="33"/>
      <c r="P335" s="33"/>
      <c r="Q335" s="33"/>
      <c r="R335" s="33"/>
      <c r="S335" s="33"/>
      <c r="T335" s="33"/>
      <c r="U335" s="33"/>
      <c r="V335" s="33"/>
      <c r="W335" s="33"/>
      <c r="X335" s="33"/>
    </row>
    <row r="336" spans="1:24" ht="12.75" customHeight="1" x14ac:dyDescent="0.2">
      <c r="A336" s="33"/>
      <c r="B336" s="33"/>
      <c r="C336" s="84"/>
      <c r="D336" s="84"/>
      <c r="E336" s="69"/>
      <c r="F336" s="69"/>
      <c r="G336" s="76"/>
      <c r="H336" s="76"/>
      <c r="I336" s="33"/>
      <c r="J336" s="33"/>
      <c r="K336" s="33"/>
      <c r="L336" s="33"/>
      <c r="M336" s="33"/>
      <c r="N336" s="33"/>
      <c r="O336" s="33"/>
      <c r="P336" s="33"/>
      <c r="Q336" s="33"/>
      <c r="R336" s="33"/>
      <c r="S336" s="33"/>
      <c r="T336" s="33"/>
      <c r="U336" s="33"/>
      <c r="V336" s="33"/>
      <c r="W336" s="33"/>
      <c r="X336" s="33"/>
    </row>
    <row r="337" spans="1:24" ht="12.75" customHeight="1" x14ac:dyDescent="0.2">
      <c r="A337" s="33"/>
      <c r="B337" s="33"/>
      <c r="C337" s="84"/>
      <c r="D337" s="84"/>
      <c r="E337" s="69"/>
      <c r="F337" s="69"/>
      <c r="G337" s="76"/>
      <c r="H337" s="76"/>
      <c r="I337" s="33"/>
      <c r="J337" s="33"/>
      <c r="K337" s="33"/>
      <c r="L337" s="33"/>
      <c r="M337" s="33"/>
      <c r="N337" s="33"/>
      <c r="O337" s="33"/>
      <c r="P337" s="33"/>
      <c r="Q337" s="33"/>
      <c r="R337" s="33"/>
      <c r="S337" s="33"/>
      <c r="T337" s="33"/>
      <c r="U337" s="33"/>
      <c r="V337" s="33"/>
      <c r="W337" s="33"/>
      <c r="X337" s="33"/>
    </row>
    <row r="338" spans="1:24" ht="12.75" customHeight="1" x14ac:dyDescent="0.2">
      <c r="A338" s="33"/>
      <c r="B338" s="33"/>
      <c r="C338" s="84"/>
      <c r="D338" s="84"/>
      <c r="E338" s="69"/>
      <c r="F338" s="69"/>
      <c r="G338" s="76"/>
      <c r="H338" s="76"/>
      <c r="I338" s="33"/>
      <c r="J338" s="33"/>
      <c r="K338" s="33"/>
      <c r="L338" s="33"/>
      <c r="M338" s="33"/>
      <c r="N338" s="33"/>
      <c r="O338" s="33"/>
      <c r="P338" s="33"/>
      <c r="Q338" s="33"/>
      <c r="R338" s="33"/>
      <c r="S338" s="33"/>
      <c r="T338" s="33"/>
      <c r="U338" s="33"/>
      <c r="V338" s="33"/>
      <c r="W338" s="33"/>
      <c r="X338" s="33"/>
    </row>
    <row r="339" spans="1:24" ht="12.75" customHeight="1" x14ac:dyDescent="0.2">
      <c r="A339" s="33"/>
      <c r="B339" s="33"/>
      <c r="C339" s="84"/>
      <c r="D339" s="84"/>
      <c r="E339" s="69"/>
      <c r="F339" s="69"/>
      <c r="G339" s="76"/>
      <c r="H339" s="76"/>
      <c r="I339" s="33"/>
      <c r="J339" s="33"/>
      <c r="K339" s="33"/>
      <c r="L339" s="33"/>
      <c r="M339" s="33"/>
      <c r="N339" s="33"/>
      <c r="O339" s="33"/>
      <c r="P339" s="33"/>
      <c r="Q339" s="33"/>
      <c r="R339" s="33"/>
      <c r="S339" s="33"/>
      <c r="T339" s="33"/>
      <c r="U339" s="33"/>
      <c r="V339" s="33"/>
      <c r="W339" s="33"/>
      <c r="X339" s="33"/>
    </row>
    <row r="340" spans="1:24" ht="12.75" customHeight="1" x14ac:dyDescent="0.2">
      <c r="A340" s="33"/>
      <c r="B340" s="33"/>
      <c r="C340" s="84"/>
      <c r="D340" s="84"/>
      <c r="E340" s="69"/>
      <c r="F340" s="69"/>
      <c r="G340" s="76"/>
      <c r="H340" s="76"/>
      <c r="I340" s="33"/>
      <c r="J340" s="33"/>
      <c r="K340" s="33"/>
      <c r="L340" s="33"/>
      <c r="M340" s="33"/>
      <c r="N340" s="33"/>
      <c r="O340" s="33"/>
      <c r="P340" s="33"/>
      <c r="Q340" s="33"/>
      <c r="R340" s="33"/>
      <c r="S340" s="33"/>
      <c r="T340" s="33"/>
      <c r="U340" s="33"/>
      <c r="V340" s="33"/>
      <c r="W340" s="33"/>
      <c r="X340" s="33"/>
    </row>
    <row r="341" spans="1:24" ht="12.75" customHeight="1" x14ac:dyDescent="0.2">
      <c r="A341" s="33"/>
      <c r="B341" s="33"/>
      <c r="C341" s="84"/>
      <c r="D341" s="84"/>
      <c r="E341" s="69"/>
      <c r="F341" s="69"/>
      <c r="G341" s="76"/>
      <c r="H341" s="76"/>
      <c r="I341" s="33"/>
      <c r="J341" s="33"/>
      <c r="K341" s="33"/>
      <c r="L341" s="33"/>
      <c r="M341" s="33"/>
      <c r="N341" s="33"/>
      <c r="O341" s="33"/>
      <c r="P341" s="33"/>
      <c r="Q341" s="33"/>
      <c r="R341" s="33"/>
      <c r="S341" s="33"/>
      <c r="T341" s="33"/>
      <c r="U341" s="33"/>
      <c r="V341" s="33"/>
      <c r="W341" s="33"/>
      <c r="X341" s="33"/>
    </row>
    <row r="342" spans="1:24" ht="12.75" customHeight="1" x14ac:dyDescent="0.2">
      <c r="A342" s="33"/>
      <c r="B342" s="33"/>
      <c r="C342" s="84"/>
      <c r="D342" s="84"/>
      <c r="E342" s="69"/>
      <c r="F342" s="69"/>
      <c r="G342" s="76"/>
      <c r="H342" s="76"/>
      <c r="I342" s="33"/>
      <c r="J342" s="33"/>
      <c r="K342" s="33"/>
      <c r="L342" s="33"/>
      <c r="M342" s="33"/>
      <c r="N342" s="33"/>
      <c r="O342" s="33"/>
      <c r="P342" s="33"/>
      <c r="Q342" s="33"/>
      <c r="R342" s="33"/>
      <c r="S342" s="33"/>
      <c r="T342" s="33"/>
      <c r="U342" s="33"/>
      <c r="V342" s="33"/>
      <c r="W342" s="33"/>
      <c r="X342" s="33"/>
    </row>
    <row r="343" spans="1:24" ht="12.75" customHeight="1" x14ac:dyDescent="0.2">
      <c r="A343" s="33"/>
      <c r="B343" s="33"/>
      <c r="C343" s="84"/>
      <c r="D343" s="84"/>
      <c r="E343" s="69"/>
      <c r="F343" s="69"/>
      <c r="G343" s="76"/>
      <c r="H343" s="76"/>
      <c r="I343" s="33"/>
      <c r="J343" s="33"/>
      <c r="K343" s="33"/>
      <c r="L343" s="33"/>
      <c r="M343" s="33"/>
      <c r="N343" s="33"/>
      <c r="O343" s="33"/>
      <c r="P343" s="33"/>
      <c r="Q343" s="33"/>
      <c r="R343" s="33"/>
      <c r="S343" s="33"/>
      <c r="T343" s="33"/>
      <c r="U343" s="33"/>
      <c r="V343" s="33"/>
      <c r="W343" s="33"/>
      <c r="X343" s="33"/>
    </row>
    <row r="344" spans="1:24" ht="12.75" customHeight="1" x14ac:dyDescent="0.2">
      <c r="A344" s="33"/>
      <c r="B344" s="33"/>
      <c r="C344" s="84"/>
      <c r="D344" s="84"/>
      <c r="E344" s="69"/>
      <c r="F344" s="69"/>
      <c r="G344" s="76"/>
      <c r="H344" s="76"/>
      <c r="I344" s="33"/>
      <c r="J344" s="33"/>
      <c r="K344" s="33"/>
      <c r="L344" s="33"/>
      <c r="M344" s="33"/>
      <c r="N344" s="33"/>
      <c r="O344" s="33"/>
      <c r="P344" s="33"/>
      <c r="Q344" s="33"/>
      <c r="R344" s="33"/>
      <c r="S344" s="33"/>
      <c r="T344" s="33"/>
      <c r="U344" s="33"/>
      <c r="V344" s="33"/>
      <c r="W344" s="33"/>
      <c r="X344" s="33"/>
    </row>
    <row r="345" spans="1:24" ht="12.75" customHeight="1" x14ac:dyDescent="0.2">
      <c r="A345" s="33"/>
      <c r="B345" s="33"/>
      <c r="C345" s="84"/>
      <c r="D345" s="84"/>
      <c r="E345" s="69"/>
      <c r="F345" s="69"/>
      <c r="G345" s="76"/>
      <c r="H345" s="76"/>
      <c r="I345" s="33"/>
      <c r="J345" s="33"/>
      <c r="K345" s="33"/>
      <c r="L345" s="33"/>
      <c r="M345" s="33"/>
      <c r="N345" s="33"/>
      <c r="O345" s="33"/>
      <c r="P345" s="33"/>
      <c r="Q345" s="33"/>
      <c r="R345" s="33"/>
      <c r="S345" s="33"/>
      <c r="T345" s="33"/>
      <c r="U345" s="33"/>
      <c r="V345" s="33"/>
      <c r="W345" s="33"/>
      <c r="X345" s="33"/>
    </row>
    <row r="346" spans="1:24" ht="12.75" customHeight="1" x14ac:dyDescent="0.2">
      <c r="A346" s="33"/>
      <c r="B346" s="33"/>
      <c r="C346" s="84"/>
      <c r="D346" s="84"/>
      <c r="E346" s="69"/>
      <c r="F346" s="69"/>
      <c r="G346" s="76"/>
      <c r="H346" s="76"/>
      <c r="I346" s="33"/>
      <c r="J346" s="33"/>
      <c r="K346" s="33"/>
      <c r="L346" s="33"/>
      <c r="M346" s="33"/>
      <c r="N346" s="33"/>
      <c r="O346" s="33"/>
      <c r="P346" s="33"/>
      <c r="Q346" s="33"/>
      <c r="R346" s="33"/>
      <c r="S346" s="33"/>
      <c r="T346" s="33"/>
      <c r="U346" s="33"/>
      <c r="V346" s="33"/>
      <c r="W346" s="33"/>
      <c r="X346" s="33"/>
    </row>
    <row r="347" spans="1:24" ht="12.75" customHeight="1" x14ac:dyDescent="0.2">
      <c r="A347" s="33"/>
      <c r="B347" s="33"/>
      <c r="C347" s="84"/>
      <c r="D347" s="84"/>
      <c r="E347" s="69"/>
      <c r="F347" s="69"/>
      <c r="G347" s="76"/>
      <c r="H347" s="76"/>
      <c r="I347" s="33"/>
      <c r="J347" s="33"/>
      <c r="K347" s="33"/>
      <c r="L347" s="33"/>
      <c r="M347" s="33"/>
      <c r="N347" s="33"/>
      <c r="O347" s="33"/>
      <c r="P347" s="33"/>
      <c r="Q347" s="33"/>
      <c r="R347" s="33"/>
      <c r="S347" s="33"/>
      <c r="T347" s="33"/>
      <c r="U347" s="33"/>
      <c r="V347" s="33"/>
      <c r="W347" s="33"/>
      <c r="X347" s="33"/>
    </row>
    <row r="348" spans="1:24" ht="12.75" customHeight="1" x14ac:dyDescent="0.2">
      <c r="A348" s="33"/>
      <c r="B348" s="33"/>
      <c r="C348" s="84"/>
      <c r="D348" s="84"/>
      <c r="E348" s="69"/>
      <c r="F348" s="69"/>
      <c r="G348" s="76"/>
      <c r="H348" s="76"/>
      <c r="I348" s="33"/>
      <c r="J348" s="33"/>
      <c r="K348" s="33"/>
      <c r="L348" s="33"/>
      <c r="M348" s="33"/>
      <c r="N348" s="33"/>
      <c r="O348" s="33"/>
      <c r="P348" s="33"/>
      <c r="Q348" s="33"/>
      <c r="R348" s="33"/>
      <c r="S348" s="33"/>
      <c r="T348" s="33"/>
      <c r="U348" s="33"/>
      <c r="V348" s="33"/>
      <c r="W348" s="33"/>
      <c r="X348" s="33"/>
    </row>
    <row r="349" spans="1:24" ht="12.75" customHeight="1" x14ac:dyDescent="0.2">
      <c r="A349" s="33"/>
      <c r="B349" s="33"/>
      <c r="C349" s="84"/>
      <c r="D349" s="84"/>
      <c r="E349" s="69"/>
      <c r="F349" s="69"/>
      <c r="G349" s="76"/>
      <c r="H349" s="76"/>
      <c r="I349" s="33"/>
      <c r="J349" s="33"/>
      <c r="K349" s="33"/>
      <c r="L349" s="33"/>
      <c r="M349" s="33"/>
      <c r="N349" s="33"/>
      <c r="O349" s="33"/>
      <c r="P349" s="33"/>
      <c r="Q349" s="33"/>
      <c r="R349" s="33"/>
      <c r="S349" s="33"/>
      <c r="T349" s="33"/>
      <c r="U349" s="33"/>
      <c r="V349" s="33"/>
      <c r="W349" s="33"/>
      <c r="X349" s="33"/>
    </row>
    <row r="350" spans="1:24" ht="12.75" customHeight="1" x14ac:dyDescent="0.2">
      <c r="A350" s="33"/>
      <c r="B350" s="33"/>
      <c r="C350" s="84"/>
      <c r="D350" s="84"/>
      <c r="E350" s="69"/>
      <c r="F350" s="69"/>
      <c r="G350" s="76"/>
      <c r="H350" s="76"/>
      <c r="I350" s="33"/>
      <c r="J350" s="33"/>
      <c r="K350" s="33"/>
      <c r="L350" s="33"/>
      <c r="M350" s="33"/>
      <c r="N350" s="33"/>
      <c r="O350" s="33"/>
      <c r="P350" s="33"/>
      <c r="Q350" s="33"/>
      <c r="R350" s="33"/>
      <c r="S350" s="33"/>
      <c r="T350" s="33"/>
      <c r="U350" s="33"/>
      <c r="V350" s="33"/>
      <c r="W350" s="33"/>
      <c r="X350" s="33"/>
    </row>
    <row r="351" spans="1:24" ht="12.75" customHeight="1" x14ac:dyDescent="0.2">
      <c r="A351" s="33"/>
      <c r="B351" s="33"/>
      <c r="C351" s="84"/>
      <c r="D351" s="84"/>
      <c r="E351" s="69"/>
      <c r="F351" s="69"/>
      <c r="G351" s="76"/>
      <c r="H351" s="76"/>
      <c r="I351" s="33"/>
      <c r="J351" s="33"/>
      <c r="K351" s="33"/>
      <c r="L351" s="33"/>
      <c r="M351" s="33"/>
      <c r="N351" s="33"/>
      <c r="O351" s="33"/>
      <c r="P351" s="33"/>
      <c r="Q351" s="33"/>
      <c r="R351" s="33"/>
      <c r="S351" s="33"/>
      <c r="T351" s="33"/>
      <c r="U351" s="33"/>
      <c r="V351" s="33"/>
      <c r="W351" s="33"/>
      <c r="X351" s="33"/>
    </row>
    <row r="352" spans="1:24" ht="12.75" customHeight="1" x14ac:dyDescent="0.2">
      <c r="A352" s="33"/>
      <c r="B352" s="33"/>
      <c r="C352" s="84"/>
      <c r="D352" s="84"/>
      <c r="E352" s="69"/>
      <c r="F352" s="69"/>
      <c r="G352" s="76"/>
      <c r="H352" s="76"/>
      <c r="I352" s="33"/>
      <c r="J352" s="33"/>
      <c r="K352" s="33"/>
      <c r="L352" s="33"/>
      <c r="M352" s="33"/>
      <c r="N352" s="33"/>
      <c r="O352" s="33"/>
      <c r="P352" s="33"/>
      <c r="Q352" s="33"/>
      <c r="R352" s="33"/>
      <c r="S352" s="33"/>
      <c r="T352" s="33"/>
      <c r="U352" s="33"/>
      <c r="V352" s="33"/>
      <c r="W352" s="33"/>
      <c r="X352" s="33"/>
    </row>
    <row r="353" spans="1:24" ht="12.75" customHeight="1" x14ac:dyDescent="0.2">
      <c r="A353" s="33"/>
      <c r="B353" s="33"/>
      <c r="C353" s="84"/>
      <c r="D353" s="84"/>
      <c r="E353" s="69"/>
      <c r="F353" s="69"/>
      <c r="G353" s="76"/>
      <c r="H353" s="76"/>
      <c r="I353" s="33"/>
      <c r="J353" s="33"/>
      <c r="K353" s="33"/>
      <c r="L353" s="33"/>
      <c r="M353" s="33"/>
      <c r="N353" s="33"/>
      <c r="O353" s="33"/>
      <c r="P353" s="33"/>
      <c r="Q353" s="33"/>
      <c r="R353" s="33"/>
      <c r="S353" s="33"/>
      <c r="T353" s="33"/>
      <c r="U353" s="33"/>
      <c r="V353" s="33"/>
      <c r="W353" s="33"/>
      <c r="X353" s="33"/>
    </row>
    <row r="354" spans="1:24" ht="12.75" customHeight="1" x14ac:dyDescent="0.2">
      <c r="A354" s="33"/>
      <c r="B354" s="33"/>
      <c r="C354" s="84"/>
      <c r="D354" s="84"/>
      <c r="E354" s="69"/>
      <c r="F354" s="69"/>
      <c r="G354" s="76"/>
      <c r="H354" s="76"/>
      <c r="I354" s="33"/>
      <c r="J354" s="33"/>
      <c r="K354" s="33"/>
      <c r="L354" s="33"/>
      <c r="M354" s="33"/>
      <c r="N354" s="33"/>
      <c r="O354" s="33"/>
      <c r="P354" s="33"/>
      <c r="Q354" s="33"/>
      <c r="R354" s="33"/>
      <c r="S354" s="33"/>
      <c r="T354" s="33"/>
      <c r="U354" s="33"/>
      <c r="V354" s="33"/>
      <c r="W354" s="33"/>
      <c r="X354" s="33"/>
    </row>
    <row r="355" spans="1:24" ht="12.75" customHeight="1" x14ac:dyDescent="0.2">
      <c r="A355" s="33"/>
      <c r="B355" s="33"/>
      <c r="C355" s="84"/>
      <c r="D355" s="84"/>
      <c r="E355" s="69"/>
      <c r="F355" s="69"/>
      <c r="G355" s="76"/>
      <c r="H355" s="76"/>
      <c r="I355" s="33"/>
      <c r="J355" s="33"/>
      <c r="K355" s="33"/>
      <c r="L355" s="33"/>
      <c r="M355" s="33"/>
      <c r="N355" s="33"/>
      <c r="O355" s="33"/>
      <c r="P355" s="33"/>
      <c r="Q355" s="33"/>
      <c r="R355" s="33"/>
      <c r="S355" s="33"/>
      <c r="T355" s="33"/>
      <c r="U355" s="33"/>
      <c r="V355" s="33"/>
      <c r="W355" s="33"/>
      <c r="X355" s="33"/>
    </row>
    <row r="356" spans="1:24" ht="12.75" customHeight="1" x14ac:dyDescent="0.2">
      <c r="A356" s="33"/>
      <c r="B356" s="33"/>
      <c r="C356" s="84"/>
      <c r="D356" s="84"/>
      <c r="E356" s="69"/>
      <c r="F356" s="69"/>
      <c r="G356" s="76"/>
      <c r="H356" s="76"/>
      <c r="I356" s="33"/>
      <c r="J356" s="33"/>
      <c r="K356" s="33"/>
      <c r="L356" s="33"/>
      <c r="M356" s="33"/>
      <c r="N356" s="33"/>
      <c r="O356" s="33"/>
      <c r="P356" s="33"/>
      <c r="Q356" s="33"/>
      <c r="R356" s="33"/>
      <c r="S356" s="33"/>
      <c r="T356" s="33"/>
      <c r="U356" s="33"/>
      <c r="V356" s="33"/>
      <c r="W356" s="33"/>
      <c r="X356" s="33"/>
    </row>
    <row r="357" spans="1:24" ht="12.75" customHeight="1" x14ac:dyDescent="0.2">
      <c r="A357" s="33"/>
      <c r="B357" s="33"/>
      <c r="C357" s="84"/>
      <c r="D357" s="84"/>
      <c r="E357" s="69"/>
      <c r="F357" s="69"/>
      <c r="G357" s="76"/>
      <c r="H357" s="76"/>
      <c r="I357" s="33"/>
      <c r="J357" s="33"/>
      <c r="K357" s="33"/>
      <c r="L357" s="33"/>
      <c r="M357" s="33"/>
      <c r="N357" s="33"/>
      <c r="O357" s="33"/>
      <c r="P357" s="33"/>
      <c r="Q357" s="33"/>
      <c r="R357" s="33"/>
      <c r="S357" s="33"/>
      <c r="T357" s="33"/>
      <c r="U357" s="33"/>
      <c r="V357" s="33"/>
      <c r="W357" s="33"/>
      <c r="X357" s="33"/>
    </row>
    <row r="358" spans="1:24" ht="12.75" customHeight="1" x14ac:dyDescent="0.2">
      <c r="A358" s="33"/>
      <c r="B358" s="33"/>
      <c r="C358" s="84"/>
      <c r="D358" s="84"/>
      <c r="E358" s="69"/>
      <c r="F358" s="69"/>
      <c r="G358" s="76"/>
      <c r="H358" s="76"/>
      <c r="I358" s="33"/>
      <c r="J358" s="33"/>
      <c r="K358" s="33"/>
      <c r="L358" s="33"/>
      <c r="M358" s="33"/>
      <c r="N358" s="33"/>
      <c r="O358" s="33"/>
      <c r="P358" s="33"/>
      <c r="Q358" s="33"/>
      <c r="R358" s="33"/>
      <c r="S358" s="33"/>
      <c r="T358" s="33"/>
      <c r="U358" s="33"/>
      <c r="V358" s="33"/>
      <c r="W358" s="33"/>
      <c r="X358" s="33"/>
    </row>
    <row r="359" spans="1:24" ht="12.75" customHeight="1" x14ac:dyDescent="0.2">
      <c r="A359" s="33"/>
      <c r="B359" s="33"/>
      <c r="C359" s="84"/>
      <c r="D359" s="84"/>
      <c r="E359" s="69"/>
      <c r="F359" s="69"/>
      <c r="G359" s="76"/>
      <c r="H359" s="76"/>
      <c r="I359" s="33"/>
      <c r="J359" s="33"/>
      <c r="K359" s="33"/>
      <c r="L359" s="33"/>
      <c r="M359" s="33"/>
      <c r="N359" s="33"/>
      <c r="O359" s="33"/>
      <c r="P359" s="33"/>
      <c r="Q359" s="33"/>
      <c r="R359" s="33"/>
      <c r="S359" s="33"/>
      <c r="T359" s="33"/>
      <c r="U359" s="33"/>
      <c r="V359" s="33"/>
      <c r="W359" s="33"/>
      <c r="X359" s="33"/>
    </row>
    <row r="360" spans="1:24" ht="12.75" customHeight="1" x14ac:dyDescent="0.2">
      <c r="A360" s="33"/>
      <c r="B360" s="33"/>
      <c r="C360" s="84"/>
      <c r="D360" s="84"/>
      <c r="E360" s="69"/>
      <c r="F360" s="69"/>
      <c r="G360" s="76"/>
      <c r="H360" s="76"/>
      <c r="I360" s="33"/>
      <c r="J360" s="33"/>
      <c r="K360" s="33"/>
      <c r="L360" s="33"/>
      <c r="M360" s="33"/>
      <c r="N360" s="33"/>
      <c r="O360" s="33"/>
      <c r="P360" s="33"/>
      <c r="Q360" s="33"/>
      <c r="R360" s="33"/>
      <c r="S360" s="33"/>
      <c r="T360" s="33"/>
      <c r="U360" s="33"/>
      <c r="V360" s="33"/>
      <c r="W360" s="33"/>
      <c r="X360" s="33"/>
    </row>
    <row r="361" spans="1:24" ht="12.75" customHeight="1" x14ac:dyDescent="0.2">
      <c r="A361" s="33"/>
      <c r="B361" s="33"/>
      <c r="C361" s="84"/>
      <c r="D361" s="84"/>
      <c r="E361" s="69"/>
      <c r="F361" s="69"/>
      <c r="G361" s="76"/>
      <c r="H361" s="76"/>
      <c r="I361" s="33"/>
      <c r="J361" s="33"/>
      <c r="K361" s="33"/>
      <c r="L361" s="33"/>
      <c r="M361" s="33"/>
      <c r="N361" s="33"/>
      <c r="O361" s="33"/>
      <c r="P361" s="33"/>
      <c r="Q361" s="33"/>
      <c r="R361" s="33"/>
      <c r="S361" s="33"/>
      <c r="T361" s="33"/>
      <c r="U361" s="33"/>
      <c r="V361" s="33"/>
      <c r="W361" s="33"/>
      <c r="X361" s="33"/>
    </row>
    <row r="362" spans="1:24" ht="12.75" customHeight="1" x14ac:dyDescent="0.2">
      <c r="A362" s="33"/>
      <c r="B362" s="33"/>
      <c r="C362" s="84"/>
      <c r="D362" s="84"/>
      <c r="E362" s="69"/>
      <c r="F362" s="69"/>
      <c r="G362" s="76"/>
      <c r="H362" s="76"/>
      <c r="I362" s="33"/>
      <c r="J362" s="33"/>
      <c r="K362" s="33"/>
      <c r="L362" s="33"/>
      <c r="M362" s="33"/>
      <c r="N362" s="33"/>
      <c r="O362" s="33"/>
      <c r="P362" s="33"/>
      <c r="Q362" s="33"/>
      <c r="R362" s="33"/>
      <c r="S362" s="33"/>
      <c r="T362" s="33"/>
      <c r="U362" s="33"/>
      <c r="V362" s="33"/>
      <c r="W362" s="33"/>
      <c r="X362" s="33"/>
    </row>
    <row r="363" spans="1:24" ht="12.75" customHeight="1" x14ac:dyDescent="0.2">
      <c r="A363" s="33"/>
      <c r="B363" s="33"/>
      <c r="C363" s="84"/>
      <c r="D363" s="84"/>
      <c r="E363" s="69"/>
      <c r="F363" s="69"/>
      <c r="G363" s="76"/>
      <c r="H363" s="76"/>
      <c r="I363" s="33"/>
      <c r="J363" s="33"/>
      <c r="K363" s="33"/>
      <c r="L363" s="33"/>
      <c r="M363" s="33"/>
      <c r="N363" s="33"/>
      <c r="O363" s="33"/>
      <c r="P363" s="33"/>
      <c r="Q363" s="33"/>
      <c r="R363" s="33"/>
      <c r="S363" s="33"/>
      <c r="T363" s="33"/>
      <c r="U363" s="33"/>
      <c r="V363" s="33"/>
      <c r="W363" s="33"/>
      <c r="X363" s="33"/>
    </row>
    <row r="364" spans="1:24" ht="12.75" customHeight="1" x14ac:dyDescent="0.2">
      <c r="A364" s="33"/>
      <c r="B364" s="33"/>
      <c r="C364" s="84"/>
      <c r="D364" s="84"/>
      <c r="E364" s="69"/>
      <c r="F364" s="69"/>
      <c r="G364" s="76"/>
      <c r="H364" s="76"/>
      <c r="I364" s="33"/>
      <c r="J364" s="33"/>
      <c r="K364" s="33"/>
      <c r="L364" s="33"/>
      <c r="M364" s="33"/>
      <c r="N364" s="33"/>
      <c r="O364" s="33"/>
      <c r="P364" s="33"/>
      <c r="Q364" s="33"/>
      <c r="R364" s="33"/>
      <c r="S364" s="33"/>
      <c r="T364" s="33"/>
      <c r="U364" s="33"/>
      <c r="V364" s="33"/>
      <c r="W364" s="33"/>
      <c r="X364" s="33"/>
    </row>
    <row r="365" spans="1:24" ht="12.75" customHeight="1" x14ac:dyDescent="0.2">
      <c r="A365" s="33"/>
      <c r="B365" s="33"/>
      <c r="C365" s="84"/>
      <c r="D365" s="84"/>
      <c r="E365" s="69"/>
      <c r="F365" s="69"/>
      <c r="G365" s="76"/>
      <c r="H365" s="76"/>
      <c r="I365" s="33"/>
      <c r="J365" s="33"/>
      <c r="K365" s="33"/>
      <c r="L365" s="33"/>
      <c r="M365" s="33"/>
      <c r="N365" s="33"/>
      <c r="O365" s="33"/>
      <c r="P365" s="33"/>
      <c r="Q365" s="33"/>
      <c r="R365" s="33"/>
      <c r="S365" s="33"/>
      <c r="T365" s="33"/>
      <c r="U365" s="33"/>
      <c r="V365" s="33"/>
      <c r="W365" s="33"/>
      <c r="X365" s="33"/>
    </row>
    <row r="366" spans="1:24" ht="12.75" customHeight="1" x14ac:dyDescent="0.2">
      <c r="A366" s="33"/>
      <c r="B366" s="33"/>
      <c r="C366" s="84"/>
      <c r="D366" s="84"/>
      <c r="E366" s="69"/>
      <c r="F366" s="69"/>
      <c r="G366" s="76"/>
      <c r="H366" s="76"/>
      <c r="I366" s="33"/>
      <c r="J366" s="33"/>
      <c r="K366" s="33"/>
      <c r="L366" s="33"/>
      <c r="M366" s="33"/>
      <c r="N366" s="33"/>
      <c r="O366" s="33"/>
      <c r="P366" s="33"/>
      <c r="Q366" s="33"/>
      <c r="R366" s="33"/>
      <c r="S366" s="33"/>
      <c r="T366" s="33"/>
      <c r="U366" s="33"/>
      <c r="V366" s="33"/>
      <c r="W366" s="33"/>
      <c r="X366" s="33"/>
    </row>
    <row r="367" spans="1:24" ht="12.75" customHeight="1" x14ac:dyDescent="0.2">
      <c r="A367" s="33"/>
      <c r="B367" s="33"/>
      <c r="C367" s="84"/>
      <c r="D367" s="84"/>
      <c r="E367" s="69"/>
      <c r="F367" s="69"/>
      <c r="G367" s="76"/>
      <c r="H367" s="76"/>
      <c r="I367" s="33"/>
      <c r="J367" s="33"/>
      <c r="K367" s="33"/>
      <c r="L367" s="33"/>
      <c r="M367" s="33"/>
      <c r="N367" s="33"/>
      <c r="O367" s="33"/>
      <c r="P367" s="33"/>
      <c r="Q367" s="33"/>
      <c r="R367" s="33"/>
      <c r="S367" s="33"/>
      <c r="T367" s="33"/>
      <c r="U367" s="33"/>
      <c r="V367" s="33"/>
      <c r="W367" s="33"/>
      <c r="X367" s="33"/>
    </row>
    <row r="368" spans="1:24" ht="12.75" customHeight="1" x14ac:dyDescent="0.2">
      <c r="A368" s="33"/>
      <c r="B368" s="33"/>
      <c r="C368" s="84"/>
      <c r="D368" s="84"/>
      <c r="E368" s="69"/>
      <c r="F368" s="69"/>
      <c r="G368" s="76"/>
      <c r="H368" s="76"/>
      <c r="I368" s="33"/>
      <c r="J368" s="33"/>
      <c r="K368" s="33"/>
      <c r="L368" s="33"/>
      <c r="M368" s="33"/>
      <c r="N368" s="33"/>
      <c r="O368" s="33"/>
      <c r="P368" s="33"/>
      <c r="Q368" s="33"/>
      <c r="R368" s="33"/>
      <c r="S368" s="33"/>
      <c r="T368" s="33"/>
      <c r="U368" s="33"/>
      <c r="V368" s="33"/>
      <c r="W368" s="33"/>
      <c r="X368" s="33"/>
    </row>
    <row r="369" spans="1:24" ht="12.75" customHeight="1" x14ac:dyDescent="0.2">
      <c r="A369" s="33"/>
      <c r="B369" s="33"/>
      <c r="C369" s="84"/>
      <c r="D369" s="84"/>
      <c r="E369" s="69"/>
      <c r="F369" s="69"/>
      <c r="G369" s="76"/>
      <c r="H369" s="76"/>
      <c r="I369" s="33"/>
      <c r="J369" s="33"/>
      <c r="K369" s="33"/>
      <c r="L369" s="33"/>
      <c r="M369" s="33"/>
      <c r="N369" s="33"/>
      <c r="O369" s="33"/>
      <c r="P369" s="33"/>
      <c r="Q369" s="33"/>
      <c r="R369" s="33"/>
      <c r="S369" s="33"/>
      <c r="T369" s="33"/>
      <c r="U369" s="33"/>
      <c r="V369" s="33"/>
      <c r="W369" s="33"/>
      <c r="X369" s="33"/>
    </row>
    <row r="370" spans="1:24" ht="12.75" customHeight="1" x14ac:dyDescent="0.2">
      <c r="A370" s="33"/>
      <c r="B370" s="33"/>
      <c r="C370" s="84"/>
      <c r="D370" s="84"/>
      <c r="E370" s="69"/>
      <c r="F370" s="69"/>
      <c r="G370" s="76"/>
      <c r="H370" s="76"/>
      <c r="I370" s="33"/>
      <c r="J370" s="33"/>
      <c r="K370" s="33"/>
      <c r="L370" s="33"/>
      <c r="M370" s="33"/>
      <c r="N370" s="33"/>
      <c r="O370" s="33"/>
      <c r="P370" s="33"/>
      <c r="Q370" s="33"/>
      <c r="R370" s="33"/>
      <c r="S370" s="33"/>
      <c r="T370" s="33"/>
      <c r="U370" s="33"/>
      <c r="V370" s="33"/>
      <c r="W370" s="33"/>
      <c r="X370" s="33"/>
    </row>
    <row r="371" spans="1:24" ht="12.75" customHeight="1" x14ac:dyDescent="0.2">
      <c r="A371" s="33"/>
      <c r="B371" s="33"/>
      <c r="C371" s="84"/>
      <c r="D371" s="84"/>
      <c r="E371" s="69"/>
      <c r="F371" s="69"/>
      <c r="G371" s="76"/>
      <c r="H371" s="76"/>
      <c r="I371" s="33"/>
      <c r="J371" s="33"/>
      <c r="K371" s="33"/>
      <c r="L371" s="33"/>
      <c r="M371" s="33"/>
      <c r="N371" s="33"/>
      <c r="O371" s="33"/>
      <c r="P371" s="33"/>
      <c r="Q371" s="33"/>
      <c r="R371" s="33"/>
      <c r="S371" s="33"/>
      <c r="T371" s="33"/>
      <c r="U371" s="33"/>
      <c r="V371" s="33"/>
      <c r="W371" s="33"/>
      <c r="X371" s="33"/>
    </row>
    <row r="372" spans="1:24" ht="12.75" customHeight="1" x14ac:dyDescent="0.2">
      <c r="A372" s="33"/>
      <c r="B372" s="33"/>
      <c r="C372" s="84"/>
      <c r="D372" s="84"/>
      <c r="E372" s="69"/>
      <c r="F372" s="69"/>
      <c r="G372" s="76"/>
      <c r="H372" s="76"/>
      <c r="I372" s="33"/>
      <c r="J372" s="33"/>
      <c r="K372" s="33"/>
      <c r="L372" s="33"/>
      <c r="M372" s="33"/>
      <c r="N372" s="33"/>
      <c r="O372" s="33"/>
      <c r="P372" s="33"/>
      <c r="Q372" s="33"/>
      <c r="R372" s="33"/>
      <c r="S372" s="33"/>
      <c r="T372" s="33"/>
      <c r="U372" s="33"/>
      <c r="V372" s="33"/>
      <c r="W372" s="33"/>
      <c r="X372" s="33"/>
    </row>
    <row r="373" spans="1:24" ht="12.75" customHeight="1" x14ac:dyDescent="0.2">
      <c r="A373" s="33"/>
      <c r="B373" s="33"/>
      <c r="C373" s="84"/>
      <c r="D373" s="84"/>
      <c r="E373" s="69"/>
      <c r="F373" s="69"/>
      <c r="G373" s="76"/>
      <c r="H373" s="76"/>
      <c r="I373" s="33"/>
      <c r="J373" s="33"/>
      <c r="K373" s="33"/>
      <c r="L373" s="33"/>
      <c r="M373" s="33"/>
      <c r="N373" s="33"/>
      <c r="O373" s="33"/>
      <c r="P373" s="33"/>
      <c r="Q373" s="33"/>
      <c r="R373" s="33"/>
      <c r="S373" s="33"/>
      <c r="T373" s="33"/>
      <c r="U373" s="33"/>
      <c r="V373" s="33"/>
      <c r="W373" s="33"/>
      <c r="X373" s="33"/>
    </row>
    <row r="374" spans="1:24" ht="12.75" customHeight="1" x14ac:dyDescent="0.2">
      <c r="A374" s="33"/>
      <c r="B374" s="33"/>
      <c r="C374" s="84"/>
      <c r="D374" s="84"/>
      <c r="E374" s="69"/>
      <c r="F374" s="69"/>
      <c r="G374" s="76"/>
      <c r="H374" s="76"/>
      <c r="I374" s="33"/>
      <c r="J374" s="33"/>
      <c r="K374" s="33"/>
      <c r="L374" s="33"/>
      <c r="M374" s="33"/>
      <c r="N374" s="33"/>
      <c r="O374" s="33"/>
      <c r="P374" s="33"/>
      <c r="Q374" s="33"/>
      <c r="R374" s="33"/>
      <c r="S374" s="33"/>
      <c r="T374" s="33"/>
      <c r="U374" s="33"/>
      <c r="V374" s="33"/>
      <c r="W374" s="33"/>
      <c r="X374" s="33"/>
    </row>
    <row r="375" spans="1:24" ht="12.75" customHeight="1" x14ac:dyDescent="0.2">
      <c r="A375" s="33"/>
      <c r="B375" s="33"/>
      <c r="C375" s="84"/>
      <c r="D375" s="84"/>
      <c r="E375" s="69"/>
      <c r="F375" s="69"/>
      <c r="G375" s="76"/>
      <c r="H375" s="76"/>
      <c r="I375" s="33"/>
      <c r="J375" s="33"/>
      <c r="K375" s="33"/>
      <c r="L375" s="33"/>
      <c r="M375" s="33"/>
      <c r="N375" s="33"/>
      <c r="O375" s="33"/>
      <c r="P375" s="33"/>
      <c r="Q375" s="33"/>
      <c r="R375" s="33"/>
      <c r="S375" s="33"/>
      <c r="T375" s="33"/>
      <c r="U375" s="33"/>
      <c r="V375" s="33"/>
      <c r="W375" s="33"/>
      <c r="X375" s="33"/>
    </row>
    <row r="376" spans="1:24" ht="12.75" customHeight="1" x14ac:dyDescent="0.2">
      <c r="A376" s="33"/>
      <c r="B376" s="33"/>
      <c r="C376" s="84"/>
      <c r="D376" s="84"/>
      <c r="E376" s="69"/>
      <c r="F376" s="69"/>
      <c r="G376" s="76"/>
      <c r="H376" s="76"/>
      <c r="I376" s="33"/>
      <c r="J376" s="33"/>
      <c r="K376" s="33"/>
      <c r="L376" s="33"/>
      <c r="M376" s="33"/>
      <c r="N376" s="33"/>
      <c r="O376" s="33"/>
      <c r="P376" s="33"/>
      <c r="Q376" s="33"/>
      <c r="R376" s="33"/>
      <c r="S376" s="33"/>
      <c r="T376" s="33"/>
      <c r="U376" s="33"/>
      <c r="V376" s="33"/>
      <c r="W376" s="33"/>
      <c r="X376" s="33"/>
    </row>
    <row r="377" spans="1:24" ht="12.75" customHeight="1" x14ac:dyDescent="0.2">
      <c r="A377" s="33"/>
      <c r="B377" s="33"/>
      <c r="C377" s="84"/>
      <c r="D377" s="84"/>
      <c r="E377" s="69"/>
      <c r="F377" s="69"/>
      <c r="G377" s="76"/>
      <c r="H377" s="76"/>
      <c r="I377" s="33"/>
      <c r="J377" s="33"/>
      <c r="K377" s="33"/>
      <c r="L377" s="33"/>
      <c r="M377" s="33"/>
      <c r="N377" s="33"/>
      <c r="O377" s="33"/>
      <c r="P377" s="33"/>
      <c r="Q377" s="33"/>
      <c r="R377" s="33"/>
      <c r="S377" s="33"/>
      <c r="T377" s="33"/>
      <c r="U377" s="33"/>
      <c r="V377" s="33"/>
      <c r="W377" s="33"/>
      <c r="X377" s="33"/>
    </row>
    <row r="378" spans="1:24" ht="12.75" customHeight="1" x14ac:dyDescent="0.2">
      <c r="A378" s="33"/>
      <c r="B378" s="33"/>
      <c r="C378" s="84"/>
      <c r="D378" s="84"/>
      <c r="E378" s="69"/>
      <c r="F378" s="69"/>
      <c r="G378" s="76"/>
      <c r="H378" s="76"/>
      <c r="I378" s="33"/>
      <c r="J378" s="33"/>
      <c r="K378" s="33"/>
      <c r="L378" s="33"/>
      <c r="M378" s="33"/>
      <c r="N378" s="33"/>
      <c r="O378" s="33"/>
      <c r="P378" s="33"/>
      <c r="Q378" s="33"/>
      <c r="R378" s="33"/>
      <c r="S378" s="33"/>
      <c r="T378" s="33"/>
      <c r="U378" s="33"/>
      <c r="V378" s="33"/>
      <c r="W378" s="33"/>
      <c r="X378" s="33"/>
    </row>
    <row r="379" spans="1:24" ht="12.75" customHeight="1" x14ac:dyDescent="0.2">
      <c r="A379" s="33"/>
      <c r="B379" s="33"/>
      <c r="C379" s="84"/>
      <c r="D379" s="84"/>
      <c r="E379" s="69"/>
      <c r="F379" s="69"/>
      <c r="G379" s="76"/>
      <c r="H379" s="76"/>
      <c r="I379" s="33"/>
      <c r="J379" s="33"/>
      <c r="K379" s="33"/>
      <c r="L379" s="33"/>
      <c r="M379" s="33"/>
      <c r="N379" s="33"/>
      <c r="O379" s="33"/>
      <c r="P379" s="33"/>
      <c r="Q379" s="33"/>
      <c r="R379" s="33"/>
      <c r="S379" s="33"/>
      <c r="T379" s="33"/>
      <c r="U379" s="33"/>
      <c r="V379" s="33"/>
      <c r="W379" s="33"/>
      <c r="X379" s="33"/>
    </row>
    <row r="380" spans="1:24" ht="12.75" customHeight="1" x14ac:dyDescent="0.2">
      <c r="A380" s="33"/>
      <c r="B380" s="33"/>
      <c r="C380" s="84"/>
      <c r="D380" s="84"/>
      <c r="E380" s="69"/>
      <c r="F380" s="69"/>
      <c r="G380" s="76"/>
      <c r="H380" s="76"/>
      <c r="I380" s="33"/>
      <c r="J380" s="33"/>
      <c r="K380" s="33"/>
      <c r="L380" s="33"/>
      <c r="M380" s="33"/>
      <c r="N380" s="33"/>
      <c r="O380" s="33"/>
      <c r="P380" s="33"/>
      <c r="Q380" s="33"/>
      <c r="R380" s="33"/>
      <c r="S380" s="33"/>
      <c r="T380" s="33"/>
      <c r="U380" s="33"/>
      <c r="V380" s="33"/>
      <c r="W380" s="33"/>
      <c r="X380" s="33"/>
    </row>
    <row r="381" spans="1:24" ht="12.75" customHeight="1" x14ac:dyDescent="0.2">
      <c r="A381" s="33"/>
      <c r="B381" s="33"/>
      <c r="C381" s="84"/>
      <c r="D381" s="84"/>
      <c r="E381" s="69"/>
      <c r="F381" s="69"/>
      <c r="G381" s="76"/>
      <c r="H381" s="76"/>
      <c r="I381" s="33"/>
      <c r="J381" s="33"/>
      <c r="K381" s="33"/>
      <c r="L381" s="33"/>
      <c r="M381" s="33"/>
      <c r="N381" s="33"/>
      <c r="O381" s="33"/>
      <c r="P381" s="33"/>
      <c r="Q381" s="33"/>
      <c r="R381" s="33"/>
      <c r="S381" s="33"/>
      <c r="T381" s="33"/>
      <c r="U381" s="33"/>
      <c r="V381" s="33"/>
      <c r="W381" s="33"/>
      <c r="X381" s="33"/>
    </row>
    <row r="382" spans="1:24" ht="12.75" customHeight="1" x14ac:dyDescent="0.2">
      <c r="A382" s="33"/>
      <c r="B382" s="33"/>
      <c r="C382" s="84"/>
      <c r="D382" s="84"/>
      <c r="E382" s="69"/>
      <c r="F382" s="69"/>
      <c r="G382" s="76"/>
      <c r="H382" s="76"/>
      <c r="I382" s="33"/>
      <c r="J382" s="33"/>
      <c r="K382" s="33"/>
      <c r="L382" s="33"/>
      <c r="M382" s="33"/>
      <c r="N382" s="33"/>
      <c r="O382" s="33"/>
      <c r="P382" s="33"/>
      <c r="Q382" s="33"/>
      <c r="R382" s="33"/>
      <c r="S382" s="33"/>
      <c r="T382" s="33"/>
      <c r="U382" s="33"/>
      <c r="V382" s="33"/>
      <c r="W382" s="33"/>
      <c r="X382" s="33"/>
    </row>
    <row r="383" spans="1:24" ht="12.75" customHeight="1" x14ac:dyDescent="0.2">
      <c r="A383" s="33"/>
      <c r="B383" s="33"/>
      <c r="C383" s="84"/>
      <c r="D383" s="84"/>
      <c r="E383" s="69"/>
      <c r="F383" s="69"/>
      <c r="G383" s="76"/>
      <c r="H383" s="76"/>
      <c r="I383" s="33"/>
      <c r="J383" s="33"/>
      <c r="K383" s="33"/>
      <c r="L383" s="33"/>
      <c r="M383" s="33"/>
      <c r="N383" s="33"/>
      <c r="O383" s="33"/>
      <c r="P383" s="33"/>
      <c r="Q383" s="33"/>
      <c r="R383" s="33"/>
      <c r="S383" s="33"/>
      <c r="T383" s="33"/>
      <c r="U383" s="33"/>
      <c r="V383" s="33"/>
      <c r="W383" s="33"/>
      <c r="X383" s="33"/>
    </row>
    <row r="384" spans="1:24" ht="12.75" customHeight="1" x14ac:dyDescent="0.2">
      <c r="A384" s="33"/>
      <c r="B384" s="33"/>
      <c r="C384" s="84"/>
      <c r="D384" s="84"/>
      <c r="E384" s="69"/>
      <c r="F384" s="69"/>
      <c r="G384" s="76"/>
      <c r="H384" s="76"/>
      <c r="I384" s="33"/>
      <c r="J384" s="33"/>
      <c r="K384" s="33"/>
      <c r="L384" s="33"/>
      <c r="M384" s="33"/>
      <c r="N384" s="33"/>
      <c r="O384" s="33"/>
      <c r="P384" s="33"/>
      <c r="Q384" s="33"/>
      <c r="R384" s="33"/>
      <c r="S384" s="33"/>
      <c r="T384" s="33"/>
      <c r="U384" s="33"/>
      <c r="V384" s="33"/>
      <c r="W384" s="33"/>
      <c r="X384" s="33"/>
    </row>
    <row r="385" spans="1:24" ht="12.75" customHeight="1" x14ac:dyDescent="0.2">
      <c r="A385" s="33"/>
      <c r="B385" s="33"/>
      <c r="C385" s="84"/>
      <c r="D385" s="84"/>
      <c r="E385" s="69"/>
      <c r="F385" s="69"/>
      <c r="G385" s="76"/>
      <c r="H385" s="76"/>
      <c r="I385" s="33"/>
      <c r="J385" s="33"/>
      <c r="K385" s="33"/>
      <c r="L385" s="33"/>
      <c r="M385" s="33"/>
      <c r="N385" s="33"/>
      <c r="O385" s="33"/>
      <c r="P385" s="33"/>
      <c r="Q385" s="33"/>
      <c r="R385" s="33"/>
      <c r="S385" s="33"/>
      <c r="T385" s="33"/>
      <c r="U385" s="33"/>
      <c r="V385" s="33"/>
      <c r="W385" s="33"/>
      <c r="X385" s="33"/>
    </row>
    <row r="386" spans="1:24" ht="12.75" customHeight="1" x14ac:dyDescent="0.2">
      <c r="A386" s="33"/>
      <c r="B386" s="33"/>
      <c r="C386" s="84"/>
      <c r="D386" s="84"/>
      <c r="E386" s="69"/>
      <c r="F386" s="69"/>
      <c r="G386" s="76"/>
      <c r="H386" s="76"/>
      <c r="I386" s="33"/>
      <c r="J386" s="33"/>
      <c r="K386" s="33"/>
      <c r="L386" s="33"/>
      <c r="M386" s="33"/>
      <c r="N386" s="33"/>
      <c r="O386" s="33"/>
      <c r="P386" s="33"/>
      <c r="Q386" s="33"/>
      <c r="R386" s="33"/>
      <c r="S386" s="33"/>
      <c r="T386" s="33"/>
      <c r="U386" s="33"/>
      <c r="V386" s="33"/>
      <c r="W386" s="33"/>
      <c r="X386" s="33"/>
    </row>
    <row r="387" spans="1:24" ht="12.75" customHeight="1" x14ac:dyDescent="0.2">
      <c r="A387" s="33"/>
      <c r="B387" s="33"/>
      <c r="C387" s="84"/>
      <c r="D387" s="84"/>
      <c r="E387" s="69"/>
      <c r="F387" s="69"/>
      <c r="G387" s="76"/>
      <c r="H387" s="76"/>
      <c r="I387" s="33"/>
      <c r="J387" s="33"/>
      <c r="K387" s="33"/>
      <c r="L387" s="33"/>
      <c r="M387" s="33"/>
      <c r="N387" s="33"/>
      <c r="O387" s="33"/>
      <c r="P387" s="33"/>
      <c r="Q387" s="33"/>
      <c r="R387" s="33"/>
      <c r="S387" s="33"/>
      <c r="T387" s="33"/>
      <c r="U387" s="33"/>
      <c r="V387" s="33"/>
      <c r="W387" s="33"/>
      <c r="X387" s="33"/>
    </row>
    <row r="388" spans="1:24" ht="12.75" customHeight="1" x14ac:dyDescent="0.2">
      <c r="A388" s="33"/>
      <c r="B388" s="33"/>
      <c r="C388" s="84"/>
      <c r="D388" s="84"/>
      <c r="E388" s="69"/>
      <c r="F388" s="69"/>
      <c r="G388" s="76"/>
      <c r="H388" s="76"/>
      <c r="I388" s="33"/>
      <c r="J388" s="33"/>
      <c r="K388" s="33"/>
      <c r="L388" s="33"/>
      <c r="M388" s="33"/>
      <c r="N388" s="33"/>
      <c r="O388" s="33"/>
      <c r="P388" s="33"/>
      <c r="Q388" s="33"/>
      <c r="R388" s="33"/>
      <c r="S388" s="33"/>
      <c r="T388" s="33"/>
      <c r="U388" s="33"/>
      <c r="V388" s="33"/>
      <c r="W388" s="33"/>
      <c r="X388" s="33"/>
    </row>
    <row r="389" spans="1:24" ht="12.75" customHeight="1" x14ac:dyDescent="0.2">
      <c r="A389" s="33"/>
      <c r="B389" s="33"/>
      <c r="C389" s="84"/>
      <c r="D389" s="84"/>
      <c r="E389" s="69"/>
      <c r="F389" s="69"/>
      <c r="G389" s="76"/>
      <c r="H389" s="76"/>
      <c r="I389" s="33"/>
      <c r="J389" s="33"/>
      <c r="K389" s="33"/>
      <c r="L389" s="33"/>
      <c r="M389" s="33"/>
      <c r="N389" s="33"/>
      <c r="O389" s="33"/>
      <c r="P389" s="33"/>
      <c r="Q389" s="33"/>
      <c r="R389" s="33"/>
      <c r="S389" s="33"/>
      <c r="T389" s="33"/>
      <c r="U389" s="33"/>
      <c r="V389" s="33"/>
      <c r="W389" s="33"/>
      <c r="X389" s="33"/>
    </row>
    <row r="390" spans="1:24" ht="12.75" customHeight="1" x14ac:dyDescent="0.2">
      <c r="A390" s="33"/>
      <c r="B390" s="33"/>
      <c r="C390" s="84"/>
      <c r="D390" s="84"/>
      <c r="E390" s="69"/>
      <c r="F390" s="69"/>
      <c r="G390" s="76"/>
      <c r="H390" s="76"/>
      <c r="I390" s="33"/>
      <c r="J390" s="33"/>
      <c r="K390" s="33"/>
      <c r="L390" s="33"/>
      <c r="M390" s="33"/>
      <c r="N390" s="33"/>
      <c r="O390" s="33"/>
      <c r="P390" s="33"/>
      <c r="Q390" s="33"/>
      <c r="R390" s="33"/>
      <c r="S390" s="33"/>
      <c r="T390" s="33"/>
      <c r="U390" s="33"/>
      <c r="V390" s="33"/>
      <c r="W390" s="33"/>
      <c r="X390" s="33"/>
    </row>
    <row r="391" spans="1:24" ht="12.75" customHeight="1" x14ac:dyDescent="0.2">
      <c r="A391" s="33"/>
      <c r="B391" s="33"/>
      <c r="C391" s="84"/>
      <c r="D391" s="84"/>
      <c r="E391" s="69"/>
      <c r="F391" s="69"/>
      <c r="G391" s="76"/>
      <c r="H391" s="76"/>
      <c r="I391" s="33"/>
      <c r="J391" s="33"/>
      <c r="K391" s="33"/>
      <c r="L391" s="33"/>
      <c r="M391" s="33"/>
      <c r="N391" s="33"/>
      <c r="O391" s="33"/>
      <c r="P391" s="33"/>
      <c r="Q391" s="33"/>
      <c r="R391" s="33"/>
      <c r="S391" s="33"/>
      <c r="T391" s="33"/>
      <c r="U391" s="33"/>
      <c r="V391" s="33"/>
      <c r="W391" s="33"/>
      <c r="X391" s="33"/>
    </row>
    <row r="392" spans="1:24" ht="12.75" customHeight="1" x14ac:dyDescent="0.2">
      <c r="A392" s="33"/>
      <c r="B392" s="33"/>
      <c r="C392" s="84"/>
      <c r="D392" s="84"/>
      <c r="E392" s="69"/>
      <c r="F392" s="69"/>
      <c r="G392" s="76"/>
      <c r="H392" s="76"/>
      <c r="I392" s="33"/>
      <c r="J392" s="33"/>
      <c r="K392" s="33"/>
      <c r="L392" s="33"/>
      <c r="M392" s="33"/>
      <c r="N392" s="33"/>
      <c r="O392" s="33"/>
      <c r="P392" s="33"/>
      <c r="Q392" s="33"/>
      <c r="R392" s="33"/>
      <c r="S392" s="33"/>
      <c r="T392" s="33"/>
      <c r="U392" s="33"/>
      <c r="V392" s="33"/>
      <c r="W392" s="33"/>
      <c r="X392" s="33"/>
    </row>
    <row r="393" spans="1:24" ht="12.75" customHeight="1" x14ac:dyDescent="0.2">
      <c r="A393" s="33"/>
      <c r="B393" s="33"/>
      <c r="C393" s="84"/>
      <c r="D393" s="84"/>
      <c r="E393" s="69"/>
      <c r="F393" s="69"/>
      <c r="G393" s="76"/>
      <c r="H393" s="76"/>
      <c r="I393" s="33"/>
      <c r="J393" s="33"/>
      <c r="K393" s="33"/>
      <c r="L393" s="33"/>
      <c r="M393" s="33"/>
      <c r="N393" s="33"/>
      <c r="O393" s="33"/>
      <c r="P393" s="33"/>
      <c r="Q393" s="33"/>
      <c r="R393" s="33"/>
      <c r="S393" s="33"/>
      <c r="T393" s="33"/>
      <c r="U393" s="33"/>
      <c r="V393" s="33"/>
      <c r="W393" s="33"/>
      <c r="X393" s="33"/>
    </row>
    <row r="394" spans="1:24" ht="12.75" customHeight="1" x14ac:dyDescent="0.2">
      <c r="A394" s="33"/>
      <c r="B394" s="33"/>
      <c r="C394" s="84"/>
      <c r="D394" s="84"/>
      <c r="E394" s="69"/>
      <c r="F394" s="69"/>
      <c r="G394" s="76"/>
      <c r="H394" s="76"/>
      <c r="I394" s="33"/>
      <c r="J394" s="33"/>
      <c r="K394" s="33"/>
      <c r="L394" s="33"/>
      <c r="M394" s="33"/>
      <c r="N394" s="33"/>
      <c r="O394" s="33"/>
      <c r="P394" s="33"/>
      <c r="Q394" s="33"/>
      <c r="R394" s="33"/>
      <c r="S394" s="33"/>
      <c r="T394" s="33"/>
      <c r="U394" s="33"/>
      <c r="V394" s="33"/>
      <c r="W394" s="33"/>
      <c r="X394" s="33"/>
    </row>
    <row r="395" spans="1:24" ht="12.75" customHeight="1" x14ac:dyDescent="0.2">
      <c r="A395" s="33"/>
      <c r="B395" s="33"/>
      <c r="C395" s="84"/>
      <c r="D395" s="84"/>
      <c r="E395" s="69"/>
      <c r="F395" s="69"/>
      <c r="G395" s="76"/>
      <c r="H395" s="76"/>
      <c r="I395" s="33"/>
      <c r="J395" s="33"/>
      <c r="K395" s="33"/>
      <c r="L395" s="33"/>
      <c r="M395" s="33"/>
      <c r="N395" s="33"/>
      <c r="O395" s="33"/>
      <c r="P395" s="33"/>
      <c r="Q395" s="33"/>
      <c r="R395" s="33"/>
      <c r="S395" s="33"/>
      <c r="T395" s="33"/>
      <c r="U395" s="33"/>
      <c r="V395" s="33"/>
      <c r="W395" s="33"/>
      <c r="X395" s="33"/>
    </row>
    <row r="396" spans="1:24" ht="12.75" customHeight="1" x14ac:dyDescent="0.2">
      <c r="A396" s="33"/>
      <c r="B396" s="33"/>
      <c r="C396" s="84"/>
      <c r="D396" s="84"/>
      <c r="E396" s="69"/>
      <c r="F396" s="69"/>
      <c r="G396" s="76"/>
      <c r="H396" s="76"/>
      <c r="I396" s="33"/>
      <c r="J396" s="33"/>
      <c r="K396" s="33"/>
      <c r="L396" s="33"/>
      <c r="M396" s="33"/>
      <c r="N396" s="33"/>
      <c r="O396" s="33"/>
      <c r="P396" s="33"/>
      <c r="Q396" s="33"/>
      <c r="R396" s="33"/>
      <c r="S396" s="33"/>
      <c r="T396" s="33"/>
      <c r="U396" s="33"/>
      <c r="V396" s="33"/>
      <c r="W396" s="33"/>
      <c r="X396" s="33"/>
    </row>
    <row r="397" spans="1:24" ht="12.75" customHeight="1" x14ac:dyDescent="0.2">
      <c r="A397" s="33"/>
      <c r="B397" s="33"/>
      <c r="C397" s="84"/>
      <c r="D397" s="84"/>
      <c r="E397" s="69"/>
      <c r="F397" s="69"/>
      <c r="G397" s="76"/>
      <c r="H397" s="76"/>
      <c r="I397" s="33"/>
      <c r="J397" s="33"/>
      <c r="K397" s="33"/>
      <c r="L397" s="33"/>
      <c r="M397" s="33"/>
      <c r="N397" s="33"/>
      <c r="O397" s="33"/>
      <c r="P397" s="33"/>
      <c r="Q397" s="33"/>
      <c r="R397" s="33"/>
      <c r="S397" s="33"/>
      <c r="T397" s="33"/>
      <c r="U397" s="33"/>
      <c r="V397" s="33"/>
      <c r="W397" s="33"/>
      <c r="X397" s="33"/>
    </row>
    <row r="398" spans="1:24" ht="12.75" customHeight="1" x14ac:dyDescent="0.2">
      <c r="A398" s="33"/>
      <c r="B398" s="33"/>
      <c r="C398" s="84"/>
      <c r="D398" s="84"/>
      <c r="E398" s="69"/>
      <c r="F398" s="69"/>
      <c r="G398" s="76"/>
      <c r="H398" s="76"/>
      <c r="I398" s="33"/>
      <c r="J398" s="33"/>
      <c r="K398" s="33"/>
      <c r="L398" s="33"/>
      <c r="M398" s="33"/>
      <c r="N398" s="33"/>
      <c r="O398" s="33"/>
      <c r="P398" s="33"/>
      <c r="Q398" s="33"/>
      <c r="R398" s="33"/>
      <c r="S398" s="33"/>
      <c r="T398" s="33"/>
      <c r="U398" s="33"/>
      <c r="V398" s="33"/>
      <c r="W398" s="33"/>
      <c r="X398" s="33"/>
    </row>
    <row r="399" spans="1:24" ht="12.75" customHeight="1" x14ac:dyDescent="0.2">
      <c r="A399" s="33"/>
      <c r="B399" s="33"/>
      <c r="C399" s="84"/>
      <c r="D399" s="84"/>
      <c r="E399" s="69"/>
      <c r="F399" s="69"/>
      <c r="G399" s="76"/>
      <c r="H399" s="76"/>
      <c r="I399" s="33"/>
      <c r="J399" s="33"/>
      <c r="K399" s="33"/>
      <c r="L399" s="33"/>
      <c r="M399" s="33"/>
      <c r="N399" s="33"/>
      <c r="O399" s="33"/>
      <c r="P399" s="33"/>
      <c r="Q399" s="33"/>
      <c r="R399" s="33"/>
      <c r="S399" s="33"/>
      <c r="T399" s="33"/>
      <c r="U399" s="33"/>
      <c r="V399" s="33"/>
      <c r="W399" s="33"/>
      <c r="X399" s="33"/>
    </row>
    <row r="400" spans="1:24" ht="12.75" customHeight="1" x14ac:dyDescent="0.2">
      <c r="A400" s="33"/>
      <c r="B400" s="33"/>
      <c r="C400" s="84"/>
      <c r="D400" s="84"/>
      <c r="E400" s="69"/>
      <c r="F400" s="69"/>
      <c r="G400" s="76"/>
      <c r="H400" s="76"/>
      <c r="I400" s="33"/>
      <c r="J400" s="33"/>
      <c r="K400" s="33"/>
      <c r="L400" s="33"/>
      <c r="M400" s="33"/>
      <c r="N400" s="33"/>
      <c r="O400" s="33"/>
      <c r="P400" s="33"/>
      <c r="Q400" s="33"/>
      <c r="R400" s="33"/>
      <c r="S400" s="33"/>
      <c r="T400" s="33"/>
      <c r="U400" s="33"/>
      <c r="V400" s="33"/>
      <c r="W400" s="33"/>
      <c r="X400" s="33"/>
    </row>
    <row r="401" spans="1:24" ht="12.75" customHeight="1" x14ac:dyDescent="0.2">
      <c r="A401" s="33"/>
      <c r="B401" s="33"/>
      <c r="C401" s="84"/>
      <c r="D401" s="84"/>
      <c r="E401" s="69"/>
      <c r="F401" s="69"/>
      <c r="G401" s="76"/>
      <c r="H401" s="76"/>
      <c r="I401" s="33"/>
      <c r="J401" s="33"/>
      <c r="K401" s="33"/>
      <c r="L401" s="33"/>
      <c r="M401" s="33"/>
      <c r="N401" s="33"/>
      <c r="O401" s="33"/>
      <c r="P401" s="33"/>
      <c r="Q401" s="33"/>
      <c r="R401" s="33"/>
      <c r="S401" s="33"/>
      <c r="T401" s="33"/>
      <c r="U401" s="33"/>
      <c r="V401" s="33"/>
      <c r="W401" s="33"/>
      <c r="X401" s="33"/>
    </row>
    <row r="402" spans="1:24" ht="12.75" customHeight="1" x14ac:dyDescent="0.2">
      <c r="A402" s="33"/>
      <c r="B402" s="33"/>
      <c r="C402" s="84"/>
      <c r="D402" s="84"/>
      <c r="E402" s="69"/>
      <c r="F402" s="69"/>
      <c r="G402" s="76"/>
      <c r="H402" s="76"/>
      <c r="I402" s="33"/>
      <c r="J402" s="33"/>
      <c r="K402" s="33"/>
      <c r="L402" s="33"/>
      <c r="M402" s="33"/>
      <c r="N402" s="33"/>
      <c r="O402" s="33"/>
      <c r="P402" s="33"/>
      <c r="Q402" s="33"/>
      <c r="R402" s="33"/>
      <c r="S402" s="33"/>
      <c r="T402" s="33"/>
      <c r="U402" s="33"/>
      <c r="V402" s="33"/>
      <c r="W402" s="33"/>
      <c r="X402" s="33"/>
    </row>
    <row r="403" spans="1:24" ht="12.75" customHeight="1" x14ac:dyDescent="0.2">
      <c r="A403" s="33"/>
      <c r="B403" s="33"/>
      <c r="C403" s="84"/>
      <c r="D403" s="84"/>
      <c r="E403" s="69"/>
      <c r="F403" s="69"/>
      <c r="G403" s="76"/>
      <c r="H403" s="76"/>
      <c r="I403" s="33"/>
      <c r="J403" s="33"/>
      <c r="K403" s="33"/>
      <c r="L403" s="33"/>
      <c r="M403" s="33"/>
      <c r="N403" s="33"/>
      <c r="O403" s="33"/>
      <c r="P403" s="33"/>
      <c r="Q403" s="33"/>
      <c r="R403" s="33"/>
      <c r="S403" s="33"/>
      <c r="T403" s="33"/>
      <c r="U403" s="33"/>
      <c r="V403" s="33"/>
      <c r="W403" s="33"/>
      <c r="X403" s="33"/>
    </row>
    <row r="404" spans="1:24" ht="12.75" customHeight="1" x14ac:dyDescent="0.2">
      <c r="A404" s="33"/>
      <c r="B404" s="33"/>
      <c r="C404" s="84"/>
      <c r="D404" s="84"/>
      <c r="E404" s="69"/>
      <c r="F404" s="69"/>
      <c r="G404" s="76"/>
      <c r="H404" s="76"/>
      <c r="I404" s="33"/>
      <c r="J404" s="33"/>
      <c r="K404" s="33"/>
      <c r="L404" s="33"/>
      <c r="M404" s="33"/>
      <c r="N404" s="33"/>
      <c r="O404" s="33"/>
      <c r="P404" s="33"/>
      <c r="Q404" s="33"/>
      <c r="R404" s="33"/>
      <c r="S404" s="33"/>
      <c r="T404" s="33"/>
      <c r="U404" s="33"/>
      <c r="V404" s="33"/>
      <c r="W404" s="33"/>
      <c r="X404" s="33"/>
    </row>
    <row r="405" spans="1:24" ht="12.75" customHeight="1" x14ac:dyDescent="0.2">
      <c r="A405" s="33"/>
      <c r="B405" s="33"/>
      <c r="C405" s="84"/>
      <c r="D405" s="84"/>
      <c r="E405" s="69"/>
      <c r="F405" s="69"/>
      <c r="G405" s="76"/>
      <c r="H405" s="76"/>
      <c r="I405" s="33"/>
      <c r="J405" s="33"/>
      <c r="K405" s="33"/>
      <c r="L405" s="33"/>
      <c r="M405" s="33"/>
      <c r="N405" s="33"/>
      <c r="O405" s="33"/>
      <c r="P405" s="33"/>
      <c r="Q405" s="33"/>
      <c r="R405" s="33"/>
      <c r="S405" s="33"/>
      <c r="T405" s="33"/>
      <c r="U405" s="33"/>
      <c r="V405" s="33"/>
      <c r="W405" s="33"/>
      <c r="X405" s="33"/>
    </row>
    <row r="406" spans="1:24" ht="12.75" customHeight="1" x14ac:dyDescent="0.2">
      <c r="A406" s="33"/>
      <c r="B406" s="33"/>
      <c r="C406" s="84"/>
      <c r="D406" s="84"/>
      <c r="E406" s="69"/>
      <c r="F406" s="69"/>
      <c r="G406" s="76"/>
      <c r="H406" s="76"/>
      <c r="I406" s="33"/>
      <c r="J406" s="33"/>
      <c r="K406" s="33"/>
      <c r="L406" s="33"/>
      <c r="M406" s="33"/>
      <c r="N406" s="33"/>
      <c r="O406" s="33"/>
      <c r="P406" s="33"/>
      <c r="Q406" s="33"/>
      <c r="R406" s="33"/>
      <c r="S406" s="33"/>
      <c r="T406" s="33"/>
      <c r="U406" s="33"/>
      <c r="V406" s="33"/>
      <c r="W406" s="33"/>
      <c r="X406" s="33"/>
    </row>
    <row r="407" spans="1:24" ht="12.75" customHeight="1" x14ac:dyDescent="0.2">
      <c r="A407" s="33"/>
      <c r="B407" s="33"/>
      <c r="C407" s="84"/>
      <c r="D407" s="84"/>
      <c r="E407" s="69"/>
      <c r="F407" s="69"/>
      <c r="G407" s="76"/>
      <c r="H407" s="76"/>
      <c r="I407" s="33"/>
      <c r="J407" s="33"/>
      <c r="K407" s="33"/>
      <c r="L407" s="33"/>
      <c r="M407" s="33"/>
      <c r="N407" s="33"/>
      <c r="O407" s="33"/>
      <c r="P407" s="33"/>
      <c r="Q407" s="33"/>
      <c r="R407" s="33"/>
      <c r="S407" s="33"/>
      <c r="T407" s="33"/>
      <c r="U407" s="33"/>
      <c r="V407" s="33"/>
      <c r="W407" s="33"/>
      <c r="X407" s="33"/>
    </row>
    <row r="408" spans="1:24" ht="12.75" customHeight="1" x14ac:dyDescent="0.2">
      <c r="A408" s="33"/>
      <c r="B408" s="33"/>
      <c r="C408" s="84"/>
      <c r="D408" s="84"/>
      <c r="E408" s="69"/>
      <c r="F408" s="69"/>
      <c r="G408" s="76"/>
      <c r="H408" s="76"/>
      <c r="I408" s="33"/>
      <c r="J408" s="33"/>
      <c r="K408" s="33"/>
      <c r="L408" s="33"/>
      <c r="M408" s="33"/>
      <c r="N408" s="33"/>
      <c r="O408" s="33"/>
      <c r="P408" s="33"/>
      <c r="Q408" s="33"/>
      <c r="R408" s="33"/>
      <c r="S408" s="33"/>
      <c r="T408" s="33"/>
      <c r="U408" s="33"/>
      <c r="V408" s="33"/>
      <c r="W408" s="33"/>
      <c r="X408" s="33"/>
    </row>
    <row r="409" spans="1:24" ht="12.75" customHeight="1" x14ac:dyDescent="0.2">
      <c r="A409" s="33"/>
      <c r="B409" s="33"/>
      <c r="C409" s="84"/>
      <c r="D409" s="84"/>
      <c r="E409" s="69"/>
      <c r="F409" s="69"/>
      <c r="G409" s="76"/>
      <c r="H409" s="76"/>
      <c r="I409" s="33"/>
      <c r="J409" s="33"/>
      <c r="K409" s="33"/>
      <c r="L409" s="33"/>
      <c r="M409" s="33"/>
      <c r="N409" s="33"/>
      <c r="O409" s="33"/>
      <c r="P409" s="33"/>
      <c r="Q409" s="33"/>
      <c r="R409" s="33"/>
      <c r="S409" s="33"/>
      <c r="T409" s="33"/>
      <c r="U409" s="33"/>
      <c r="V409" s="33"/>
      <c r="W409" s="33"/>
      <c r="X409" s="33"/>
    </row>
    <row r="410" spans="1:24" ht="12.75" customHeight="1" x14ac:dyDescent="0.2">
      <c r="A410" s="33"/>
      <c r="B410" s="33"/>
      <c r="C410" s="84"/>
      <c r="D410" s="84"/>
      <c r="E410" s="69"/>
      <c r="F410" s="69"/>
      <c r="G410" s="76"/>
      <c r="H410" s="76"/>
      <c r="I410" s="33"/>
      <c r="J410" s="33"/>
      <c r="K410" s="33"/>
      <c r="L410" s="33"/>
      <c r="M410" s="33"/>
      <c r="N410" s="33"/>
      <c r="O410" s="33"/>
      <c r="P410" s="33"/>
      <c r="Q410" s="33"/>
      <c r="R410" s="33"/>
      <c r="S410" s="33"/>
      <c r="T410" s="33"/>
      <c r="U410" s="33"/>
      <c r="V410" s="33"/>
      <c r="W410" s="33"/>
      <c r="X410" s="33"/>
    </row>
    <row r="411" spans="1:24" ht="12.75" customHeight="1" x14ac:dyDescent="0.2">
      <c r="A411" s="33"/>
      <c r="B411" s="33"/>
      <c r="C411" s="84"/>
      <c r="D411" s="84"/>
      <c r="E411" s="69"/>
      <c r="F411" s="69"/>
      <c r="G411" s="76"/>
      <c r="H411" s="76"/>
      <c r="I411" s="33"/>
      <c r="J411" s="33"/>
      <c r="K411" s="33"/>
      <c r="L411" s="33"/>
      <c r="M411" s="33"/>
      <c r="N411" s="33"/>
      <c r="O411" s="33"/>
      <c r="P411" s="33"/>
      <c r="Q411" s="33"/>
      <c r="R411" s="33"/>
      <c r="S411" s="33"/>
      <c r="T411" s="33"/>
      <c r="U411" s="33"/>
      <c r="V411" s="33"/>
      <c r="W411" s="33"/>
      <c r="X411" s="33"/>
    </row>
    <row r="412" spans="1:24" ht="12.75" customHeight="1" x14ac:dyDescent="0.2">
      <c r="A412" s="33"/>
      <c r="B412" s="33"/>
      <c r="C412" s="84"/>
      <c r="D412" s="84"/>
      <c r="E412" s="69"/>
      <c r="F412" s="69"/>
      <c r="G412" s="76"/>
      <c r="H412" s="76"/>
      <c r="I412" s="33"/>
      <c r="J412" s="33"/>
      <c r="K412" s="33"/>
      <c r="L412" s="33"/>
      <c r="M412" s="33"/>
      <c r="N412" s="33"/>
      <c r="O412" s="33"/>
      <c r="P412" s="33"/>
      <c r="Q412" s="33"/>
      <c r="R412" s="33"/>
      <c r="S412" s="33"/>
      <c r="T412" s="33"/>
      <c r="U412" s="33"/>
      <c r="V412" s="33"/>
      <c r="W412" s="33"/>
      <c r="X412" s="33"/>
    </row>
    <row r="413" spans="1:24" ht="12.75" customHeight="1" x14ac:dyDescent="0.2">
      <c r="A413" s="33"/>
      <c r="B413" s="33"/>
      <c r="C413" s="84"/>
      <c r="D413" s="84"/>
      <c r="E413" s="69"/>
      <c r="F413" s="69"/>
      <c r="G413" s="76"/>
      <c r="H413" s="76"/>
      <c r="I413" s="33"/>
      <c r="J413" s="33"/>
      <c r="K413" s="33"/>
      <c r="L413" s="33"/>
      <c r="M413" s="33"/>
      <c r="N413" s="33"/>
      <c r="O413" s="33"/>
      <c r="P413" s="33"/>
      <c r="Q413" s="33"/>
      <c r="R413" s="33"/>
      <c r="S413" s="33"/>
      <c r="T413" s="33"/>
      <c r="U413" s="33"/>
      <c r="V413" s="33"/>
      <c r="W413" s="33"/>
      <c r="X413" s="33"/>
    </row>
    <row r="414" spans="1:24" ht="12.75" customHeight="1" x14ac:dyDescent="0.2">
      <c r="A414" s="33"/>
      <c r="B414" s="33"/>
      <c r="C414" s="84"/>
      <c r="D414" s="84"/>
      <c r="E414" s="69"/>
      <c r="F414" s="69"/>
      <c r="G414" s="76"/>
      <c r="H414" s="76"/>
      <c r="I414" s="33"/>
      <c r="J414" s="33"/>
      <c r="K414" s="33"/>
      <c r="L414" s="33"/>
      <c r="M414" s="33"/>
      <c r="N414" s="33"/>
      <c r="O414" s="33"/>
      <c r="P414" s="33"/>
      <c r="Q414" s="33"/>
      <c r="R414" s="33"/>
      <c r="S414" s="33"/>
      <c r="T414" s="33"/>
      <c r="U414" s="33"/>
      <c r="V414" s="33"/>
      <c r="W414" s="33"/>
      <c r="X414" s="33"/>
    </row>
    <row r="415" spans="1:24" ht="12.75" customHeight="1" x14ac:dyDescent="0.2">
      <c r="A415" s="33"/>
      <c r="B415" s="33"/>
      <c r="C415" s="84"/>
      <c r="D415" s="84"/>
      <c r="E415" s="69"/>
      <c r="F415" s="69"/>
      <c r="G415" s="76"/>
      <c r="H415" s="76"/>
      <c r="I415" s="33"/>
      <c r="J415" s="33"/>
      <c r="K415" s="33"/>
      <c r="L415" s="33"/>
      <c r="M415" s="33"/>
      <c r="N415" s="33"/>
      <c r="O415" s="33"/>
      <c r="P415" s="33"/>
      <c r="Q415" s="33"/>
      <c r="R415" s="33"/>
      <c r="S415" s="33"/>
      <c r="T415" s="33"/>
      <c r="U415" s="33"/>
      <c r="V415" s="33"/>
      <c r="W415" s="33"/>
      <c r="X415" s="33"/>
    </row>
    <row r="416" spans="1:24" ht="12.75" customHeight="1" x14ac:dyDescent="0.2">
      <c r="A416" s="33"/>
      <c r="B416" s="33"/>
      <c r="C416" s="84"/>
      <c r="D416" s="84"/>
      <c r="E416" s="69"/>
      <c r="F416" s="69"/>
      <c r="G416" s="76"/>
      <c r="H416" s="76"/>
      <c r="I416" s="33"/>
      <c r="J416" s="33"/>
      <c r="K416" s="33"/>
      <c r="L416" s="33"/>
      <c r="M416" s="33"/>
      <c r="N416" s="33"/>
      <c r="O416" s="33"/>
      <c r="P416" s="33"/>
      <c r="Q416" s="33"/>
      <c r="R416" s="33"/>
      <c r="S416" s="33"/>
      <c r="T416" s="33"/>
      <c r="U416" s="33"/>
      <c r="V416" s="33"/>
      <c r="W416" s="33"/>
      <c r="X416" s="33"/>
    </row>
    <row r="417" spans="1:24" ht="12.75" customHeight="1" x14ac:dyDescent="0.2">
      <c r="A417" s="33"/>
      <c r="B417" s="33"/>
      <c r="C417" s="84"/>
      <c r="D417" s="84"/>
      <c r="E417" s="69"/>
      <c r="F417" s="69"/>
      <c r="G417" s="76"/>
      <c r="H417" s="76"/>
      <c r="I417" s="33"/>
      <c r="J417" s="33"/>
      <c r="K417" s="33"/>
      <c r="L417" s="33"/>
      <c r="M417" s="33"/>
      <c r="N417" s="33"/>
      <c r="O417" s="33"/>
      <c r="P417" s="33"/>
      <c r="Q417" s="33"/>
      <c r="R417" s="33"/>
      <c r="S417" s="33"/>
      <c r="T417" s="33"/>
      <c r="U417" s="33"/>
      <c r="V417" s="33"/>
      <c r="W417" s="33"/>
      <c r="X417" s="33"/>
    </row>
    <row r="418" spans="1:24" ht="12.75" customHeight="1" x14ac:dyDescent="0.2">
      <c r="A418" s="33"/>
      <c r="B418" s="33"/>
      <c r="C418" s="84"/>
      <c r="D418" s="84"/>
      <c r="E418" s="69"/>
      <c r="F418" s="69"/>
      <c r="G418" s="76"/>
      <c r="H418" s="76"/>
      <c r="I418" s="33"/>
      <c r="J418" s="33"/>
      <c r="K418" s="33"/>
      <c r="L418" s="33"/>
      <c r="M418" s="33"/>
      <c r="N418" s="33"/>
      <c r="O418" s="33"/>
      <c r="P418" s="33"/>
      <c r="Q418" s="33"/>
      <c r="R418" s="33"/>
      <c r="S418" s="33"/>
      <c r="T418" s="33"/>
      <c r="U418" s="33"/>
      <c r="V418" s="33"/>
      <c r="W418" s="33"/>
      <c r="X418" s="33"/>
    </row>
    <row r="419" spans="1:24" ht="12.75" customHeight="1" x14ac:dyDescent="0.2">
      <c r="A419" s="33"/>
      <c r="B419" s="33"/>
      <c r="C419" s="84"/>
      <c r="D419" s="84"/>
      <c r="E419" s="69"/>
      <c r="F419" s="69"/>
      <c r="G419" s="76"/>
      <c r="H419" s="76"/>
      <c r="I419" s="33"/>
      <c r="J419" s="33"/>
      <c r="K419" s="33"/>
      <c r="L419" s="33"/>
      <c r="M419" s="33"/>
      <c r="N419" s="33"/>
      <c r="O419" s="33"/>
      <c r="P419" s="33"/>
      <c r="Q419" s="33"/>
      <c r="R419" s="33"/>
      <c r="S419" s="33"/>
      <c r="T419" s="33"/>
      <c r="U419" s="33"/>
      <c r="V419" s="33"/>
      <c r="W419" s="33"/>
      <c r="X419" s="33"/>
    </row>
    <row r="420" spans="1:24" ht="12.75" customHeight="1" x14ac:dyDescent="0.2">
      <c r="A420" s="33"/>
      <c r="B420" s="33"/>
      <c r="C420" s="84"/>
      <c r="D420" s="84"/>
      <c r="E420" s="69"/>
      <c r="F420" s="69"/>
      <c r="G420" s="76"/>
      <c r="H420" s="76"/>
      <c r="I420" s="33"/>
      <c r="J420" s="33"/>
      <c r="K420" s="33"/>
      <c r="L420" s="33"/>
      <c r="M420" s="33"/>
      <c r="N420" s="33"/>
      <c r="O420" s="33"/>
      <c r="P420" s="33"/>
      <c r="Q420" s="33"/>
      <c r="R420" s="33"/>
      <c r="S420" s="33"/>
      <c r="T420" s="33"/>
      <c r="U420" s="33"/>
      <c r="V420" s="33"/>
      <c r="W420" s="33"/>
      <c r="X420" s="33"/>
    </row>
    <row r="421" spans="1:24" ht="12.75" customHeight="1" x14ac:dyDescent="0.2">
      <c r="A421" s="33"/>
      <c r="B421" s="33"/>
      <c r="C421" s="84"/>
      <c r="D421" s="84"/>
      <c r="E421" s="69"/>
      <c r="F421" s="69"/>
      <c r="G421" s="76"/>
      <c r="H421" s="76"/>
      <c r="I421" s="33"/>
      <c r="J421" s="33"/>
      <c r="K421" s="33"/>
      <c r="L421" s="33"/>
      <c r="M421" s="33"/>
      <c r="N421" s="33"/>
      <c r="O421" s="33"/>
      <c r="P421" s="33"/>
      <c r="Q421" s="33"/>
      <c r="R421" s="33"/>
      <c r="S421" s="33"/>
      <c r="T421" s="33"/>
      <c r="U421" s="33"/>
      <c r="V421" s="33"/>
      <c r="W421" s="33"/>
      <c r="X421" s="33"/>
    </row>
    <row r="422" spans="1:24" ht="12.75" customHeight="1" x14ac:dyDescent="0.2">
      <c r="A422" s="33"/>
      <c r="B422" s="33"/>
      <c r="C422" s="84"/>
      <c r="D422" s="84"/>
      <c r="E422" s="69"/>
      <c r="F422" s="69"/>
      <c r="G422" s="76"/>
      <c r="H422" s="76"/>
      <c r="I422" s="33"/>
      <c r="J422" s="33"/>
      <c r="K422" s="33"/>
      <c r="L422" s="33"/>
      <c r="M422" s="33"/>
      <c r="N422" s="33"/>
      <c r="O422" s="33"/>
      <c r="P422" s="33"/>
      <c r="Q422" s="33"/>
      <c r="R422" s="33"/>
      <c r="S422" s="33"/>
      <c r="T422" s="33"/>
      <c r="U422" s="33"/>
      <c r="V422" s="33"/>
      <c r="W422" s="33"/>
      <c r="X422" s="33"/>
    </row>
    <row r="423" spans="1:24" ht="12.75" customHeight="1" x14ac:dyDescent="0.2">
      <c r="A423" s="33"/>
      <c r="B423" s="33"/>
      <c r="C423" s="84"/>
      <c r="D423" s="84"/>
      <c r="E423" s="69"/>
      <c r="F423" s="69"/>
      <c r="G423" s="76"/>
      <c r="H423" s="76"/>
      <c r="I423" s="33"/>
      <c r="J423" s="33"/>
      <c r="K423" s="33"/>
      <c r="L423" s="33"/>
      <c r="M423" s="33"/>
      <c r="N423" s="33"/>
      <c r="O423" s="33"/>
      <c r="P423" s="33"/>
      <c r="Q423" s="33"/>
      <c r="R423" s="33"/>
      <c r="S423" s="33"/>
      <c r="T423" s="33"/>
      <c r="U423" s="33"/>
      <c r="V423" s="33"/>
      <c r="W423" s="33"/>
      <c r="X423" s="33"/>
    </row>
    <row r="424" spans="1:24" ht="12.75" customHeight="1" x14ac:dyDescent="0.2">
      <c r="A424" s="33"/>
      <c r="B424" s="33"/>
      <c r="C424" s="84"/>
      <c r="D424" s="84"/>
      <c r="E424" s="69"/>
      <c r="F424" s="69"/>
      <c r="G424" s="76"/>
      <c r="H424" s="76"/>
      <c r="I424" s="33"/>
      <c r="J424" s="33"/>
      <c r="K424" s="33"/>
      <c r="L424" s="33"/>
      <c r="M424" s="33"/>
      <c r="N424" s="33"/>
      <c r="O424" s="33"/>
      <c r="P424" s="33"/>
      <c r="Q424" s="33"/>
      <c r="R424" s="33"/>
      <c r="S424" s="33"/>
      <c r="T424" s="33"/>
      <c r="U424" s="33"/>
      <c r="V424" s="33"/>
      <c r="W424" s="33"/>
      <c r="X424" s="33"/>
    </row>
    <row r="425" spans="1:24" ht="12.75" customHeight="1" x14ac:dyDescent="0.2">
      <c r="A425" s="33"/>
      <c r="B425" s="33"/>
      <c r="C425" s="84"/>
      <c r="D425" s="84"/>
      <c r="E425" s="69"/>
      <c r="F425" s="69"/>
      <c r="G425" s="76"/>
      <c r="H425" s="76"/>
      <c r="I425" s="33"/>
      <c r="J425" s="33"/>
      <c r="K425" s="33"/>
      <c r="L425" s="33"/>
      <c r="M425" s="33"/>
      <c r="N425" s="33"/>
      <c r="O425" s="33"/>
      <c r="P425" s="33"/>
      <c r="Q425" s="33"/>
      <c r="R425" s="33"/>
      <c r="S425" s="33"/>
      <c r="T425" s="33"/>
      <c r="U425" s="33"/>
      <c r="V425" s="33"/>
      <c r="W425" s="33"/>
      <c r="X425" s="33"/>
    </row>
    <row r="426" spans="1:24" ht="12.75" customHeight="1" x14ac:dyDescent="0.2">
      <c r="A426" s="33"/>
      <c r="B426" s="33"/>
      <c r="C426" s="84"/>
      <c r="D426" s="84"/>
      <c r="E426" s="69"/>
      <c r="F426" s="69"/>
      <c r="G426" s="76"/>
      <c r="H426" s="76"/>
      <c r="I426" s="33"/>
      <c r="J426" s="33"/>
      <c r="K426" s="33"/>
      <c r="L426" s="33"/>
      <c r="M426" s="33"/>
      <c r="N426" s="33"/>
      <c r="O426" s="33"/>
      <c r="P426" s="33"/>
      <c r="Q426" s="33"/>
      <c r="R426" s="33"/>
      <c r="S426" s="33"/>
      <c r="T426" s="33"/>
      <c r="U426" s="33"/>
      <c r="V426" s="33"/>
      <c r="W426" s="33"/>
      <c r="X426" s="33"/>
    </row>
    <row r="427" spans="1:24" ht="12.75" customHeight="1" x14ac:dyDescent="0.2">
      <c r="A427" s="33"/>
      <c r="B427" s="33"/>
      <c r="C427" s="84"/>
      <c r="D427" s="84"/>
      <c r="E427" s="69"/>
      <c r="F427" s="69"/>
      <c r="G427" s="76"/>
      <c r="H427" s="76"/>
      <c r="I427" s="33"/>
      <c r="J427" s="33"/>
      <c r="K427" s="33"/>
      <c r="L427" s="33"/>
      <c r="M427" s="33"/>
      <c r="N427" s="33"/>
      <c r="O427" s="33"/>
      <c r="P427" s="33"/>
      <c r="Q427" s="33"/>
      <c r="R427" s="33"/>
      <c r="S427" s="33"/>
      <c r="T427" s="33"/>
      <c r="U427" s="33"/>
      <c r="V427" s="33"/>
      <c r="W427" s="33"/>
      <c r="X427" s="33"/>
    </row>
    <row r="428" spans="1:24" ht="12.75" customHeight="1" x14ac:dyDescent="0.2">
      <c r="A428" s="33"/>
      <c r="B428" s="33"/>
      <c r="C428" s="84"/>
      <c r="D428" s="84"/>
      <c r="E428" s="69"/>
      <c r="F428" s="69"/>
      <c r="G428" s="76"/>
      <c r="H428" s="76"/>
      <c r="I428" s="33"/>
      <c r="J428" s="33"/>
      <c r="K428" s="33"/>
      <c r="L428" s="33"/>
      <c r="M428" s="33"/>
      <c r="N428" s="33"/>
      <c r="O428" s="33"/>
      <c r="P428" s="33"/>
      <c r="Q428" s="33"/>
      <c r="R428" s="33"/>
      <c r="S428" s="33"/>
      <c r="T428" s="33"/>
      <c r="U428" s="33"/>
      <c r="V428" s="33"/>
      <c r="W428" s="33"/>
      <c r="X428" s="33"/>
    </row>
    <row r="429" spans="1:24" ht="12.75" customHeight="1" x14ac:dyDescent="0.2">
      <c r="A429" s="33"/>
      <c r="B429" s="33"/>
      <c r="C429" s="84"/>
      <c r="D429" s="84"/>
      <c r="E429" s="69"/>
      <c r="F429" s="69"/>
      <c r="G429" s="76"/>
      <c r="H429" s="76"/>
      <c r="I429" s="33"/>
      <c r="J429" s="33"/>
      <c r="K429" s="33"/>
      <c r="L429" s="33"/>
      <c r="M429" s="33"/>
      <c r="N429" s="33"/>
      <c r="O429" s="33"/>
      <c r="P429" s="33"/>
      <c r="Q429" s="33"/>
      <c r="R429" s="33"/>
      <c r="S429" s="33"/>
      <c r="T429" s="33"/>
      <c r="U429" s="33"/>
      <c r="V429" s="33"/>
      <c r="W429" s="33"/>
      <c r="X429" s="33"/>
    </row>
    <row r="430" spans="1:24" ht="12.75" customHeight="1" x14ac:dyDescent="0.2">
      <c r="A430" s="33"/>
      <c r="B430" s="33"/>
      <c r="C430" s="84"/>
      <c r="D430" s="84"/>
      <c r="E430" s="69"/>
      <c r="F430" s="69"/>
      <c r="G430" s="76"/>
      <c r="H430" s="76"/>
      <c r="I430" s="33"/>
      <c r="J430" s="33"/>
      <c r="K430" s="33"/>
      <c r="L430" s="33"/>
      <c r="M430" s="33"/>
      <c r="N430" s="33"/>
      <c r="O430" s="33"/>
      <c r="P430" s="33"/>
      <c r="Q430" s="33"/>
      <c r="R430" s="33"/>
      <c r="S430" s="33"/>
      <c r="T430" s="33"/>
      <c r="U430" s="33"/>
      <c r="V430" s="33"/>
      <c r="W430" s="33"/>
      <c r="X430" s="33"/>
    </row>
    <row r="431" spans="1:24" ht="12.75" customHeight="1" x14ac:dyDescent="0.2">
      <c r="A431" s="33"/>
      <c r="B431" s="33"/>
      <c r="C431" s="84"/>
      <c r="D431" s="84"/>
      <c r="E431" s="69"/>
      <c r="F431" s="69"/>
      <c r="G431" s="76"/>
      <c r="H431" s="76"/>
      <c r="I431" s="33"/>
      <c r="J431" s="33"/>
      <c r="K431" s="33"/>
      <c r="L431" s="33"/>
      <c r="M431" s="33"/>
      <c r="N431" s="33"/>
      <c r="O431" s="33"/>
      <c r="P431" s="33"/>
      <c r="Q431" s="33"/>
      <c r="R431" s="33"/>
      <c r="S431" s="33"/>
      <c r="T431" s="33"/>
      <c r="U431" s="33"/>
      <c r="V431" s="33"/>
      <c r="W431" s="33"/>
      <c r="X431" s="33"/>
    </row>
    <row r="432" spans="1:24" ht="12.75" customHeight="1" x14ac:dyDescent="0.2">
      <c r="A432" s="33"/>
      <c r="B432" s="33"/>
      <c r="C432" s="84"/>
      <c r="D432" s="84"/>
      <c r="E432" s="69"/>
      <c r="F432" s="69"/>
      <c r="G432" s="76"/>
      <c r="H432" s="76"/>
      <c r="I432" s="33"/>
      <c r="J432" s="33"/>
      <c r="K432" s="33"/>
      <c r="L432" s="33"/>
      <c r="M432" s="33"/>
      <c r="N432" s="33"/>
      <c r="O432" s="33"/>
      <c r="P432" s="33"/>
      <c r="Q432" s="33"/>
      <c r="R432" s="33"/>
      <c r="S432" s="33"/>
      <c r="T432" s="33"/>
      <c r="U432" s="33"/>
      <c r="V432" s="33"/>
      <c r="W432" s="33"/>
      <c r="X432" s="33"/>
    </row>
    <row r="433" spans="1:24" ht="12.75" customHeight="1" x14ac:dyDescent="0.2">
      <c r="A433" s="33"/>
      <c r="B433" s="33"/>
      <c r="C433" s="84"/>
      <c r="D433" s="84"/>
      <c r="E433" s="69"/>
      <c r="F433" s="69"/>
      <c r="G433" s="76"/>
      <c r="H433" s="76"/>
      <c r="I433" s="33"/>
      <c r="J433" s="33"/>
      <c r="K433" s="33"/>
      <c r="L433" s="33"/>
      <c r="M433" s="33"/>
      <c r="N433" s="33"/>
      <c r="O433" s="33"/>
      <c r="P433" s="33"/>
      <c r="Q433" s="33"/>
      <c r="R433" s="33"/>
      <c r="S433" s="33"/>
      <c r="T433" s="33"/>
      <c r="U433" s="33"/>
      <c r="V433" s="33"/>
      <c r="W433" s="33"/>
      <c r="X433" s="33"/>
    </row>
    <row r="434" spans="1:24" ht="12.75" customHeight="1" x14ac:dyDescent="0.2">
      <c r="A434" s="33"/>
      <c r="B434" s="33"/>
      <c r="C434" s="84"/>
      <c r="D434" s="84"/>
      <c r="E434" s="69"/>
      <c r="F434" s="69"/>
      <c r="G434" s="76"/>
      <c r="H434" s="76"/>
      <c r="I434" s="33"/>
      <c r="J434" s="33"/>
      <c r="K434" s="33"/>
      <c r="L434" s="33"/>
      <c r="M434" s="33"/>
      <c r="N434" s="33"/>
      <c r="O434" s="33"/>
      <c r="P434" s="33"/>
      <c r="Q434" s="33"/>
      <c r="R434" s="33"/>
      <c r="S434" s="33"/>
      <c r="T434" s="33"/>
      <c r="U434" s="33"/>
      <c r="V434" s="33"/>
      <c r="W434" s="33"/>
      <c r="X434" s="33"/>
    </row>
    <row r="435" spans="1:24" ht="12.75" customHeight="1" x14ac:dyDescent="0.2">
      <c r="A435" s="33"/>
      <c r="B435" s="33"/>
      <c r="C435" s="84"/>
      <c r="D435" s="84"/>
      <c r="E435" s="69"/>
      <c r="F435" s="69"/>
      <c r="G435" s="76"/>
      <c r="H435" s="76"/>
      <c r="I435" s="33"/>
      <c r="J435" s="33"/>
      <c r="K435" s="33"/>
      <c r="L435" s="33"/>
      <c r="M435" s="33"/>
      <c r="N435" s="33"/>
      <c r="O435" s="33"/>
      <c r="P435" s="33"/>
      <c r="Q435" s="33"/>
      <c r="R435" s="33"/>
      <c r="S435" s="33"/>
      <c r="T435" s="33"/>
      <c r="U435" s="33"/>
      <c r="V435" s="33"/>
      <c r="W435" s="33"/>
      <c r="X435" s="33"/>
    </row>
    <row r="436" spans="1:24" ht="12.75" customHeight="1" x14ac:dyDescent="0.2">
      <c r="A436" s="33"/>
      <c r="B436" s="33"/>
      <c r="C436" s="84"/>
      <c r="D436" s="84"/>
      <c r="E436" s="69"/>
      <c r="F436" s="69"/>
      <c r="G436" s="76"/>
      <c r="H436" s="76"/>
      <c r="I436" s="33"/>
      <c r="J436" s="33"/>
      <c r="K436" s="33"/>
      <c r="L436" s="33"/>
      <c r="M436" s="33"/>
      <c r="N436" s="33"/>
      <c r="O436" s="33"/>
      <c r="P436" s="33"/>
      <c r="Q436" s="33"/>
      <c r="R436" s="33"/>
      <c r="S436" s="33"/>
      <c r="T436" s="33"/>
      <c r="U436" s="33"/>
      <c r="V436" s="33"/>
      <c r="W436" s="33"/>
      <c r="X436" s="33"/>
    </row>
    <row r="437" spans="1:24" ht="12.75" customHeight="1" x14ac:dyDescent="0.2">
      <c r="A437" s="33"/>
      <c r="B437" s="33"/>
      <c r="C437" s="84"/>
      <c r="D437" s="84"/>
      <c r="E437" s="69"/>
      <c r="F437" s="69"/>
      <c r="G437" s="76"/>
      <c r="H437" s="76"/>
      <c r="I437" s="33"/>
      <c r="J437" s="33"/>
      <c r="K437" s="33"/>
      <c r="L437" s="33"/>
      <c r="M437" s="33"/>
      <c r="N437" s="33"/>
      <c r="O437" s="33"/>
      <c r="P437" s="33"/>
      <c r="Q437" s="33"/>
      <c r="R437" s="33"/>
      <c r="S437" s="33"/>
      <c r="T437" s="33"/>
      <c r="U437" s="33"/>
      <c r="V437" s="33"/>
      <c r="W437" s="33"/>
      <c r="X437" s="33"/>
    </row>
    <row r="438" spans="1:24" ht="12.75" customHeight="1" x14ac:dyDescent="0.2">
      <c r="A438" s="33"/>
      <c r="B438" s="33"/>
      <c r="C438" s="84"/>
      <c r="D438" s="84"/>
      <c r="E438" s="69"/>
      <c r="F438" s="69"/>
      <c r="G438" s="76"/>
      <c r="H438" s="76"/>
      <c r="I438" s="33"/>
      <c r="J438" s="33"/>
      <c r="K438" s="33"/>
      <c r="L438" s="33"/>
      <c r="M438" s="33"/>
      <c r="N438" s="33"/>
      <c r="O438" s="33"/>
      <c r="P438" s="33"/>
      <c r="Q438" s="33"/>
      <c r="R438" s="33"/>
      <c r="S438" s="33"/>
      <c r="T438" s="33"/>
      <c r="U438" s="33"/>
      <c r="V438" s="33"/>
      <c r="W438" s="33"/>
      <c r="X438" s="33"/>
    </row>
    <row r="439" spans="1:24" ht="12.75" customHeight="1" x14ac:dyDescent="0.2">
      <c r="A439" s="33"/>
      <c r="B439" s="33"/>
      <c r="C439" s="84"/>
      <c r="D439" s="84"/>
      <c r="E439" s="69"/>
      <c r="F439" s="69"/>
      <c r="G439" s="76"/>
      <c r="H439" s="76"/>
      <c r="I439" s="33"/>
      <c r="J439" s="33"/>
      <c r="K439" s="33"/>
      <c r="L439" s="33"/>
      <c r="M439" s="33"/>
      <c r="N439" s="33"/>
      <c r="O439" s="33"/>
      <c r="P439" s="33"/>
      <c r="Q439" s="33"/>
      <c r="R439" s="33"/>
      <c r="S439" s="33"/>
      <c r="T439" s="33"/>
      <c r="U439" s="33"/>
      <c r="V439" s="33"/>
      <c r="W439" s="33"/>
      <c r="X439" s="33"/>
    </row>
    <row r="440" spans="1:24" ht="12.75" customHeight="1" x14ac:dyDescent="0.2">
      <c r="A440" s="33"/>
      <c r="B440" s="33"/>
      <c r="C440" s="84"/>
      <c r="D440" s="84"/>
      <c r="E440" s="69"/>
      <c r="F440" s="69"/>
      <c r="G440" s="76"/>
      <c r="H440" s="76"/>
      <c r="I440" s="33"/>
      <c r="J440" s="33"/>
      <c r="K440" s="33"/>
      <c r="L440" s="33"/>
      <c r="M440" s="33"/>
      <c r="N440" s="33"/>
      <c r="O440" s="33"/>
      <c r="P440" s="33"/>
      <c r="Q440" s="33"/>
      <c r="R440" s="33"/>
      <c r="S440" s="33"/>
      <c r="T440" s="33"/>
      <c r="U440" s="33"/>
      <c r="V440" s="33"/>
      <c r="W440" s="33"/>
      <c r="X440" s="33"/>
    </row>
    <row r="441" spans="1:24" ht="12.75" customHeight="1" x14ac:dyDescent="0.2">
      <c r="A441" s="33"/>
      <c r="B441" s="33"/>
      <c r="C441" s="84"/>
      <c r="D441" s="84"/>
      <c r="E441" s="69"/>
      <c r="F441" s="69"/>
      <c r="G441" s="76"/>
      <c r="H441" s="76"/>
      <c r="I441" s="33"/>
      <c r="J441" s="33"/>
      <c r="K441" s="33"/>
      <c r="L441" s="33"/>
      <c r="M441" s="33"/>
      <c r="N441" s="33"/>
      <c r="O441" s="33"/>
      <c r="P441" s="33"/>
      <c r="Q441" s="33"/>
      <c r="R441" s="33"/>
      <c r="S441" s="33"/>
      <c r="T441" s="33"/>
      <c r="U441" s="33"/>
      <c r="V441" s="33"/>
      <c r="W441" s="33"/>
      <c r="X441" s="33"/>
    </row>
    <row r="442" spans="1:24" ht="12.75" customHeight="1" x14ac:dyDescent="0.2">
      <c r="A442" s="33"/>
      <c r="B442" s="33"/>
      <c r="C442" s="84"/>
      <c r="D442" s="84"/>
      <c r="E442" s="69"/>
      <c r="F442" s="69"/>
      <c r="G442" s="76"/>
      <c r="H442" s="76"/>
      <c r="I442" s="33"/>
      <c r="J442" s="33"/>
      <c r="K442" s="33"/>
      <c r="L442" s="33"/>
      <c r="M442" s="33"/>
      <c r="N442" s="33"/>
      <c r="O442" s="33"/>
      <c r="P442" s="33"/>
      <c r="Q442" s="33"/>
      <c r="R442" s="33"/>
      <c r="S442" s="33"/>
      <c r="T442" s="33"/>
      <c r="U442" s="33"/>
      <c r="V442" s="33"/>
      <c r="W442" s="33"/>
      <c r="X442" s="33"/>
    </row>
    <row r="443" spans="1:24" ht="12.75" customHeight="1" x14ac:dyDescent="0.2">
      <c r="A443" s="33"/>
      <c r="B443" s="33"/>
      <c r="C443" s="84"/>
      <c r="D443" s="84"/>
      <c r="E443" s="69"/>
      <c r="F443" s="69"/>
      <c r="G443" s="76"/>
      <c r="H443" s="76"/>
      <c r="I443" s="33"/>
      <c r="J443" s="33"/>
      <c r="K443" s="33"/>
      <c r="L443" s="33"/>
      <c r="M443" s="33"/>
      <c r="N443" s="33"/>
      <c r="O443" s="33"/>
      <c r="P443" s="33"/>
      <c r="Q443" s="33"/>
      <c r="R443" s="33"/>
      <c r="S443" s="33"/>
      <c r="T443" s="33"/>
      <c r="U443" s="33"/>
      <c r="V443" s="33"/>
      <c r="W443" s="33"/>
      <c r="X443" s="33"/>
    </row>
    <row r="444" spans="1:24" ht="12.75" customHeight="1" x14ac:dyDescent="0.2">
      <c r="A444" s="33"/>
      <c r="B444" s="33"/>
      <c r="C444" s="84"/>
      <c r="D444" s="84"/>
      <c r="E444" s="69"/>
      <c r="F444" s="69"/>
      <c r="G444" s="76"/>
      <c r="H444" s="76"/>
      <c r="I444" s="33"/>
      <c r="J444" s="33"/>
      <c r="K444" s="33"/>
      <c r="L444" s="33"/>
      <c r="M444" s="33"/>
      <c r="N444" s="33"/>
      <c r="O444" s="33"/>
      <c r="P444" s="33"/>
      <c r="Q444" s="33"/>
      <c r="R444" s="33"/>
      <c r="S444" s="33"/>
      <c r="T444" s="33"/>
      <c r="U444" s="33"/>
      <c r="V444" s="33"/>
      <c r="W444" s="33"/>
      <c r="X444" s="33"/>
    </row>
    <row r="445" spans="1:24" ht="12.75" customHeight="1" x14ac:dyDescent="0.2">
      <c r="A445" s="33"/>
      <c r="B445" s="33"/>
      <c r="C445" s="84"/>
      <c r="D445" s="84"/>
      <c r="E445" s="69"/>
      <c r="F445" s="69"/>
      <c r="G445" s="76"/>
      <c r="H445" s="76"/>
      <c r="I445" s="33"/>
      <c r="J445" s="33"/>
      <c r="K445" s="33"/>
      <c r="L445" s="33"/>
      <c r="M445" s="33"/>
      <c r="N445" s="33"/>
      <c r="O445" s="33"/>
      <c r="P445" s="33"/>
      <c r="Q445" s="33"/>
      <c r="R445" s="33"/>
      <c r="S445" s="33"/>
      <c r="T445" s="33"/>
      <c r="U445" s="33"/>
      <c r="V445" s="33"/>
      <c r="W445" s="33"/>
      <c r="X445" s="33"/>
    </row>
    <row r="446" spans="1:24" ht="12.75" customHeight="1" x14ac:dyDescent="0.2">
      <c r="A446" s="33"/>
      <c r="B446" s="33"/>
      <c r="C446" s="84"/>
      <c r="D446" s="84"/>
      <c r="E446" s="69"/>
      <c r="F446" s="69"/>
      <c r="G446" s="76"/>
      <c r="H446" s="76"/>
      <c r="I446" s="33"/>
      <c r="J446" s="33"/>
      <c r="K446" s="33"/>
      <c r="L446" s="33"/>
      <c r="M446" s="33"/>
      <c r="N446" s="33"/>
      <c r="O446" s="33"/>
      <c r="P446" s="33"/>
      <c r="Q446" s="33"/>
      <c r="R446" s="33"/>
      <c r="S446" s="33"/>
      <c r="T446" s="33"/>
      <c r="U446" s="33"/>
      <c r="V446" s="33"/>
      <c r="W446" s="33"/>
      <c r="X446" s="33"/>
    </row>
    <row r="447" spans="1:24" ht="12.75" customHeight="1" x14ac:dyDescent="0.2">
      <c r="A447" s="33"/>
      <c r="B447" s="33"/>
      <c r="C447" s="84"/>
      <c r="D447" s="84"/>
      <c r="E447" s="69"/>
      <c r="F447" s="69"/>
      <c r="G447" s="76"/>
      <c r="H447" s="76"/>
      <c r="I447" s="33"/>
      <c r="J447" s="33"/>
      <c r="K447" s="33"/>
      <c r="L447" s="33"/>
      <c r="M447" s="33"/>
      <c r="N447" s="33"/>
      <c r="O447" s="33"/>
      <c r="P447" s="33"/>
      <c r="Q447" s="33"/>
      <c r="R447" s="33"/>
      <c r="S447" s="33"/>
      <c r="T447" s="33"/>
      <c r="U447" s="33"/>
      <c r="V447" s="33"/>
      <c r="W447" s="33"/>
      <c r="X447" s="33"/>
    </row>
    <row r="448" spans="1:24" ht="12.75" customHeight="1" x14ac:dyDescent="0.2">
      <c r="A448" s="33"/>
      <c r="B448" s="33"/>
      <c r="C448" s="84"/>
      <c r="D448" s="84"/>
      <c r="E448" s="69"/>
      <c r="F448" s="69"/>
      <c r="G448" s="76"/>
      <c r="H448" s="76"/>
      <c r="I448" s="33"/>
      <c r="J448" s="33"/>
      <c r="K448" s="33"/>
      <c r="L448" s="33"/>
      <c r="M448" s="33"/>
      <c r="N448" s="33"/>
      <c r="O448" s="33"/>
      <c r="P448" s="33"/>
      <c r="Q448" s="33"/>
      <c r="R448" s="33"/>
      <c r="S448" s="33"/>
      <c r="T448" s="33"/>
      <c r="U448" s="33"/>
      <c r="V448" s="33"/>
      <c r="W448" s="33"/>
      <c r="X448" s="33"/>
    </row>
    <row r="449" spans="1:24" ht="12.75" customHeight="1" x14ac:dyDescent="0.2">
      <c r="A449" s="33"/>
      <c r="B449" s="33"/>
      <c r="C449" s="84"/>
      <c r="D449" s="84"/>
      <c r="E449" s="69"/>
      <c r="F449" s="69"/>
      <c r="G449" s="76"/>
      <c r="H449" s="76"/>
      <c r="I449" s="33"/>
      <c r="J449" s="33"/>
      <c r="K449" s="33"/>
      <c r="L449" s="33"/>
      <c r="M449" s="33"/>
      <c r="N449" s="33"/>
      <c r="O449" s="33"/>
      <c r="P449" s="33"/>
      <c r="Q449" s="33"/>
      <c r="R449" s="33"/>
      <c r="S449" s="33"/>
      <c r="T449" s="33"/>
      <c r="U449" s="33"/>
      <c r="V449" s="33"/>
      <c r="W449" s="33"/>
      <c r="X449" s="33"/>
    </row>
    <row r="450" spans="1:24" ht="12.75" customHeight="1" x14ac:dyDescent="0.2">
      <c r="A450" s="33"/>
      <c r="B450" s="33"/>
      <c r="C450" s="84"/>
      <c r="D450" s="84"/>
      <c r="E450" s="69"/>
      <c r="F450" s="69"/>
      <c r="G450" s="76"/>
      <c r="H450" s="76"/>
      <c r="I450" s="33"/>
      <c r="J450" s="33"/>
      <c r="K450" s="33"/>
      <c r="L450" s="33"/>
      <c r="M450" s="33"/>
      <c r="N450" s="33"/>
      <c r="O450" s="33"/>
      <c r="P450" s="33"/>
      <c r="Q450" s="33"/>
      <c r="R450" s="33"/>
      <c r="S450" s="33"/>
      <c r="T450" s="33"/>
      <c r="U450" s="33"/>
      <c r="V450" s="33"/>
      <c r="W450" s="33"/>
      <c r="X450" s="33"/>
    </row>
    <row r="451" spans="1:24" ht="12.75" customHeight="1" x14ac:dyDescent="0.2">
      <c r="A451" s="33"/>
      <c r="B451" s="33"/>
      <c r="C451" s="84"/>
      <c r="D451" s="84"/>
      <c r="E451" s="69"/>
      <c r="F451" s="69"/>
      <c r="G451" s="76"/>
      <c r="H451" s="76"/>
      <c r="I451" s="33"/>
      <c r="J451" s="33"/>
      <c r="K451" s="33"/>
      <c r="L451" s="33"/>
      <c r="M451" s="33"/>
      <c r="N451" s="33"/>
      <c r="O451" s="33"/>
      <c r="P451" s="33"/>
      <c r="Q451" s="33"/>
      <c r="R451" s="33"/>
      <c r="S451" s="33"/>
      <c r="T451" s="33"/>
      <c r="U451" s="33"/>
      <c r="V451" s="33"/>
      <c r="W451" s="33"/>
      <c r="X451" s="33"/>
    </row>
    <row r="452" spans="1:24" ht="12.75" customHeight="1" x14ac:dyDescent="0.2">
      <c r="A452" s="33"/>
      <c r="B452" s="33"/>
      <c r="C452" s="84"/>
      <c r="D452" s="84"/>
      <c r="E452" s="69"/>
      <c r="F452" s="69"/>
      <c r="G452" s="76"/>
      <c r="H452" s="76"/>
      <c r="I452" s="33"/>
      <c r="J452" s="33"/>
      <c r="K452" s="33"/>
      <c r="L452" s="33"/>
      <c r="M452" s="33"/>
      <c r="N452" s="33"/>
      <c r="O452" s="33"/>
      <c r="P452" s="33"/>
      <c r="Q452" s="33"/>
      <c r="R452" s="33"/>
      <c r="S452" s="33"/>
      <c r="T452" s="33"/>
      <c r="U452" s="33"/>
      <c r="V452" s="33"/>
      <c r="W452" s="33"/>
      <c r="X452" s="33"/>
    </row>
    <row r="453" spans="1:24" ht="12.75" customHeight="1" x14ac:dyDescent="0.2">
      <c r="A453" s="33"/>
      <c r="B453" s="33"/>
      <c r="C453" s="84"/>
      <c r="D453" s="84"/>
      <c r="E453" s="69"/>
      <c r="F453" s="69"/>
      <c r="G453" s="76"/>
      <c r="H453" s="76"/>
      <c r="I453" s="33"/>
      <c r="J453" s="33"/>
      <c r="K453" s="33"/>
      <c r="L453" s="33"/>
      <c r="M453" s="33"/>
      <c r="N453" s="33"/>
      <c r="O453" s="33"/>
      <c r="P453" s="33"/>
      <c r="Q453" s="33"/>
      <c r="R453" s="33"/>
      <c r="S453" s="33"/>
      <c r="T453" s="33"/>
      <c r="U453" s="33"/>
      <c r="V453" s="33"/>
      <c r="W453" s="33"/>
      <c r="X453" s="33"/>
    </row>
    <row r="454" spans="1:24" ht="12.75" customHeight="1" x14ac:dyDescent="0.2">
      <c r="A454" s="33"/>
      <c r="B454" s="33"/>
      <c r="C454" s="84"/>
      <c r="D454" s="84"/>
      <c r="E454" s="69"/>
      <c r="F454" s="69"/>
      <c r="G454" s="76"/>
      <c r="H454" s="76"/>
      <c r="I454" s="33"/>
      <c r="J454" s="33"/>
      <c r="K454" s="33"/>
      <c r="L454" s="33"/>
      <c r="M454" s="33"/>
      <c r="N454" s="33"/>
      <c r="O454" s="33"/>
      <c r="P454" s="33"/>
      <c r="Q454" s="33"/>
      <c r="R454" s="33"/>
      <c r="S454" s="33"/>
      <c r="T454" s="33"/>
      <c r="U454" s="33"/>
      <c r="V454" s="33"/>
      <c r="W454" s="33"/>
      <c r="X454" s="33"/>
    </row>
    <row r="455" spans="1:24" ht="12.75" customHeight="1" x14ac:dyDescent="0.2">
      <c r="A455" s="33"/>
      <c r="B455" s="33"/>
      <c r="C455" s="84"/>
      <c r="D455" s="84"/>
      <c r="E455" s="69"/>
      <c r="F455" s="69"/>
      <c r="G455" s="76"/>
      <c r="H455" s="76"/>
      <c r="I455" s="33"/>
      <c r="J455" s="33"/>
      <c r="K455" s="33"/>
      <c r="L455" s="33"/>
      <c r="M455" s="33"/>
      <c r="N455" s="33"/>
      <c r="O455" s="33"/>
      <c r="P455" s="33"/>
      <c r="Q455" s="33"/>
      <c r="R455" s="33"/>
      <c r="S455" s="33"/>
      <c r="T455" s="33"/>
      <c r="U455" s="33"/>
      <c r="V455" s="33"/>
      <c r="W455" s="33"/>
      <c r="X455" s="33"/>
    </row>
    <row r="456" spans="1:24" ht="12.75" customHeight="1" x14ac:dyDescent="0.2">
      <c r="A456" s="33"/>
      <c r="B456" s="33"/>
      <c r="C456" s="84"/>
      <c r="D456" s="84"/>
      <c r="E456" s="69"/>
      <c r="F456" s="69"/>
      <c r="G456" s="76"/>
      <c r="H456" s="76"/>
      <c r="I456" s="33"/>
      <c r="J456" s="33"/>
      <c r="K456" s="33"/>
      <c r="L456" s="33"/>
      <c r="M456" s="33"/>
      <c r="N456" s="33"/>
      <c r="O456" s="33"/>
      <c r="P456" s="33"/>
      <c r="Q456" s="33"/>
      <c r="R456" s="33"/>
      <c r="S456" s="33"/>
      <c r="T456" s="33"/>
      <c r="U456" s="33"/>
      <c r="V456" s="33"/>
      <c r="W456" s="33"/>
      <c r="X456" s="33"/>
    </row>
    <row r="457" spans="1:24" ht="12.75" customHeight="1" x14ac:dyDescent="0.2">
      <c r="A457" s="33"/>
      <c r="B457" s="33"/>
      <c r="C457" s="84"/>
      <c r="D457" s="84"/>
      <c r="E457" s="69"/>
      <c r="F457" s="69"/>
      <c r="G457" s="76"/>
      <c r="H457" s="76"/>
      <c r="I457" s="33"/>
      <c r="J457" s="33"/>
      <c r="K457" s="33"/>
      <c r="L457" s="33"/>
      <c r="M457" s="33"/>
      <c r="N457" s="33"/>
      <c r="O457" s="33"/>
      <c r="P457" s="33"/>
      <c r="Q457" s="33"/>
      <c r="R457" s="33"/>
      <c r="S457" s="33"/>
      <c r="T457" s="33"/>
      <c r="U457" s="33"/>
      <c r="V457" s="33"/>
      <c r="W457" s="33"/>
      <c r="X457" s="33"/>
    </row>
    <row r="458" spans="1:24" ht="12.75" customHeight="1" x14ac:dyDescent="0.2">
      <c r="A458" s="33"/>
      <c r="B458" s="33"/>
      <c r="C458" s="84"/>
      <c r="D458" s="84"/>
      <c r="E458" s="69"/>
      <c r="F458" s="69"/>
      <c r="G458" s="76"/>
      <c r="H458" s="76"/>
      <c r="I458" s="33"/>
      <c r="J458" s="33"/>
      <c r="K458" s="33"/>
      <c r="L458" s="33"/>
      <c r="M458" s="33"/>
      <c r="N458" s="33"/>
      <c r="O458" s="33"/>
      <c r="P458" s="33"/>
      <c r="Q458" s="33"/>
      <c r="R458" s="33"/>
      <c r="S458" s="33"/>
      <c r="T458" s="33"/>
      <c r="U458" s="33"/>
      <c r="V458" s="33"/>
      <c r="W458" s="33"/>
      <c r="X458" s="33"/>
    </row>
    <row r="459" spans="1:24" ht="12.75" customHeight="1" x14ac:dyDescent="0.2">
      <c r="A459" s="33"/>
      <c r="B459" s="33"/>
      <c r="C459" s="84"/>
      <c r="D459" s="84"/>
      <c r="E459" s="69"/>
      <c r="F459" s="69"/>
      <c r="G459" s="76"/>
      <c r="H459" s="76"/>
      <c r="I459" s="33"/>
      <c r="J459" s="33"/>
      <c r="K459" s="33"/>
      <c r="L459" s="33"/>
      <c r="M459" s="33"/>
      <c r="N459" s="33"/>
      <c r="O459" s="33"/>
      <c r="P459" s="33"/>
      <c r="Q459" s="33"/>
      <c r="R459" s="33"/>
      <c r="S459" s="33"/>
      <c r="T459" s="33"/>
      <c r="U459" s="33"/>
      <c r="V459" s="33"/>
      <c r="W459" s="33"/>
      <c r="X459" s="33"/>
    </row>
    <row r="460" spans="1:24" ht="12.75" customHeight="1" x14ac:dyDescent="0.2">
      <c r="A460" s="33"/>
      <c r="B460" s="33"/>
      <c r="C460" s="84"/>
      <c r="D460" s="84"/>
      <c r="E460" s="69"/>
      <c r="F460" s="69"/>
      <c r="G460" s="76"/>
      <c r="H460" s="76"/>
      <c r="I460" s="33"/>
      <c r="J460" s="33"/>
      <c r="K460" s="33"/>
      <c r="L460" s="33"/>
      <c r="M460" s="33"/>
      <c r="N460" s="33"/>
      <c r="O460" s="33"/>
      <c r="P460" s="33"/>
      <c r="Q460" s="33"/>
      <c r="R460" s="33"/>
      <c r="S460" s="33"/>
      <c r="T460" s="33"/>
      <c r="U460" s="33"/>
      <c r="V460" s="33"/>
      <c r="W460" s="33"/>
      <c r="X460" s="33"/>
    </row>
    <row r="461" spans="1:24" ht="12.75" customHeight="1" x14ac:dyDescent="0.2">
      <c r="A461" s="33"/>
      <c r="B461" s="33"/>
      <c r="C461" s="84"/>
      <c r="D461" s="84"/>
      <c r="E461" s="69"/>
      <c r="F461" s="69"/>
      <c r="G461" s="76"/>
      <c r="H461" s="76"/>
      <c r="I461" s="33"/>
      <c r="J461" s="33"/>
      <c r="K461" s="33"/>
      <c r="L461" s="33"/>
      <c r="M461" s="33"/>
      <c r="N461" s="33"/>
      <c r="O461" s="33"/>
      <c r="P461" s="33"/>
      <c r="Q461" s="33"/>
      <c r="R461" s="33"/>
      <c r="S461" s="33"/>
      <c r="T461" s="33"/>
      <c r="U461" s="33"/>
      <c r="V461" s="33"/>
      <c r="W461" s="33"/>
      <c r="X461" s="33"/>
    </row>
    <row r="462" spans="1:24" ht="12.75" customHeight="1" x14ac:dyDescent="0.2">
      <c r="A462" s="33"/>
      <c r="B462" s="33"/>
      <c r="C462" s="84"/>
      <c r="D462" s="84"/>
      <c r="E462" s="69"/>
      <c r="F462" s="69"/>
      <c r="G462" s="76"/>
      <c r="H462" s="76"/>
      <c r="I462" s="33"/>
      <c r="J462" s="33"/>
      <c r="K462" s="33"/>
      <c r="L462" s="33"/>
      <c r="M462" s="33"/>
      <c r="N462" s="33"/>
      <c r="O462" s="33"/>
      <c r="P462" s="33"/>
      <c r="Q462" s="33"/>
      <c r="R462" s="33"/>
      <c r="S462" s="33"/>
      <c r="T462" s="33"/>
      <c r="U462" s="33"/>
      <c r="V462" s="33"/>
      <c r="W462" s="33"/>
      <c r="X462" s="33"/>
    </row>
    <row r="463" spans="1:24" ht="12.75" customHeight="1" x14ac:dyDescent="0.2">
      <c r="A463" s="33"/>
      <c r="B463" s="33"/>
      <c r="C463" s="84"/>
      <c r="D463" s="84"/>
      <c r="E463" s="69"/>
      <c r="F463" s="69"/>
      <c r="G463" s="76"/>
      <c r="H463" s="76"/>
      <c r="I463" s="33"/>
      <c r="J463" s="33"/>
      <c r="K463" s="33"/>
      <c r="L463" s="33"/>
      <c r="M463" s="33"/>
      <c r="N463" s="33"/>
      <c r="O463" s="33"/>
      <c r="P463" s="33"/>
      <c r="Q463" s="33"/>
      <c r="R463" s="33"/>
      <c r="S463" s="33"/>
      <c r="T463" s="33"/>
      <c r="U463" s="33"/>
      <c r="V463" s="33"/>
      <c r="W463" s="33"/>
      <c r="X463" s="33"/>
    </row>
    <row r="464" spans="1:24" ht="12.75" customHeight="1" x14ac:dyDescent="0.2">
      <c r="A464" s="33"/>
      <c r="B464" s="33"/>
      <c r="C464" s="84"/>
      <c r="D464" s="84"/>
      <c r="E464" s="69"/>
      <c r="F464" s="69"/>
      <c r="G464" s="76"/>
      <c r="H464" s="76"/>
      <c r="I464" s="33"/>
      <c r="J464" s="33"/>
      <c r="K464" s="33"/>
      <c r="L464" s="33"/>
      <c r="M464" s="33"/>
      <c r="N464" s="33"/>
      <c r="O464" s="33"/>
      <c r="P464" s="33"/>
      <c r="Q464" s="33"/>
      <c r="R464" s="33"/>
      <c r="S464" s="33"/>
      <c r="T464" s="33"/>
      <c r="U464" s="33"/>
      <c r="V464" s="33"/>
      <c r="W464" s="33"/>
      <c r="X464" s="33"/>
    </row>
    <row r="465" spans="1:24" ht="12.75" customHeight="1" x14ac:dyDescent="0.2">
      <c r="A465" s="33"/>
      <c r="B465" s="33"/>
      <c r="C465" s="84"/>
      <c r="D465" s="84"/>
      <c r="E465" s="69"/>
      <c r="F465" s="69"/>
      <c r="G465" s="76"/>
      <c r="H465" s="76"/>
      <c r="I465" s="33"/>
      <c r="J465" s="33"/>
      <c r="K465" s="33"/>
      <c r="L465" s="33"/>
      <c r="M465" s="33"/>
      <c r="N465" s="33"/>
      <c r="O465" s="33"/>
      <c r="P465" s="33"/>
      <c r="Q465" s="33"/>
      <c r="R465" s="33"/>
      <c r="S465" s="33"/>
      <c r="T465" s="33"/>
      <c r="U465" s="33"/>
      <c r="V465" s="33"/>
      <c r="W465" s="33"/>
      <c r="X465" s="33"/>
    </row>
    <row r="466" spans="1:24" ht="12.75" customHeight="1" x14ac:dyDescent="0.2">
      <c r="A466" s="33"/>
      <c r="B466" s="33"/>
      <c r="C466" s="84"/>
      <c r="D466" s="84"/>
      <c r="E466" s="69"/>
      <c r="F466" s="69"/>
      <c r="G466" s="76"/>
      <c r="H466" s="76"/>
      <c r="I466" s="33"/>
      <c r="J466" s="33"/>
      <c r="K466" s="33"/>
      <c r="L466" s="33"/>
      <c r="M466" s="33"/>
      <c r="N466" s="33"/>
      <c r="O466" s="33"/>
      <c r="P466" s="33"/>
      <c r="Q466" s="33"/>
      <c r="R466" s="33"/>
      <c r="S466" s="33"/>
      <c r="T466" s="33"/>
      <c r="U466" s="33"/>
      <c r="V466" s="33"/>
      <c r="W466" s="33"/>
      <c r="X466" s="33"/>
    </row>
    <row r="467" spans="1:24" ht="12.75" customHeight="1" x14ac:dyDescent="0.2">
      <c r="A467" s="33"/>
      <c r="B467" s="33"/>
      <c r="C467" s="84"/>
      <c r="D467" s="84"/>
      <c r="E467" s="69"/>
      <c r="F467" s="69"/>
      <c r="G467" s="76"/>
      <c r="H467" s="76"/>
      <c r="I467" s="33"/>
      <c r="J467" s="33"/>
      <c r="K467" s="33"/>
      <c r="L467" s="33"/>
      <c r="M467" s="33"/>
      <c r="N467" s="33"/>
      <c r="O467" s="33"/>
      <c r="P467" s="33"/>
      <c r="Q467" s="33"/>
      <c r="R467" s="33"/>
      <c r="S467" s="33"/>
      <c r="T467" s="33"/>
      <c r="U467" s="33"/>
      <c r="V467" s="33"/>
      <c r="W467" s="33"/>
      <c r="X467" s="33"/>
    </row>
    <row r="468" spans="1:24" ht="12.75" customHeight="1" x14ac:dyDescent="0.2">
      <c r="A468" s="33"/>
      <c r="B468" s="33"/>
      <c r="C468" s="84"/>
      <c r="D468" s="84"/>
      <c r="E468" s="69"/>
      <c r="F468" s="69"/>
      <c r="G468" s="76"/>
      <c r="H468" s="76"/>
      <c r="I468" s="33"/>
      <c r="J468" s="33"/>
      <c r="K468" s="33"/>
      <c r="L468" s="33"/>
      <c r="M468" s="33"/>
      <c r="N468" s="33"/>
      <c r="O468" s="33"/>
      <c r="P468" s="33"/>
      <c r="Q468" s="33"/>
      <c r="R468" s="33"/>
      <c r="S468" s="33"/>
      <c r="T468" s="33"/>
      <c r="U468" s="33"/>
      <c r="V468" s="33"/>
      <c r="W468" s="33"/>
      <c r="X468" s="33"/>
    </row>
    <row r="469" spans="1:24" ht="12.75" customHeight="1" x14ac:dyDescent="0.2">
      <c r="A469" s="33"/>
      <c r="B469" s="33"/>
      <c r="C469" s="84"/>
      <c r="D469" s="84"/>
      <c r="E469" s="69"/>
      <c r="F469" s="69"/>
      <c r="G469" s="76"/>
      <c r="H469" s="76"/>
      <c r="I469" s="33"/>
      <c r="J469" s="33"/>
      <c r="K469" s="33"/>
      <c r="L469" s="33"/>
      <c r="M469" s="33"/>
      <c r="N469" s="33"/>
      <c r="O469" s="33"/>
      <c r="P469" s="33"/>
      <c r="Q469" s="33"/>
      <c r="R469" s="33"/>
      <c r="S469" s="33"/>
      <c r="T469" s="33"/>
      <c r="U469" s="33"/>
      <c r="V469" s="33"/>
      <c r="W469" s="33"/>
      <c r="X469" s="33"/>
    </row>
    <row r="470" spans="1:24" ht="12.75" customHeight="1" x14ac:dyDescent="0.2">
      <c r="A470" s="33"/>
      <c r="B470" s="33"/>
      <c r="C470" s="84"/>
      <c r="D470" s="84"/>
      <c r="E470" s="69"/>
      <c r="F470" s="69"/>
      <c r="G470" s="76"/>
      <c r="H470" s="76"/>
      <c r="I470" s="33"/>
      <c r="J470" s="33"/>
      <c r="K470" s="33"/>
      <c r="L470" s="33"/>
      <c r="M470" s="33"/>
      <c r="N470" s="33"/>
      <c r="O470" s="33"/>
      <c r="P470" s="33"/>
      <c r="Q470" s="33"/>
      <c r="R470" s="33"/>
      <c r="S470" s="33"/>
      <c r="T470" s="33"/>
      <c r="U470" s="33"/>
      <c r="V470" s="33"/>
      <c r="W470" s="33"/>
      <c r="X470" s="33"/>
    </row>
    <row r="471" spans="1:24" ht="12.75" customHeight="1" x14ac:dyDescent="0.2">
      <c r="A471" s="33"/>
      <c r="B471" s="33"/>
      <c r="C471" s="84"/>
      <c r="D471" s="84"/>
      <c r="E471" s="69"/>
      <c r="F471" s="69"/>
      <c r="G471" s="76"/>
      <c r="H471" s="76"/>
      <c r="I471" s="33"/>
      <c r="J471" s="33"/>
      <c r="K471" s="33"/>
      <c r="L471" s="33"/>
      <c r="M471" s="33"/>
      <c r="N471" s="33"/>
      <c r="O471" s="33"/>
      <c r="P471" s="33"/>
      <c r="Q471" s="33"/>
      <c r="R471" s="33"/>
      <c r="S471" s="33"/>
      <c r="T471" s="33"/>
      <c r="U471" s="33"/>
      <c r="V471" s="33"/>
      <c r="W471" s="33"/>
      <c r="X471" s="33"/>
    </row>
    <row r="472" spans="1:24" ht="12.75" customHeight="1" x14ac:dyDescent="0.2">
      <c r="A472" s="33"/>
      <c r="B472" s="33"/>
      <c r="C472" s="84"/>
      <c r="D472" s="84"/>
      <c r="E472" s="69"/>
      <c r="F472" s="69"/>
      <c r="G472" s="76"/>
      <c r="H472" s="76"/>
      <c r="I472" s="33"/>
      <c r="J472" s="33"/>
      <c r="K472" s="33"/>
      <c r="L472" s="33"/>
      <c r="M472" s="33"/>
      <c r="N472" s="33"/>
      <c r="O472" s="33"/>
      <c r="P472" s="33"/>
      <c r="Q472" s="33"/>
      <c r="R472" s="33"/>
      <c r="S472" s="33"/>
      <c r="T472" s="33"/>
      <c r="U472" s="33"/>
      <c r="V472" s="33"/>
      <c r="W472" s="33"/>
      <c r="X472" s="33"/>
    </row>
    <row r="473" spans="1:24" ht="12.75" customHeight="1" x14ac:dyDescent="0.2">
      <c r="A473" s="33"/>
      <c r="B473" s="33"/>
      <c r="C473" s="84"/>
      <c r="D473" s="84"/>
      <c r="E473" s="69"/>
      <c r="F473" s="69"/>
      <c r="G473" s="76"/>
      <c r="H473" s="76"/>
      <c r="I473" s="33"/>
      <c r="J473" s="33"/>
      <c r="K473" s="33"/>
      <c r="L473" s="33"/>
      <c r="M473" s="33"/>
      <c r="N473" s="33"/>
      <c r="O473" s="33"/>
      <c r="P473" s="33"/>
      <c r="Q473" s="33"/>
      <c r="R473" s="33"/>
      <c r="S473" s="33"/>
      <c r="T473" s="33"/>
      <c r="U473" s="33"/>
      <c r="V473" s="33"/>
      <c r="W473" s="33"/>
      <c r="X473" s="33"/>
    </row>
    <row r="474" spans="1:24" ht="12.75" customHeight="1" x14ac:dyDescent="0.2">
      <c r="A474" s="33"/>
      <c r="B474" s="33"/>
      <c r="C474" s="84"/>
      <c r="D474" s="84"/>
      <c r="E474" s="69"/>
      <c r="F474" s="69"/>
      <c r="G474" s="76"/>
      <c r="H474" s="76"/>
      <c r="I474" s="33"/>
      <c r="J474" s="33"/>
      <c r="K474" s="33"/>
      <c r="L474" s="33"/>
      <c r="M474" s="33"/>
      <c r="N474" s="33"/>
      <c r="O474" s="33"/>
      <c r="P474" s="33"/>
      <c r="Q474" s="33"/>
      <c r="R474" s="33"/>
      <c r="S474" s="33"/>
      <c r="T474" s="33"/>
      <c r="U474" s="33"/>
      <c r="V474" s="33"/>
      <c r="W474" s="33"/>
      <c r="X474" s="33"/>
    </row>
    <row r="475" spans="1:24" ht="12.75" customHeight="1" x14ac:dyDescent="0.2">
      <c r="A475" s="33"/>
      <c r="B475" s="33"/>
      <c r="C475" s="84"/>
      <c r="D475" s="84"/>
      <c r="E475" s="69"/>
      <c r="F475" s="69"/>
      <c r="G475" s="76"/>
      <c r="H475" s="76"/>
      <c r="I475" s="33"/>
      <c r="J475" s="33"/>
      <c r="K475" s="33"/>
      <c r="L475" s="33"/>
      <c r="M475" s="33"/>
      <c r="N475" s="33"/>
      <c r="O475" s="33"/>
      <c r="P475" s="33"/>
      <c r="Q475" s="33"/>
      <c r="R475" s="33"/>
      <c r="S475" s="33"/>
      <c r="T475" s="33"/>
      <c r="U475" s="33"/>
      <c r="V475" s="33"/>
      <c r="W475" s="33"/>
      <c r="X475" s="33"/>
    </row>
    <row r="476" spans="1:24" ht="12.75" customHeight="1" x14ac:dyDescent="0.2">
      <c r="A476" s="33"/>
      <c r="B476" s="33"/>
      <c r="C476" s="84"/>
      <c r="D476" s="84"/>
      <c r="E476" s="69"/>
      <c r="F476" s="69"/>
      <c r="G476" s="76"/>
      <c r="H476" s="76"/>
      <c r="I476" s="33"/>
      <c r="J476" s="33"/>
      <c r="K476" s="33"/>
      <c r="L476" s="33"/>
      <c r="M476" s="33"/>
      <c r="N476" s="33"/>
      <c r="O476" s="33"/>
      <c r="P476" s="33"/>
      <c r="Q476" s="33"/>
      <c r="R476" s="33"/>
      <c r="S476" s="33"/>
      <c r="T476" s="33"/>
      <c r="U476" s="33"/>
      <c r="V476" s="33"/>
      <c r="W476" s="33"/>
      <c r="X476" s="33"/>
    </row>
    <row r="477" spans="1:24" ht="12.75" customHeight="1" x14ac:dyDescent="0.2">
      <c r="A477" s="33"/>
      <c r="B477" s="33"/>
      <c r="C477" s="84"/>
      <c r="D477" s="84"/>
      <c r="E477" s="69"/>
      <c r="F477" s="69"/>
      <c r="G477" s="76"/>
      <c r="H477" s="76"/>
      <c r="I477" s="33"/>
      <c r="J477" s="33"/>
      <c r="K477" s="33"/>
      <c r="L477" s="33"/>
      <c r="M477" s="33"/>
      <c r="N477" s="33"/>
      <c r="O477" s="33"/>
      <c r="P477" s="33"/>
      <c r="Q477" s="33"/>
      <c r="R477" s="33"/>
      <c r="S477" s="33"/>
      <c r="T477" s="33"/>
      <c r="U477" s="33"/>
      <c r="V477" s="33"/>
      <c r="W477" s="33"/>
      <c r="X477" s="33"/>
    </row>
    <row r="478" spans="1:24" ht="12.75" customHeight="1" x14ac:dyDescent="0.2">
      <c r="A478" s="33"/>
      <c r="B478" s="33"/>
      <c r="C478" s="84"/>
      <c r="D478" s="84"/>
      <c r="E478" s="69"/>
      <c r="F478" s="69"/>
      <c r="G478" s="76"/>
      <c r="H478" s="76"/>
      <c r="I478" s="33"/>
      <c r="J478" s="33"/>
      <c r="K478" s="33"/>
      <c r="L478" s="33"/>
      <c r="M478" s="33"/>
      <c r="N478" s="33"/>
      <c r="O478" s="33"/>
      <c r="P478" s="33"/>
      <c r="Q478" s="33"/>
      <c r="R478" s="33"/>
      <c r="S478" s="33"/>
      <c r="T478" s="33"/>
      <c r="U478" s="33"/>
      <c r="V478" s="33"/>
      <c r="W478" s="33"/>
      <c r="X478" s="33"/>
    </row>
    <row r="479" spans="1:24" ht="12.75" customHeight="1" x14ac:dyDescent="0.2">
      <c r="A479" s="33"/>
      <c r="B479" s="33"/>
      <c r="C479" s="84"/>
      <c r="D479" s="84"/>
      <c r="E479" s="69"/>
      <c r="F479" s="69"/>
      <c r="G479" s="76"/>
      <c r="H479" s="76"/>
      <c r="I479" s="33"/>
      <c r="J479" s="33"/>
      <c r="K479" s="33"/>
      <c r="L479" s="33"/>
      <c r="M479" s="33"/>
      <c r="N479" s="33"/>
      <c r="O479" s="33"/>
      <c r="P479" s="33"/>
      <c r="Q479" s="33"/>
      <c r="R479" s="33"/>
      <c r="S479" s="33"/>
      <c r="T479" s="33"/>
      <c r="U479" s="33"/>
      <c r="V479" s="33"/>
      <c r="W479" s="33"/>
      <c r="X479" s="33"/>
    </row>
    <row r="480" spans="1:24" ht="12.75" customHeight="1" x14ac:dyDescent="0.2">
      <c r="A480" s="33"/>
      <c r="B480" s="33"/>
      <c r="C480" s="84"/>
      <c r="D480" s="84"/>
      <c r="E480" s="69"/>
      <c r="F480" s="69"/>
      <c r="G480" s="76"/>
      <c r="H480" s="76"/>
      <c r="I480" s="33"/>
      <c r="J480" s="33"/>
      <c r="K480" s="33"/>
      <c r="L480" s="33"/>
      <c r="M480" s="33"/>
      <c r="N480" s="33"/>
      <c r="O480" s="33"/>
      <c r="P480" s="33"/>
      <c r="Q480" s="33"/>
      <c r="R480" s="33"/>
      <c r="S480" s="33"/>
      <c r="T480" s="33"/>
      <c r="U480" s="33"/>
      <c r="V480" s="33"/>
      <c r="W480" s="33"/>
      <c r="X480" s="33"/>
    </row>
    <row r="481" spans="1:24" ht="12.75" customHeight="1" x14ac:dyDescent="0.2">
      <c r="A481" s="33"/>
      <c r="B481" s="33"/>
      <c r="C481" s="84"/>
      <c r="D481" s="84"/>
      <c r="E481" s="69"/>
      <c r="F481" s="69"/>
      <c r="G481" s="76"/>
      <c r="H481" s="76"/>
      <c r="I481" s="33"/>
      <c r="J481" s="33"/>
      <c r="K481" s="33"/>
      <c r="L481" s="33"/>
      <c r="M481" s="33"/>
      <c r="N481" s="33"/>
      <c r="O481" s="33"/>
      <c r="P481" s="33"/>
      <c r="Q481" s="33"/>
      <c r="R481" s="33"/>
      <c r="S481" s="33"/>
      <c r="T481" s="33"/>
      <c r="U481" s="33"/>
      <c r="V481" s="33"/>
      <c r="W481" s="33"/>
      <c r="X481" s="33"/>
    </row>
    <row r="482" spans="1:24" ht="12.75" customHeight="1" x14ac:dyDescent="0.2">
      <c r="A482" s="33"/>
      <c r="B482" s="33"/>
      <c r="C482" s="84"/>
      <c r="D482" s="84"/>
      <c r="E482" s="69"/>
      <c r="F482" s="69"/>
      <c r="G482" s="76"/>
      <c r="H482" s="76"/>
      <c r="I482" s="33"/>
      <c r="J482" s="33"/>
      <c r="K482" s="33"/>
      <c r="L482" s="33"/>
      <c r="M482" s="33"/>
      <c r="N482" s="33"/>
      <c r="O482" s="33"/>
      <c r="P482" s="33"/>
      <c r="Q482" s="33"/>
      <c r="R482" s="33"/>
      <c r="S482" s="33"/>
      <c r="T482" s="33"/>
      <c r="U482" s="33"/>
      <c r="V482" s="33"/>
      <c r="W482" s="33"/>
      <c r="X482" s="33"/>
    </row>
    <row r="483" spans="1:24" ht="12.75" customHeight="1" x14ac:dyDescent="0.2">
      <c r="A483" s="33"/>
      <c r="B483" s="33"/>
      <c r="C483" s="84"/>
      <c r="D483" s="84"/>
      <c r="E483" s="69"/>
      <c r="F483" s="69"/>
      <c r="G483" s="76"/>
      <c r="H483" s="76"/>
      <c r="I483" s="33"/>
      <c r="J483" s="33"/>
      <c r="K483" s="33"/>
      <c r="L483" s="33"/>
      <c r="M483" s="33"/>
      <c r="N483" s="33"/>
      <c r="O483" s="33"/>
      <c r="P483" s="33"/>
      <c r="Q483" s="33"/>
      <c r="R483" s="33"/>
      <c r="S483" s="33"/>
      <c r="T483" s="33"/>
      <c r="U483" s="33"/>
      <c r="V483" s="33"/>
      <c r="W483" s="33"/>
      <c r="X483" s="33"/>
    </row>
    <row r="484" spans="1:24" ht="12.75" customHeight="1" x14ac:dyDescent="0.2">
      <c r="A484" s="33"/>
      <c r="B484" s="33"/>
      <c r="C484" s="84"/>
      <c r="D484" s="84"/>
      <c r="E484" s="69"/>
      <c r="F484" s="69"/>
      <c r="G484" s="76"/>
      <c r="H484" s="76"/>
      <c r="I484" s="33"/>
      <c r="J484" s="33"/>
      <c r="K484" s="33"/>
      <c r="L484" s="33"/>
      <c r="M484" s="33"/>
      <c r="N484" s="33"/>
      <c r="O484" s="33"/>
      <c r="P484" s="33"/>
      <c r="Q484" s="33"/>
      <c r="R484" s="33"/>
      <c r="S484" s="33"/>
      <c r="T484" s="33"/>
      <c r="U484" s="33"/>
      <c r="V484" s="33"/>
      <c r="W484" s="33"/>
      <c r="X484" s="33"/>
    </row>
    <row r="485" spans="1:24" ht="12.75" customHeight="1" x14ac:dyDescent="0.2">
      <c r="A485" s="33"/>
      <c r="B485" s="33"/>
      <c r="C485" s="84"/>
      <c r="D485" s="84"/>
      <c r="E485" s="69"/>
      <c r="F485" s="69"/>
      <c r="G485" s="76"/>
      <c r="H485" s="76"/>
      <c r="I485" s="33"/>
      <c r="J485" s="33"/>
      <c r="K485" s="33"/>
      <c r="L485" s="33"/>
      <c r="M485" s="33"/>
      <c r="N485" s="33"/>
      <c r="O485" s="33"/>
      <c r="P485" s="33"/>
      <c r="Q485" s="33"/>
      <c r="R485" s="33"/>
      <c r="S485" s="33"/>
      <c r="T485" s="33"/>
      <c r="U485" s="33"/>
      <c r="V485" s="33"/>
      <c r="W485" s="33"/>
      <c r="X485" s="33"/>
    </row>
    <row r="486" spans="1:24" ht="12.75" customHeight="1" x14ac:dyDescent="0.2">
      <c r="A486" s="33"/>
      <c r="B486" s="33"/>
      <c r="C486" s="84"/>
      <c r="D486" s="84"/>
      <c r="E486" s="69"/>
      <c r="F486" s="69"/>
      <c r="G486" s="76"/>
      <c r="H486" s="76"/>
      <c r="I486" s="33"/>
      <c r="J486" s="33"/>
      <c r="K486" s="33"/>
      <c r="L486" s="33"/>
      <c r="M486" s="33"/>
      <c r="N486" s="33"/>
      <c r="O486" s="33"/>
      <c r="P486" s="33"/>
      <c r="Q486" s="33"/>
      <c r="R486" s="33"/>
      <c r="S486" s="33"/>
      <c r="T486" s="33"/>
      <c r="U486" s="33"/>
      <c r="V486" s="33"/>
      <c r="W486" s="33"/>
      <c r="X486" s="33"/>
    </row>
    <row r="487" spans="1:24" ht="12.75" customHeight="1" x14ac:dyDescent="0.2">
      <c r="A487" s="33"/>
      <c r="B487" s="33"/>
      <c r="C487" s="84"/>
      <c r="D487" s="84"/>
      <c r="E487" s="69"/>
      <c r="F487" s="69"/>
      <c r="G487" s="76"/>
      <c r="H487" s="76"/>
      <c r="I487" s="33"/>
      <c r="J487" s="33"/>
      <c r="K487" s="33"/>
      <c r="L487" s="33"/>
      <c r="M487" s="33"/>
      <c r="N487" s="33"/>
      <c r="O487" s="33"/>
      <c r="P487" s="33"/>
      <c r="Q487" s="33"/>
      <c r="R487" s="33"/>
      <c r="S487" s="33"/>
      <c r="T487" s="33"/>
      <c r="U487" s="33"/>
      <c r="V487" s="33"/>
      <c r="W487" s="33"/>
      <c r="X487" s="33"/>
    </row>
    <row r="488" spans="1:24" ht="12.75" customHeight="1" x14ac:dyDescent="0.2">
      <c r="A488" s="33"/>
      <c r="B488" s="33"/>
      <c r="C488" s="84"/>
      <c r="D488" s="84"/>
      <c r="E488" s="69"/>
      <c r="F488" s="69"/>
      <c r="G488" s="76"/>
      <c r="H488" s="76"/>
      <c r="I488" s="33"/>
      <c r="J488" s="33"/>
      <c r="K488" s="33"/>
      <c r="L488" s="33"/>
      <c r="M488" s="33"/>
      <c r="N488" s="33"/>
      <c r="O488" s="33"/>
      <c r="P488" s="33"/>
      <c r="Q488" s="33"/>
      <c r="R488" s="33"/>
      <c r="S488" s="33"/>
      <c r="T488" s="33"/>
      <c r="U488" s="33"/>
      <c r="V488" s="33"/>
      <c r="W488" s="33"/>
      <c r="X488" s="33"/>
    </row>
    <row r="489" spans="1:24" ht="12.75" customHeight="1" x14ac:dyDescent="0.2">
      <c r="A489" s="33"/>
      <c r="B489" s="33"/>
      <c r="C489" s="84"/>
      <c r="D489" s="84"/>
      <c r="E489" s="69"/>
      <c r="F489" s="69"/>
      <c r="G489" s="76"/>
      <c r="H489" s="76"/>
      <c r="I489" s="33"/>
      <c r="J489" s="33"/>
      <c r="K489" s="33"/>
      <c r="L489" s="33"/>
      <c r="M489" s="33"/>
      <c r="N489" s="33"/>
      <c r="O489" s="33"/>
      <c r="P489" s="33"/>
      <c r="Q489" s="33"/>
      <c r="R489" s="33"/>
      <c r="S489" s="33"/>
      <c r="T489" s="33"/>
      <c r="U489" s="33"/>
      <c r="V489" s="33"/>
      <c r="W489" s="33"/>
      <c r="X489" s="33"/>
    </row>
    <row r="490" spans="1:24" ht="12.75" customHeight="1" x14ac:dyDescent="0.2">
      <c r="A490" s="33"/>
      <c r="B490" s="33"/>
      <c r="C490" s="84"/>
      <c r="D490" s="84"/>
      <c r="E490" s="69"/>
      <c r="F490" s="69"/>
      <c r="G490" s="76"/>
      <c r="H490" s="76"/>
      <c r="I490" s="33"/>
      <c r="J490" s="33"/>
      <c r="K490" s="33"/>
      <c r="L490" s="33"/>
      <c r="M490" s="33"/>
      <c r="N490" s="33"/>
      <c r="O490" s="33"/>
      <c r="P490" s="33"/>
      <c r="Q490" s="33"/>
      <c r="R490" s="33"/>
      <c r="S490" s="33"/>
      <c r="T490" s="33"/>
      <c r="U490" s="33"/>
      <c r="V490" s="33"/>
      <c r="W490" s="33"/>
      <c r="X490" s="33"/>
    </row>
    <row r="491" spans="1:24" ht="12.75" customHeight="1" x14ac:dyDescent="0.2">
      <c r="A491" s="33"/>
      <c r="B491" s="33"/>
      <c r="C491" s="84"/>
      <c r="D491" s="84"/>
      <c r="E491" s="69"/>
      <c r="F491" s="69"/>
      <c r="G491" s="76"/>
      <c r="H491" s="76"/>
      <c r="I491" s="33"/>
      <c r="J491" s="33"/>
      <c r="K491" s="33"/>
      <c r="L491" s="33"/>
      <c r="M491" s="33"/>
      <c r="N491" s="33"/>
      <c r="O491" s="33"/>
      <c r="P491" s="33"/>
      <c r="Q491" s="33"/>
      <c r="R491" s="33"/>
      <c r="S491" s="33"/>
      <c r="T491" s="33"/>
      <c r="U491" s="33"/>
      <c r="V491" s="33"/>
      <c r="W491" s="33"/>
      <c r="X491" s="33"/>
    </row>
    <row r="492" spans="1:24" ht="12.75" customHeight="1" x14ac:dyDescent="0.2">
      <c r="A492" s="33"/>
      <c r="B492" s="33"/>
      <c r="C492" s="84"/>
      <c r="D492" s="84"/>
      <c r="E492" s="69"/>
      <c r="F492" s="69"/>
      <c r="G492" s="76"/>
      <c r="H492" s="76"/>
      <c r="I492" s="33"/>
      <c r="J492" s="33"/>
      <c r="K492" s="33"/>
      <c r="L492" s="33"/>
      <c r="M492" s="33"/>
      <c r="N492" s="33"/>
      <c r="O492" s="33"/>
      <c r="P492" s="33"/>
      <c r="Q492" s="33"/>
      <c r="R492" s="33"/>
      <c r="S492" s="33"/>
      <c r="T492" s="33"/>
      <c r="U492" s="33"/>
      <c r="V492" s="33"/>
      <c r="W492" s="33"/>
      <c r="X492" s="33"/>
    </row>
    <row r="493" spans="1:24" ht="12.75" customHeight="1" x14ac:dyDescent="0.2">
      <c r="A493" s="33"/>
      <c r="B493" s="33"/>
      <c r="C493" s="84"/>
      <c r="D493" s="84"/>
      <c r="E493" s="69"/>
      <c r="F493" s="69"/>
      <c r="G493" s="76"/>
      <c r="H493" s="76"/>
      <c r="I493" s="33"/>
      <c r="J493" s="33"/>
      <c r="K493" s="33"/>
      <c r="L493" s="33"/>
      <c r="M493" s="33"/>
      <c r="N493" s="33"/>
      <c r="O493" s="33"/>
      <c r="P493" s="33"/>
      <c r="Q493" s="33"/>
      <c r="R493" s="33"/>
      <c r="S493" s="33"/>
      <c r="T493" s="33"/>
      <c r="U493" s="33"/>
      <c r="V493" s="33"/>
      <c r="W493" s="33"/>
      <c r="X493" s="33"/>
    </row>
    <row r="494" spans="1:24" ht="12.75" customHeight="1" x14ac:dyDescent="0.2">
      <c r="A494" s="33"/>
      <c r="B494" s="33"/>
      <c r="C494" s="84"/>
      <c r="D494" s="84"/>
      <c r="E494" s="69"/>
      <c r="F494" s="69"/>
      <c r="G494" s="76"/>
      <c r="H494" s="76"/>
      <c r="I494" s="33"/>
      <c r="J494" s="33"/>
      <c r="K494" s="33"/>
      <c r="L494" s="33"/>
      <c r="M494" s="33"/>
      <c r="N494" s="33"/>
      <c r="O494" s="33"/>
      <c r="P494" s="33"/>
      <c r="Q494" s="33"/>
      <c r="R494" s="33"/>
      <c r="S494" s="33"/>
      <c r="T494" s="33"/>
      <c r="U494" s="33"/>
      <c r="V494" s="33"/>
      <c r="W494" s="33"/>
      <c r="X494" s="33"/>
    </row>
    <row r="495" spans="1:24" ht="12.75" customHeight="1" x14ac:dyDescent="0.2">
      <c r="A495" s="33"/>
      <c r="B495" s="33"/>
      <c r="C495" s="84"/>
      <c r="D495" s="84"/>
      <c r="E495" s="69"/>
      <c r="F495" s="69"/>
      <c r="G495" s="76"/>
      <c r="H495" s="76"/>
      <c r="I495" s="33"/>
      <c r="J495" s="33"/>
      <c r="K495" s="33"/>
      <c r="L495" s="33"/>
      <c r="M495" s="33"/>
      <c r="N495" s="33"/>
      <c r="O495" s="33"/>
      <c r="P495" s="33"/>
      <c r="Q495" s="33"/>
      <c r="R495" s="33"/>
      <c r="S495" s="33"/>
      <c r="T495" s="33"/>
      <c r="U495" s="33"/>
      <c r="V495" s="33"/>
      <c r="W495" s="33"/>
      <c r="X495" s="33"/>
    </row>
    <row r="496" spans="1:24" ht="12.75" customHeight="1" x14ac:dyDescent="0.2">
      <c r="A496" s="33"/>
      <c r="B496" s="33"/>
      <c r="C496" s="84"/>
      <c r="D496" s="84"/>
      <c r="E496" s="69"/>
      <c r="F496" s="69"/>
      <c r="G496" s="76"/>
      <c r="H496" s="76"/>
      <c r="I496" s="33"/>
      <c r="J496" s="33"/>
      <c r="K496" s="33"/>
      <c r="L496" s="33"/>
      <c r="M496" s="33"/>
      <c r="N496" s="33"/>
      <c r="O496" s="33"/>
      <c r="P496" s="33"/>
      <c r="Q496" s="33"/>
      <c r="R496" s="33"/>
      <c r="S496" s="33"/>
      <c r="T496" s="33"/>
      <c r="U496" s="33"/>
      <c r="V496" s="33"/>
      <c r="W496" s="33"/>
      <c r="X496" s="33"/>
    </row>
    <row r="497" spans="1:24" ht="12.75" customHeight="1" x14ac:dyDescent="0.2">
      <c r="A497" s="33"/>
      <c r="B497" s="33"/>
      <c r="C497" s="84"/>
      <c r="D497" s="84"/>
      <c r="E497" s="69"/>
      <c r="F497" s="69"/>
      <c r="G497" s="76"/>
      <c r="H497" s="76"/>
      <c r="I497" s="33"/>
      <c r="J497" s="33"/>
      <c r="K497" s="33"/>
      <c r="L497" s="33"/>
      <c r="M497" s="33"/>
      <c r="N497" s="33"/>
      <c r="O497" s="33"/>
      <c r="P497" s="33"/>
      <c r="Q497" s="33"/>
      <c r="R497" s="33"/>
      <c r="S497" s="33"/>
      <c r="T497" s="33"/>
      <c r="U497" s="33"/>
      <c r="V497" s="33"/>
      <c r="W497" s="33"/>
      <c r="X497" s="33"/>
    </row>
    <row r="498" spans="1:24" ht="12.75" customHeight="1" x14ac:dyDescent="0.2">
      <c r="A498" s="33"/>
      <c r="B498" s="33"/>
      <c r="C498" s="84"/>
      <c r="D498" s="84"/>
      <c r="E498" s="69"/>
      <c r="F498" s="69"/>
      <c r="G498" s="76"/>
      <c r="H498" s="76"/>
      <c r="I498" s="33"/>
      <c r="J498" s="33"/>
      <c r="K498" s="33"/>
      <c r="L498" s="33"/>
      <c r="M498" s="33"/>
      <c r="N498" s="33"/>
      <c r="O498" s="33"/>
      <c r="P498" s="33"/>
      <c r="Q498" s="33"/>
      <c r="R498" s="33"/>
      <c r="S498" s="33"/>
      <c r="T498" s="33"/>
      <c r="U498" s="33"/>
      <c r="V498" s="33"/>
      <c r="W498" s="33"/>
      <c r="X498" s="33"/>
    </row>
    <row r="499" spans="1:24" ht="12.75" customHeight="1" x14ac:dyDescent="0.2">
      <c r="A499" s="33"/>
      <c r="B499" s="33"/>
      <c r="C499" s="84"/>
      <c r="D499" s="84"/>
      <c r="E499" s="69"/>
      <c r="F499" s="69"/>
      <c r="G499" s="76"/>
      <c r="H499" s="76"/>
      <c r="I499" s="33"/>
      <c r="J499" s="33"/>
      <c r="K499" s="33"/>
      <c r="L499" s="33"/>
      <c r="M499" s="33"/>
      <c r="N499" s="33"/>
      <c r="O499" s="33"/>
      <c r="P499" s="33"/>
      <c r="Q499" s="33"/>
      <c r="R499" s="33"/>
      <c r="S499" s="33"/>
      <c r="T499" s="33"/>
      <c r="U499" s="33"/>
      <c r="V499" s="33"/>
      <c r="W499" s="33"/>
      <c r="X499" s="33"/>
    </row>
    <row r="500" spans="1:24" ht="12.75" customHeight="1" x14ac:dyDescent="0.2">
      <c r="A500" s="33"/>
      <c r="B500" s="33"/>
      <c r="C500" s="84"/>
      <c r="D500" s="84"/>
      <c r="E500" s="69"/>
      <c r="F500" s="69"/>
      <c r="G500" s="76"/>
      <c r="H500" s="76"/>
      <c r="I500" s="33"/>
      <c r="J500" s="33"/>
      <c r="K500" s="33"/>
      <c r="L500" s="33"/>
      <c r="M500" s="33"/>
      <c r="N500" s="33"/>
      <c r="O500" s="33"/>
      <c r="P500" s="33"/>
      <c r="Q500" s="33"/>
      <c r="R500" s="33"/>
      <c r="S500" s="33"/>
      <c r="T500" s="33"/>
      <c r="U500" s="33"/>
      <c r="V500" s="33"/>
      <c r="W500" s="33"/>
      <c r="X500" s="33"/>
    </row>
    <row r="501" spans="1:24" ht="12.75" customHeight="1" x14ac:dyDescent="0.2">
      <c r="A501" s="33"/>
      <c r="B501" s="33"/>
      <c r="C501" s="84"/>
      <c r="D501" s="84"/>
      <c r="E501" s="69"/>
      <c r="F501" s="69"/>
      <c r="G501" s="76"/>
      <c r="H501" s="76"/>
      <c r="I501" s="33"/>
      <c r="J501" s="33"/>
      <c r="K501" s="33"/>
      <c r="L501" s="33"/>
      <c r="M501" s="33"/>
      <c r="N501" s="33"/>
      <c r="O501" s="33"/>
      <c r="P501" s="33"/>
      <c r="Q501" s="33"/>
      <c r="R501" s="33"/>
      <c r="S501" s="33"/>
      <c r="T501" s="33"/>
      <c r="U501" s="33"/>
      <c r="V501" s="33"/>
      <c r="W501" s="33"/>
      <c r="X501" s="33"/>
    </row>
    <row r="502" spans="1:24" ht="12.75" customHeight="1" x14ac:dyDescent="0.2">
      <c r="A502" s="33"/>
      <c r="B502" s="33"/>
      <c r="C502" s="84"/>
      <c r="D502" s="84"/>
      <c r="E502" s="69"/>
      <c r="F502" s="69"/>
      <c r="G502" s="76"/>
      <c r="H502" s="76"/>
      <c r="I502" s="33"/>
      <c r="J502" s="33"/>
      <c r="K502" s="33"/>
      <c r="L502" s="33"/>
      <c r="M502" s="33"/>
      <c r="N502" s="33"/>
      <c r="O502" s="33"/>
      <c r="P502" s="33"/>
      <c r="Q502" s="33"/>
      <c r="R502" s="33"/>
      <c r="S502" s="33"/>
      <c r="T502" s="33"/>
      <c r="U502" s="33"/>
      <c r="V502" s="33"/>
      <c r="W502" s="33"/>
      <c r="X502" s="33"/>
    </row>
    <row r="503" spans="1:24" ht="12.75" customHeight="1" x14ac:dyDescent="0.2">
      <c r="A503" s="33"/>
      <c r="B503" s="33"/>
      <c r="C503" s="84"/>
      <c r="D503" s="84"/>
      <c r="E503" s="69"/>
      <c r="F503" s="69"/>
      <c r="G503" s="76"/>
      <c r="H503" s="76"/>
      <c r="I503" s="33"/>
      <c r="J503" s="33"/>
      <c r="K503" s="33"/>
      <c r="L503" s="33"/>
      <c r="M503" s="33"/>
      <c r="N503" s="33"/>
      <c r="O503" s="33"/>
      <c r="P503" s="33"/>
      <c r="Q503" s="33"/>
      <c r="R503" s="33"/>
      <c r="S503" s="33"/>
      <c r="T503" s="33"/>
      <c r="U503" s="33"/>
      <c r="V503" s="33"/>
      <c r="W503" s="33"/>
      <c r="X503" s="33"/>
    </row>
    <row r="504" spans="1:24" ht="12.75" customHeight="1" x14ac:dyDescent="0.2">
      <c r="A504" s="33"/>
      <c r="B504" s="33"/>
      <c r="C504" s="84"/>
      <c r="D504" s="84"/>
      <c r="E504" s="69"/>
      <c r="F504" s="69"/>
      <c r="G504" s="76"/>
      <c r="H504" s="76"/>
      <c r="I504" s="33"/>
      <c r="J504" s="33"/>
      <c r="K504" s="33"/>
      <c r="L504" s="33"/>
      <c r="M504" s="33"/>
      <c r="N504" s="33"/>
      <c r="O504" s="33"/>
      <c r="P504" s="33"/>
      <c r="Q504" s="33"/>
      <c r="R504" s="33"/>
      <c r="S504" s="33"/>
      <c r="T504" s="33"/>
      <c r="U504" s="33"/>
      <c r="V504" s="33"/>
      <c r="W504" s="33"/>
      <c r="X504" s="33"/>
    </row>
    <row r="505" spans="1:24" ht="12.75" customHeight="1" x14ac:dyDescent="0.2">
      <c r="A505" s="33"/>
      <c r="B505" s="33"/>
      <c r="C505" s="84"/>
      <c r="D505" s="84"/>
      <c r="E505" s="69"/>
      <c r="F505" s="69"/>
      <c r="G505" s="76"/>
      <c r="H505" s="76"/>
      <c r="I505" s="33"/>
      <c r="J505" s="33"/>
      <c r="K505" s="33"/>
      <c r="L505" s="33"/>
      <c r="M505" s="33"/>
      <c r="N505" s="33"/>
      <c r="O505" s="33"/>
      <c r="P505" s="33"/>
      <c r="Q505" s="33"/>
      <c r="R505" s="33"/>
      <c r="S505" s="33"/>
      <c r="T505" s="33"/>
      <c r="U505" s="33"/>
      <c r="V505" s="33"/>
      <c r="W505" s="33"/>
      <c r="X505" s="33"/>
    </row>
    <row r="506" spans="1:24" ht="12.75" customHeight="1" x14ac:dyDescent="0.2">
      <c r="A506" s="33"/>
      <c r="B506" s="33"/>
      <c r="C506" s="84"/>
      <c r="D506" s="84"/>
      <c r="E506" s="69"/>
      <c r="F506" s="69"/>
      <c r="G506" s="76"/>
      <c r="H506" s="76"/>
      <c r="I506" s="33"/>
      <c r="J506" s="33"/>
      <c r="K506" s="33"/>
      <c r="L506" s="33"/>
      <c r="M506" s="33"/>
      <c r="N506" s="33"/>
      <c r="O506" s="33"/>
      <c r="P506" s="33"/>
      <c r="Q506" s="33"/>
      <c r="R506" s="33"/>
      <c r="S506" s="33"/>
      <c r="T506" s="33"/>
      <c r="U506" s="33"/>
      <c r="V506" s="33"/>
      <c r="W506" s="33"/>
      <c r="X506" s="33"/>
    </row>
    <row r="507" spans="1:24" ht="12.75" customHeight="1" x14ac:dyDescent="0.2">
      <c r="A507" s="33"/>
      <c r="B507" s="33"/>
      <c r="C507" s="84"/>
      <c r="D507" s="84"/>
      <c r="E507" s="69"/>
      <c r="F507" s="69"/>
      <c r="G507" s="76"/>
      <c r="H507" s="76"/>
      <c r="I507" s="33"/>
      <c r="J507" s="33"/>
      <c r="K507" s="33"/>
      <c r="L507" s="33"/>
      <c r="M507" s="33"/>
      <c r="N507" s="33"/>
      <c r="O507" s="33"/>
      <c r="P507" s="33"/>
      <c r="Q507" s="33"/>
      <c r="R507" s="33"/>
      <c r="S507" s="33"/>
      <c r="T507" s="33"/>
      <c r="U507" s="33"/>
      <c r="V507" s="33"/>
      <c r="W507" s="33"/>
      <c r="X507" s="33"/>
    </row>
    <row r="508" spans="1:24" ht="12.75" customHeight="1" x14ac:dyDescent="0.2">
      <c r="A508" s="33"/>
      <c r="B508" s="33"/>
      <c r="C508" s="84"/>
      <c r="D508" s="84"/>
      <c r="E508" s="69"/>
      <c r="F508" s="69"/>
      <c r="G508" s="76"/>
      <c r="H508" s="76"/>
      <c r="I508" s="33"/>
      <c r="J508" s="33"/>
      <c r="K508" s="33"/>
      <c r="L508" s="33"/>
      <c r="M508" s="33"/>
      <c r="N508" s="33"/>
      <c r="O508" s="33"/>
      <c r="P508" s="33"/>
      <c r="Q508" s="33"/>
      <c r="R508" s="33"/>
      <c r="S508" s="33"/>
      <c r="T508" s="33"/>
      <c r="U508" s="33"/>
      <c r="V508" s="33"/>
      <c r="W508" s="33"/>
      <c r="X508" s="33"/>
    </row>
    <row r="509" spans="1:24" ht="12.75" customHeight="1" x14ac:dyDescent="0.2">
      <c r="A509" s="33"/>
      <c r="B509" s="33"/>
      <c r="C509" s="84"/>
      <c r="D509" s="84"/>
      <c r="E509" s="69"/>
      <c r="F509" s="69"/>
      <c r="G509" s="76"/>
      <c r="H509" s="76"/>
      <c r="I509" s="33"/>
      <c r="J509" s="33"/>
      <c r="K509" s="33"/>
      <c r="L509" s="33"/>
      <c r="M509" s="33"/>
      <c r="N509" s="33"/>
      <c r="O509" s="33"/>
      <c r="P509" s="33"/>
      <c r="Q509" s="33"/>
      <c r="R509" s="33"/>
      <c r="S509" s="33"/>
      <c r="T509" s="33"/>
      <c r="U509" s="33"/>
      <c r="V509" s="33"/>
      <c r="W509" s="33"/>
      <c r="X509" s="33"/>
    </row>
    <row r="510" spans="1:24" ht="12.75" customHeight="1" x14ac:dyDescent="0.2">
      <c r="A510" s="33"/>
      <c r="B510" s="33"/>
      <c r="C510" s="84"/>
      <c r="D510" s="84"/>
      <c r="E510" s="69"/>
      <c r="F510" s="69"/>
      <c r="G510" s="76"/>
      <c r="H510" s="76"/>
      <c r="I510" s="33"/>
      <c r="J510" s="33"/>
      <c r="K510" s="33"/>
      <c r="L510" s="33"/>
      <c r="M510" s="33"/>
      <c r="N510" s="33"/>
      <c r="O510" s="33"/>
      <c r="P510" s="33"/>
      <c r="Q510" s="33"/>
      <c r="R510" s="33"/>
      <c r="S510" s="33"/>
      <c r="T510" s="33"/>
      <c r="U510" s="33"/>
      <c r="V510" s="33"/>
      <c r="W510" s="33"/>
      <c r="X510" s="33"/>
    </row>
    <row r="511" spans="1:24" ht="12.75" customHeight="1" x14ac:dyDescent="0.2">
      <c r="A511" s="33"/>
      <c r="B511" s="33"/>
      <c r="C511" s="84"/>
      <c r="D511" s="84"/>
      <c r="E511" s="69"/>
      <c r="F511" s="69"/>
      <c r="G511" s="76"/>
      <c r="H511" s="76"/>
      <c r="I511" s="33"/>
      <c r="J511" s="33"/>
      <c r="K511" s="33"/>
      <c r="L511" s="33"/>
      <c r="M511" s="33"/>
      <c r="N511" s="33"/>
      <c r="O511" s="33"/>
      <c r="P511" s="33"/>
      <c r="Q511" s="33"/>
      <c r="R511" s="33"/>
      <c r="S511" s="33"/>
      <c r="T511" s="33"/>
      <c r="U511" s="33"/>
      <c r="V511" s="33"/>
      <c r="W511" s="33"/>
      <c r="X511" s="33"/>
    </row>
    <row r="512" spans="1:24" ht="12.75" customHeight="1" x14ac:dyDescent="0.2">
      <c r="A512" s="33"/>
      <c r="B512" s="33"/>
      <c r="C512" s="84"/>
      <c r="D512" s="84"/>
      <c r="E512" s="69"/>
      <c r="F512" s="69"/>
      <c r="G512" s="76"/>
      <c r="H512" s="76"/>
      <c r="I512" s="33"/>
      <c r="J512" s="33"/>
      <c r="K512" s="33"/>
      <c r="L512" s="33"/>
      <c r="M512" s="33"/>
      <c r="N512" s="33"/>
      <c r="O512" s="33"/>
      <c r="P512" s="33"/>
      <c r="Q512" s="33"/>
      <c r="R512" s="33"/>
      <c r="S512" s="33"/>
      <c r="T512" s="33"/>
      <c r="U512" s="33"/>
      <c r="V512" s="33"/>
      <c r="W512" s="33"/>
      <c r="X512" s="33"/>
    </row>
    <row r="513" spans="1:24" ht="12.75" customHeight="1" x14ac:dyDescent="0.2">
      <c r="A513" s="33"/>
      <c r="B513" s="33"/>
      <c r="C513" s="84"/>
      <c r="D513" s="84"/>
      <c r="E513" s="69"/>
      <c r="F513" s="69"/>
      <c r="G513" s="76"/>
      <c r="H513" s="76"/>
      <c r="I513" s="33"/>
      <c r="J513" s="33"/>
      <c r="K513" s="33"/>
      <c r="L513" s="33"/>
      <c r="M513" s="33"/>
      <c r="N513" s="33"/>
      <c r="O513" s="33"/>
      <c r="P513" s="33"/>
      <c r="Q513" s="33"/>
      <c r="R513" s="33"/>
      <c r="S513" s="33"/>
      <c r="T513" s="33"/>
      <c r="U513" s="33"/>
      <c r="V513" s="33"/>
      <c r="W513" s="33"/>
      <c r="X513" s="33"/>
    </row>
    <row r="514" spans="1:24" ht="12.75" customHeight="1" x14ac:dyDescent="0.2">
      <c r="A514" s="33"/>
      <c r="B514" s="33"/>
      <c r="C514" s="84"/>
      <c r="D514" s="84"/>
      <c r="E514" s="69"/>
      <c r="F514" s="69"/>
      <c r="G514" s="76"/>
      <c r="H514" s="76"/>
      <c r="I514" s="33"/>
      <c r="J514" s="33"/>
      <c r="K514" s="33"/>
      <c r="L514" s="33"/>
      <c r="M514" s="33"/>
      <c r="N514" s="33"/>
      <c r="O514" s="33"/>
      <c r="P514" s="33"/>
      <c r="Q514" s="33"/>
      <c r="R514" s="33"/>
      <c r="S514" s="33"/>
      <c r="T514" s="33"/>
      <c r="U514" s="33"/>
      <c r="V514" s="33"/>
      <c r="W514" s="33"/>
      <c r="X514" s="33"/>
    </row>
    <row r="515" spans="1:24" ht="12.75" customHeight="1" x14ac:dyDescent="0.2">
      <c r="A515" s="33"/>
      <c r="B515" s="33"/>
      <c r="C515" s="84"/>
      <c r="D515" s="84"/>
      <c r="E515" s="69"/>
      <c r="F515" s="69"/>
      <c r="G515" s="76"/>
      <c r="H515" s="76"/>
      <c r="I515" s="33"/>
      <c r="J515" s="33"/>
      <c r="K515" s="33"/>
      <c r="L515" s="33"/>
      <c r="M515" s="33"/>
      <c r="N515" s="33"/>
      <c r="O515" s="33"/>
      <c r="P515" s="33"/>
      <c r="Q515" s="33"/>
      <c r="R515" s="33"/>
      <c r="S515" s="33"/>
      <c r="T515" s="33"/>
      <c r="U515" s="33"/>
      <c r="V515" s="33"/>
      <c r="W515" s="33"/>
      <c r="X515" s="33"/>
    </row>
    <row r="516" spans="1:24" ht="12.75" customHeight="1" x14ac:dyDescent="0.2">
      <c r="A516" s="33"/>
      <c r="B516" s="33"/>
      <c r="C516" s="84"/>
      <c r="D516" s="84"/>
      <c r="E516" s="69"/>
      <c r="F516" s="69"/>
      <c r="G516" s="76"/>
      <c r="H516" s="76"/>
      <c r="I516" s="33"/>
      <c r="J516" s="33"/>
      <c r="K516" s="33"/>
      <c r="L516" s="33"/>
      <c r="M516" s="33"/>
      <c r="N516" s="33"/>
      <c r="O516" s="33"/>
      <c r="P516" s="33"/>
      <c r="Q516" s="33"/>
      <c r="R516" s="33"/>
      <c r="S516" s="33"/>
      <c r="T516" s="33"/>
      <c r="U516" s="33"/>
      <c r="V516" s="33"/>
      <c r="W516" s="33"/>
      <c r="X516" s="33"/>
    </row>
    <row r="517" spans="1:24" ht="12.75" customHeight="1" x14ac:dyDescent="0.2">
      <c r="A517" s="33"/>
      <c r="B517" s="33"/>
      <c r="C517" s="84"/>
      <c r="D517" s="84"/>
      <c r="E517" s="69"/>
      <c r="F517" s="69"/>
      <c r="G517" s="76"/>
      <c r="H517" s="76"/>
      <c r="I517" s="33"/>
      <c r="J517" s="33"/>
      <c r="K517" s="33"/>
      <c r="L517" s="33"/>
      <c r="M517" s="33"/>
      <c r="N517" s="33"/>
      <c r="O517" s="33"/>
      <c r="P517" s="33"/>
      <c r="Q517" s="33"/>
      <c r="R517" s="33"/>
      <c r="S517" s="33"/>
      <c r="T517" s="33"/>
      <c r="U517" s="33"/>
      <c r="V517" s="33"/>
      <c r="W517" s="33"/>
      <c r="X517" s="33"/>
    </row>
    <row r="518" spans="1:24" ht="12.75" customHeight="1" x14ac:dyDescent="0.2">
      <c r="A518" s="33"/>
      <c r="B518" s="33"/>
      <c r="C518" s="84"/>
      <c r="D518" s="84"/>
      <c r="E518" s="69"/>
      <c r="F518" s="69"/>
      <c r="G518" s="76"/>
      <c r="H518" s="76"/>
      <c r="I518" s="33"/>
      <c r="J518" s="33"/>
      <c r="K518" s="33"/>
      <c r="L518" s="33"/>
      <c r="M518" s="33"/>
      <c r="N518" s="33"/>
      <c r="O518" s="33"/>
      <c r="P518" s="33"/>
      <c r="Q518" s="33"/>
      <c r="R518" s="33"/>
      <c r="S518" s="33"/>
      <c r="T518" s="33"/>
      <c r="U518" s="33"/>
      <c r="V518" s="33"/>
      <c r="W518" s="33"/>
      <c r="X518" s="33"/>
    </row>
    <row r="519" spans="1:24" ht="12.75" customHeight="1" x14ac:dyDescent="0.2">
      <c r="A519" s="33"/>
      <c r="B519" s="33"/>
      <c r="C519" s="84"/>
      <c r="D519" s="84"/>
      <c r="E519" s="69"/>
      <c r="F519" s="69"/>
      <c r="G519" s="76"/>
      <c r="H519" s="76"/>
      <c r="I519" s="33"/>
      <c r="J519" s="33"/>
      <c r="K519" s="33"/>
      <c r="L519" s="33"/>
      <c r="M519" s="33"/>
      <c r="N519" s="33"/>
      <c r="O519" s="33"/>
      <c r="P519" s="33"/>
      <c r="Q519" s="33"/>
      <c r="R519" s="33"/>
      <c r="S519" s="33"/>
      <c r="T519" s="33"/>
      <c r="U519" s="33"/>
      <c r="V519" s="33"/>
      <c r="W519" s="33"/>
      <c r="X519" s="33"/>
    </row>
    <row r="520" spans="1:24" ht="12.75" customHeight="1" x14ac:dyDescent="0.2">
      <c r="A520" s="33"/>
      <c r="B520" s="33"/>
      <c r="C520" s="84"/>
      <c r="D520" s="84"/>
      <c r="E520" s="69"/>
      <c r="F520" s="69"/>
      <c r="G520" s="76"/>
      <c r="H520" s="76"/>
      <c r="I520" s="33"/>
      <c r="J520" s="33"/>
      <c r="K520" s="33"/>
      <c r="L520" s="33"/>
      <c r="M520" s="33"/>
      <c r="N520" s="33"/>
      <c r="O520" s="33"/>
      <c r="P520" s="33"/>
      <c r="Q520" s="33"/>
      <c r="R520" s="33"/>
      <c r="S520" s="33"/>
      <c r="T520" s="33"/>
      <c r="U520" s="33"/>
      <c r="V520" s="33"/>
      <c r="W520" s="33"/>
      <c r="X520" s="33"/>
    </row>
    <row r="521" spans="1:24" ht="12.75" customHeight="1" x14ac:dyDescent="0.2">
      <c r="A521" s="33"/>
      <c r="B521" s="33"/>
      <c r="C521" s="84"/>
      <c r="D521" s="84"/>
      <c r="E521" s="69"/>
      <c r="F521" s="69"/>
      <c r="G521" s="76"/>
      <c r="H521" s="76"/>
      <c r="I521" s="33"/>
      <c r="J521" s="33"/>
      <c r="K521" s="33"/>
      <c r="L521" s="33"/>
      <c r="M521" s="33"/>
      <c r="N521" s="33"/>
      <c r="O521" s="33"/>
      <c r="P521" s="33"/>
      <c r="Q521" s="33"/>
      <c r="R521" s="33"/>
      <c r="S521" s="33"/>
      <c r="T521" s="33"/>
      <c r="U521" s="33"/>
      <c r="V521" s="33"/>
      <c r="W521" s="33"/>
      <c r="X521" s="33"/>
    </row>
    <row r="522" spans="1:24" ht="12.75" customHeight="1" x14ac:dyDescent="0.2">
      <c r="A522" s="33"/>
      <c r="B522" s="33"/>
      <c r="C522" s="84"/>
      <c r="D522" s="84"/>
      <c r="E522" s="69"/>
      <c r="F522" s="69"/>
      <c r="G522" s="76"/>
      <c r="H522" s="76"/>
      <c r="I522" s="33"/>
      <c r="J522" s="33"/>
      <c r="K522" s="33"/>
      <c r="L522" s="33"/>
      <c r="M522" s="33"/>
      <c r="N522" s="33"/>
      <c r="O522" s="33"/>
      <c r="P522" s="33"/>
      <c r="Q522" s="33"/>
      <c r="R522" s="33"/>
      <c r="S522" s="33"/>
      <c r="T522" s="33"/>
      <c r="U522" s="33"/>
      <c r="V522" s="33"/>
      <c r="W522" s="33"/>
      <c r="X522" s="33"/>
    </row>
    <row r="523" spans="1:24" ht="12.75" customHeight="1" x14ac:dyDescent="0.2">
      <c r="A523" s="33"/>
      <c r="B523" s="33"/>
      <c r="C523" s="84"/>
      <c r="D523" s="84"/>
      <c r="E523" s="69"/>
      <c r="F523" s="69"/>
      <c r="G523" s="76"/>
      <c r="H523" s="76"/>
      <c r="I523" s="33"/>
      <c r="J523" s="33"/>
      <c r="K523" s="33"/>
      <c r="L523" s="33"/>
      <c r="M523" s="33"/>
      <c r="N523" s="33"/>
      <c r="O523" s="33"/>
      <c r="P523" s="33"/>
      <c r="Q523" s="33"/>
      <c r="R523" s="33"/>
      <c r="S523" s="33"/>
      <c r="T523" s="33"/>
      <c r="U523" s="33"/>
      <c r="V523" s="33"/>
      <c r="W523" s="33"/>
      <c r="X523" s="33"/>
    </row>
    <row r="524" spans="1:24" ht="12.75" customHeight="1" x14ac:dyDescent="0.2">
      <c r="A524" s="33"/>
      <c r="B524" s="33"/>
      <c r="C524" s="84"/>
      <c r="D524" s="84"/>
      <c r="E524" s="69"/>
      <c r="F524" s="69"/>
      <c r="G524" s="76"/>
      <c r="H524" s="76"/>
      <c r="I524" s="33"/>
      <c r="J524" s="33"/>
      <c r="K524" s="33"/>
      <c r="L524" s="33"/>
      <c r="M524" s="33"/>
      <c r="N524" s="33"/>
      <c r="O524" s="33"/>
      <c r="P524" s="33"/>
      <c r="Q524" s="33"/>
      <c r="R524" s="33"/>
      <c r="S524" s="33"/>
      <c r="T524" s="33"/>
      <c r="U524" s="33"/>
      <c r="V524" s="33"/>
      <c r="W524" s="33"/>
      <c r="X524" s="33"/>
    </row>
    <row r="525" spans="1:24" ht="12.75" customHeight="1" x14ac:dyDescent="0.2">
      <c r="A525" s="33"/>
      <c r="B525" s="33"/>
      <c r="C525" s="84"/>
      <c r="D525" s="84"/>
      <c r="E525" s="69"/>
      <c r="F525" s="69"/>
      <c r="G525" s="76"/>
      <c r="H525" s="76"/>
      <c r="I525" s="33"/>
      <c r="J525" s="33"/>
      <c r="K525" s="33"/>
      <c r="L525" s="33"/>
      <c r="M525" s="33"/>
      <c r="N525" s="33"/>
      <c r="O525" s="33"/>
      <c r="P525" s="33"/>
      <c r="Q525" s="33"/>
      <c r="R525" s="33"/>
      <c r="S525" s="33"/>
      <c r="T525" s="33"/>
      <c r="U525" s="33"/>
      <c r="V525" s="33"/>
      <c r="W525" s="33"/>
      <c r="X525" s="33"/>
    </row>
    <row r="526" spans="1:24" ht="12.75" customHeight="1" x14ac:dyDescent="0.2">
      <c r="A526" s="33"/>
      <c r="B526" s="33"/>
      <c r="C526" s="84"/>
      <c r="D526" s="84"/>
      <c r="E526" s="69"/>
      <c r="F526" s="69"/>
      <c r="G526" s="76"/>
      <c r="H526" s="76"/>
      <c r="I526" s="33"/>
      <c r="J526" s="33"/>
      <c r="K526" s="33"/>
      <c r="L526" s="33"/>
      <c r="M526" s="33"/>
      <c r="N526" s="33"/>
      <c r="O526" s="33"/>
      <c r="P526" s="33"/>
      <c r="Q526" s="33"/>
      <c r="R526" s="33"/>
      <c r="S526" s="33"/>
      <c r="T526" s="33"/>
      <c r="U526" s="33"/>
      <c r="V526" s="33"/>
      <c r="W526" s="33"/>
      <c r="X526" s="33"/>
    </row>
    <row r="527" spans="1:24" ht="12.75" customHeight="1" x14ac:dyDescent="0.2">
      <c r="A527" s="33"/>
      <c r="B527" s="33"/>
      <c r="C527" s="84"/>
      <c r="D527" s="84"/>
      <c r="E527" s="69"/>
      <c r="F527" s="69"/>
      <c r="G527" s="76"/>
      <c r="H527" s="76"/>
      <c r="I527" s="33"/>
      <c r="J527" s="33"/>
      <c r="K527" s="33"/>
      <c r="L527" s="33"/>
      <c r="M527" s="33"/>
      <c r="N527" s="33"/>
      <c r="O527" s="33"/>
      <c r="P527" s="33"/>
      <c r="Q527" s="33"/>
      <c r="R527" s="33"/>
      <c r="S527" s="33"/>
      <c r="T527" s="33"/>
      <c r="U527" s="33"/>
      <c r="V527" s="33"/>
      <c r="W527" s="33"/>
      <c r="X527" s="33"/>
    </row>
    <row r="528" spans="1:24" ht="12.75" customHeight="1" x14ac:dyDescent="0.2">
      <c r="A528" s="33"/>
      <c r="B528" s="33"/>
      <c r="C528" s="84"/>
      <c r="D528" s="84"/>
      <c r="E528" s="69"/>
      <c r="F528" s="69"/>
      <c r="G528" s="76"/>
      <c r="H528" s="76"/>
      <c r="I528" s="33"/>
      <c r="J528" s="33"/>
      <c r="K528" s="33"/>
      <c r="L528" s="33"/>
      <c r="M528" s="33"/>
      <c r="N528" s="33"/>
      <c r="O528" s="33"/>
      <c r="P528" s="33"/>
      <c r="Q528" s="33"/>
      <c r="R528" s="33"/>
      <c r="S528" s="33"/>
      <c r="T528" s="33"/>
      <c r="U528" s="33"/>
      <c r="V528" s="33"/>
      <c r="W528" s="33"/>
      <c r="X528" s="33"/>
    </row>
    <row r="529" spans="1:24" ht="12.75" customHeight="1" x14ac:dyDescent="0.2">
      <c r="A529" s="33"/>
      <c r="B529" s="33"/>
      <c r="C529" s="84"/>
      <c r="D529" s="84"/>
      <c r="E529" s="69"/>
      <c r="F529" s="69"/>
      <c r="G529" s="76"/>
      <c r="H529" s="76"/>
      <c r="I529" s="33"/>
      <c r="J529" s="33"/>
      <c r="K529" s="33"/>
      <c r="L529" s="33"/>
      <c r="M529" s="33"/>
      <c r="N529" s="33"/>
      <c r="O529" s="33"/>
      <c r="P529" s="33"/>
      <c r="Q529" s="33"/>
      <c r="R529" s="33"/>
      <c r="S529" s="33"/>
      <c r="T529" s="33"/>
      <c r="U529" s="33"/>
      <c r="V529" s="33"/>
      <c r="W529" s="33"/>
      <c r="X529" s="33"/>
    </row>
    <row r="530" spans="1:24" ht="12.75" customHeight="1" x14ac:dyDescent="0.2">
      <c r="A530" s="33"/>
      <c r="B530" s="33"/>
      <c r="C530" s="84"/>
      <c r="D530" s="84"/>
      <c r="E530" s="69"/>
      <c r="F530" s="69"/>
      <c r="G530" s="76"/>
      <c r="H530" s="76"/>
      <c r="I530" s="33"/>
      <c r="J530" s="33"/>
      <c r="K530" s="33"/>
      <c r="L530" s="33"/>
      <c r="M530" s="33"/>
      <c r="N530" s="33"/>
      <c r="O530" s="33"/>
      <c r="P530" s="33"/>
      <c r="Q530" s="33"/>
      <c r="R530" s="33"/>
      <c r="S530" s="33"/>
      <c r="T530" s="33"/>
      <c r="U530" s="33"/>
      <c r="V530" s="33"/>
      <c r="W530" s="33"/>
      <c r="X530" s="33"/>
    </row>
    <row r="531" spans="1:24" ht="12.75" customHeight="1" x14ac:dyDescent="0.2">
      <c r="A531" s="33"/>
      <c r="B531" s="33"/>
      <c r="C531" s="84"/>
      <c r="D531" s="84"/>
      <c r="E531" s="69"/>
      <c r="F531" s="69"/>
      <c r="G531" s="76"/>
      <c r="H531" s="76"/>
      <c r="I531" s="33"/>
      <c r="J531" s="33"/>
      <c r="K531" s="33"/>
      <c r="L531" s="33"/>
      <c r="M531" s="33"/>
      <c r="N531" s="33"/>
      <c r="O531" s="33"/>
      <c r="P531" s="33"/>
      <c r="Q531" s="33"/>
      <c r="R531" s="33"/>
      <c r="S531" s="33"/>
      <c r="T531" s="33"/>
      <c r="U531" s="33"/>
      <c r="V531" s="33"/>
      <c r="W531" s="33"/>
      <c r="X531" s="33"/>
    </row>
    <row r="532" spans="1:24" ht="12.75" customHeight="1" x14ac:dyDescent="0.2">
      <c r="A532" s="33"/>
      <c r="B532" s="33"/>
      <c r="C532" s="84"/>
      <c r="D532" s="84"/>
      <c r="E532" s="69"/>
      <c r="F532" s="69"/>
      <c r="G532" s="76"/>
      <c r="H532" s="76"/>
      <c r="I532" s="33"/>
      <c r="J532" s="33"/>
      <c r="K532" s="33"/>
      <c r="L532" s="33"/>
      <c r="M532" s="33"/>
      <c r="N532" s="33"/>
      <c r="O532" s="33"/>
      <c r="P532" s="33"/>
      <c r="Q532" s="33"/>
      <c r="R532" s="33"/>
      <c r="S532" s="33"/>
      <c r="T532" s="33"/>
      <c r="U532" s="33"/>
      <c r="V532" s="33"/>
      <c r="W532" s="33"/>
      <c r="X532" s="33"/>
    </row>
    <row r="533" spans="1:24" ht="12.75" customHeight="1" x14ac:dyDescent="0.2">
      <c r="A533" s="33"/>
      <c r="B533" s="33"/>
      <c r="C533" s="84"/>
      <c r="D533" s="84"/>
      <c r="E533" s="69"/>
      <c r="F533" s="69"/>
      <c r="G533" s="76"/>
      <c r="H533" s="76"/>
      <c r="I533" s="33"/>
      <c r="J533" s="33"/>
      <c r="K533" s="33"/>
      <c r="L533" s="33"/>
      <c r="M533" s="33"/>
      <c r="N533" s="33"/>
      <c r="O533" s="33"/>
      <c r="P533" s="33"/>
      <c r="Q533" s="33"/>
      <c r="R533" s="33"/>
      <c r="S533" s="33"/>
      <c r="T533" s="33"/>
      <c r="U533" s="33"/>
      <c r="V533" s="33"/>
      <c r="W533" s="33"/>
      <c r="X533" s="33"/>
    </row>
    <row r="534" spans="1:24" ht="12.75" customHeight="1" x14ac:dyDescent="0.2">
      <c r="A534" s="33"/>
      <c r="B534" s="33"/>
      <c r="C534" s="84"/>
      <c r="D534" s="84"/>
      <c r="E534" s="69"/>
      <c r="F534" s="69"/>
      <c r="G534" s="76"/>
      <c r="H534" s="76"/>
      <c r="I534" s="33"/>
      <c r="J534" s="33"/>
      <c r="K534" s="33"/>
      <c r="L534" s="33"/>
      <c r="M534" s="33"/>
      <c r="N534" s="33"/>
      <c r="O534" s="33"/>
      <c r="P534" s="33"/>
      <c r="Q534" s="33"/>
      <c r="R534" s="33"/>
      <c r="S534" s="33"/>
      <c r="T534" s="33"/>
      <c r="U534" s="33"/>
      <c r="V534" s="33"/>
      <c r="W534" s="33"/>
      <c r="X534" s="33"/>
    </row>
    <row r="535" spans="1:24" ht="12.75" customHeight="1" x14ac:dyDescent="0.2">
      <c r="A535" s="33"/>
      <c r="B535" s="33"/>
      <c r="C535" s="84"/>
      <c r="D535" s="84"/>
      <c r="E535" s="69"/>
      <c r="F535" s="69"/>
      <c r="G535" s="76"/>
      <c r="H535" s="76"/>
      <c r="I535" s="33"/>
      <c r="J535" s="33"/>
      <c r="K535" s="33"/>
      <c r="L535" s="33"/>
      <c r="M535" s="33"/>
      <c r="N535" s="33"/>
      <c r="O535" s="33"/>
      <c r="P535" s="33"/>
      <c r="Q535" s="33"/>
      <c r="R535" s="33"/>
      <c r="S535" s="33"/>
      <c r="T535" s="33"/>
      <c r="U535" s="33"/>
      <c r="V535" s="33"/>
      <c r="W535" s="33"/>
      <c r="X535" s="33"/>
    </row>
    <row r="536" spans="1:24" ht="12.75" customHeight="1" x14ac:dyDescent="0.2">
      <c r="A536" s="33"/>
      <c r="B536" s="33"/>
      <c r="C536" s="84"/>
      <c r="D536" s="84"/>
      <c r="E536" s="69"/>
      <c r="F536" s="69"/>
      <c r="G536" s="76"/>
      <c r="H536" s="76"/>
      <c r="I536" s="33"/>
      <c r="J536" s="33"/>
      <c r="K536" s="33"/>
      <c r="L536" s="33"/>
      <c r="M536" s="33"/>
      <c r="N536" s="33"/>
      <c r="O536" s="33"/>
      <c r="P536" s="33"/>
      <c r="Q536" s="33"/>
      <c r="R536" s="33"/>
      <c r="S536" s="33"/>
      <c r="T536" s="33"/>
      <c r="U536" s="33"/>
      <c r="V536" s="33"/>
      <c r="W536" s="33"/>
      <c r="X536" s="33"/>
    </row>
    <row r="537" spans="1:24" ht="12.75" customHeight="1" x14ac:dyDescent="0.2">
      <c r="A537" s="33"/>
      <c r="B537" s="33"/>
      <c r="C537" s="84"/>
      <c r="D537" s="84"/>
      <c r="E537" s="69"/>
      <c r="F537" s="69"/>
      <c r="G537" s="76"/>
      <c r="H537" s="76"/>
      <c r="I537" s="33"/>
      <c r="J537" s="33"/>
      <c r="K537" s="33"/>
      <c r="L537" s="33"/>
      <c r="M537" s="33"/>
      <c r="N537" s="33"/>
      <c r="O537" s="33"/>
      <c r="P537" s="33"/>
      <c r="Q537" s="33"/>
      <c r="R537" s="33"/>
      <c r="S537" s="33"/>
      <c r="T537" s="33"/>
      <c r="U537" s="33"/>
      <c r="V537" s="33"/>
      <c r="W537" s="33"/>
      <c r="X537" s="33"/>
    </row>
    <row r="538" spans="1:24" ht="12.75" customHeight="1" x14ac:dyDescent="0.2">
      <c r="A538" s="33"/>
      <c r="B538" s="33"/>
      <c r="C538" s="84"/>
      <c r="D538" s="84"/>
      <c r="E538" s="69"/>
      <c r="F538" s="69"/>
      <c r="G538" s="76"/>
      <c r="H538" s="76"/>
      <c r="I538" s="33"/>
      <c r="J538" s="33"/>
      <c r="K538" s="33"/>
      <c r="L538" s="33"/>
      <c r="M538" s="33"/>
      <c r="N538" s="33"/>
      <c r="O538" s="33"/>
      <c r="P538" s="33"/>
      <c r="Q538" s="33"/>
      <c r="R538" s="33"/>
      <c r="S538" s="33"/>
      <c r="T538" s="33"/>
      <c r="U538" s="33"/>
      <c r="V538" s="33"/>
      <c r="W538" s="33"/>
      <c r="X538" s="33"/>
    </row>
    <row r="539" spans="1:24" ht="12.75" customHeight="1" x14ac:dyDescent="0.2">
      <c r="A539" s="33"/>
      <c r="B539" s="33"/>
      <c r="C539" s="84"/>
      <c r="D539" s="84"/>
      <c r="E539" s="69"/>
      <c r="F539" s="69"/>
      <c r="G539" s="76"/>
      <c r="H539" s="76"/>
      <c r="I539" s="33"/>
      <c r="J539" s="33"/>
      <c r="K539" s="33"/>
      <c r="L539" s="33"/>
      <c r="M539" s="33"/>
      <c r="N539" s="33"/>
      <c r="O539" s="33"/>
      <c r="P539" s="33"/>
      <c r="Q539" s="33"/>
      <c r="R539" s="33"/>
      <c r="S539" s="33"/>
      <c r="T539" s="33"/>
      <c r="U539" s="33"/>
      <c r="V539" s="33"/>
      <c r="W539" s="33"/>
      <c r="X539" s="33"/>
    </row>
    <row r="540" spans="1:24" ht="12.75" customHeight="1" x14ac:dyDescent="0.2">
      <c r="A540" s="33"/>
      <c r="B540" s="33"/>
      <c r="C540" s="84"/>
      <c r="D540" s="84"/>
      <c r="E540" s="69"/>
      <c r="F540" s="69"/>
      <c r="G540" s="76"/>
      <c r="H540" s="76"/>
      <c r="I540" s="33"/>
      <c r="J540" s="33"/>
      <c r="K540" s="33"/>
      <c r="L540" s="33"/>
      <c r="M540" s="33"/>
      <c r="N540" s="33"/>
      <c r="O540" s="33"/>
      <c r="P540" s="33"/>
      <c r="Q540" s="33"/>
      <c r="R540" s="33"/>
      <c r="S540" s="33"/>
      <c r="T540" s="33"/>
      <c r="U540" s="33"/>
      <c r="V540" s="33"/>
      <c r="W540" s="33"/>
      <c r="X540" s="33"/>
    </row>
    <row r="541" spans="1:24" ht="12.75" customHeight="1" x14ac:dyDescent="0.2">
      <c r="A541" s="33"/>
      <c r="B541" s="33"/>
      <c r="C541" s="84"/>
      <c r="D541" s="84"/>
      <c r="E541" s="69"/>
      <c r="F541" s="69"/>
      <c r="G541" s="76"/>
      <c r="H541" s="76"/>
      <c r="I541" s="33"/>
      <c r="J541" s="33"/>
      <c r="K541" s="33"/>
      <c r="L541" s="33"/>
      <c r="M541" s="33"/>
      <c r="N541" s="33"/>
      <c r="O541" s="33"/>
      <c r="P541" s="33"/>
      <c r="Q541" s="33"/>
      <c r="R541" s="33"/>
      <c r="S541" s="33"/>
      <c r="T541" s="33"/>
      <c r="U541" s="33"/>
      <c r="V541" s="33"/>
      <c r="W541" s="33"/>
      <c r="X541" s="33"/>
    </row>
    <row r="542" spans="1:24" ht="12.75" customHeight="1" x14ac:dyDescent="0.2">
      <c r="A542" s="33"/>
      <c r="B542" s="33"/>
      <c r="C542" s="84"/>
      <c r="D542" s="84"/>
      <c r="E542" s="69"/>
      <c r="F542" s="69"/>
      <c r="G542" s="76"/>
      <c r="H542" s="76"/>
      <c r="I542" s="33"/>
      <c r="J542" s="33"/>
      <c r="K542" s="33"/>
      <c r="L542" s="33"/>
      <c r="M542" s="33"/>
      <c r="N542" s="33"/>
      <c r="O542" s="33"/>
      <c r="P542" s="33"/>
      <c r="Q542" s="33"/>
      <c r="R542" s="33"/>
      <c r="S542" s="33"/>
      <c r="T542" s="33"/>
      <c r="U542" s="33"/>
      <c r="V542" s="33"/>
      <c r="W542" s="33"/>
      <c r="X542" s="33"/>
    </row>
    <row r="543" spans="1:24" ht="12.75" customHeight="1" x14ac:dyDescent="0.2">
      <c r="A543" s="33"/>
      <c r="B543" s="33"/>
      <c r="C543" s="84"/>
      <c r="D543" s="84"/>
      <c r="E543" s="69"/>
      <c r="F543" s="69"/>
      <c r="G543" s="76"/>
      <c r="H543" s="76"/>
      <c r="I543" s="33"/>
      <c r="J543" s="33"/>
      <c r="K543" s="33"/>
      <c r="L543" s="33"/>
      <c r="M543" s="33"/>
      <c r="N543" s="33"/>
      <c r="O543" s="33"/>
      <c r="P543" s="33"/>
      <c r="Q543" s="33"/>
      <c r="R543" s="33"/>
      <c r="S543" s="33"/>
      <c r="T543" s="33"/>
      <c r="U543" s="33"/>
      <c r="V543" s="33"/>
      <c r="W543" s="33"/>
      <c r="X543" s="33"/>
    </row>
    <row r="544" spans="1:24" ht="12.75" customHeight="1" x14ac:dyDescent="0.2">
      <c r="A544" s="33"/>
      <c r="B544" s="33"/>
      <c r="C544" s="84"/>
      <c r="D544" s="84"/>
      <c r="E544" s="69"/>
      <c r="F544" s="69"/>
      <c r="G544" s="76"/>
      <c r="H544" s="76"/>
      <c r="I544" s="33"/>
      <c r="J544" s="33"/>
      <c r="K544" s="33"/>
      <c r="L544" s="33"/>
      <c r="M544" s="33"/>
      <c r="N544" s="33"/>
      <c r="O544" s="33"/>
      <c r="P544" s="33"/>
      <c r="Q544" s="33"/>
      <c r="R544" s="33"/>
      <c r="S544" s="33"/>
      <c r="T544" s="33"/>
      <c r="U544" s="33"/>
      <c r="V544" s="33"/>
      <c r="W544" s="33"/>
      <c r="X544" s="33"/>
    </row>
    <row r="545" spans="1:24" ht="12.75" customHeight="1" x14ac:dyDescent="0.2">
      <c r="A545" s="33"/>
      <c r="B545" s="33"/>
      <c r="C545" s="84"/>
      <c r="D545" s="84"/>
      <c r="E545" s="69"/>
      <c r="F545" s="69"/>
      <c r="G545" s="76"/>
      <c r="H545" s="76"/>
      <c r="I545" s="33"/>
      <c r="J545" s="33"/>
      <c r="K545" s="33"/>
      <c r="L545" s="33"/>
      <c r="M545" s="33"/>
      <c r="N545" s="33"/>
      <c r="O545" s="33"/>
      <c r="P545" s="33"/>
      <c r="Q545" s="33"/>
      <c r="R545" s="33"/>
      <c r="S545" s="33"/>
      <c r="T545" s="33"/>
      <c r="U545" s="33"/>
      <c r="V545" s="33"/>
      <c r="W545" s="33"/>
      <c r="X545" s="33"/>
    </row>
    <row r="546" spans="1:24" ht="12.75" customHeight="1" x14ac:dyDescent="0.2">
      <c r="A546" s="33"/>
      <c r="B546" s="33"/>
      <c r="C546" s="84"/>
      <c r="D546" s="84"/>
      <c r="E546" s="69"/>
      <c r="F546" s="69"/>
      <c r="G546" s="76"/>
      <c r="H546" s="76"/>
      <c r="I546" s="33"/>
      <c r="J546" s="33"/>
      <c r="K546" s="33"/>
      <c r="L546" s="33"/>
      <c r="M546" s="33"/>
      <c r="N546" s="33"/>
      <c r="O546" s="33"/>
      <c r="P546" s="33"/>
      <c r="Q546" s="33"/>
      <c r="R546" s="33"/>
      <c r="S546" s="33"/>
      <c r="T546" s="33"/>
      <c r="U546" s="33"/>
      <c r="V546" s="33"/>
      <c r="W546" s="33"/>
      <c r="X546" s="33"/>
    </row>
    <row r="547" spans="1:24" ht="12.75" customHeight="1" x14ac:dyDescent="0.2">
      <c r="A547" s="33"/>
      <c r="B547" s="33"/>
      <c r="C547" s="84"/>
      <c r="D547" s="84"/>
      <c r="E547" s="69"/>
      <c r="F547" s="69"/>
      <c r="G547" s="76"/>
      <c r="H547" s="76"/>
      <c r="I547" s="33"/>
      <c r="J547" s="33"/>
      <c r="K547" s="33"/>
      <c r="L547" s="33"/>
      <c r="M547" s="33"/>
      <c r="N547" s="33"/>
      <c r="O547" s="33"/>
      <c r="P547" s="33"/>
      <c r="Q547" s="33"/>
      <c r="R547" s="33"/>
      <c r="S547" s="33"/>
      <c r="T547" s="33"/>
      <c r="U547" s="33"/>
      <c r="V547" s="33"/>
      <c r="W547" s="33"/>
      <c r="X547" s="33"/>
    </row>
    <row r="548" spans="1:24" ht="12.75" customHeight="1" x14ac:dyDescent="0.2">
      <c r="A548" s="33"/>
      <c r="B548" s="33"/>
      <c r="C548" s="84"/>
      <c r="D548" s="84"/>
      <c r="E548" s="69"/>
      <c r="F548" s="69"/>
      <c r="G548" s="76"/>
      <c r="H548" s="76"/>
      <c r="I548" s="33"/>
      <c r="J548" s="33"/>
      <c r="K548" s="33"/>
      <c r="L548" s="33"/>
      <c r="M548" s="33"/>
      <c r="N548" s="33"/>
      <c r="O548" s="33"/>
      <c r="P548" s="33"/>
      <c r="Q548" s="33"/>
      <c r="R548" s="33"/>
      <c r="S548" s="33"/>
      <c r="T548" s="33"/>
      <c r="U548" s="33"/>
      <c r="V548" s="33"/>
      <c r="W548" s="33"/>
      <c r="X548" s="33"/>
    </row>
    <row r="549" spans="1:24" ht="12.75" customHeight="1" x14ac:dyDescent="0.2">
      <c r="A549" s="33"/>
      <c r="B549" s="33"/>
      <c r="C549" s="84"/>
      <c r="D549" s="84"/>
      <c r="E549" s="69"/>
      <c r="F549" s="69"/>
      <c r="G549" s="76"/>
      <c r="H549" s="76"/>
      <c r="I549" s="33"/>
      <c r="J549" s="33"/>
      <c r="K549" s="33"/>
      <c r="L549" s="33"/>
      <c r="M549" s="33"/>
      <c r="N549" s="33"/>
      <c r="O549" s="33"/>
      <c r="P549" s="33"/>
      <c r="Q549" s="33"/>
      <c r="R549" s="33"/>
      <c r="S549" s="33"/>
      <c r="T549" s="33"/>
      <c r="U549" s="33"/>
      <c r="V549" s="33"/>
      <c r="W549" s="33"/>
      <c r="X549" s="33"/>
    </row>
    <row r="550" spans="1:24" ht="12.75" customHeight="1" x14ac:dyDescent="0.2">
      <c r="A550" s="33"/>
      <c r="B550" s="33"/>
      <c r="C550" s="84"/>
      <c r="D550" s="84"/>
      <c r="E550" s="69"/>
      <c r="F550" s="69"/>
      <c r="G550" s="76"/>
      <c r="H550" s="76"/>
      <c r="I550" s="33"/>
      <c r="J550" s="33"/>
      <c r="K550" s="33"/>
      <c r="L550" s="33"/>
      <c r="M550" s="33"/>
      <c r="N550" s="33"/>
      <c r="O550" s="33"/>
      <c r="P550" s="33"/>
      <c r="Q550" s="33"/>
      <c r="R550" s="33"/>
      <c r="S550" s="33"/>
      <c r="T550" s="33"/>
      <c r="U550" s="33"/>
      <c r="V550" s="33"/>
      <c r="W550" s="33"/>
      <c r="X550" s="33"/>
    </row>
    <row r="551" spans="1:24" ht="12.75" customHeight="1" x14ac:dyDescent="0.2">
      <c r="A551" s="33"/>
      <c r="B551" s="33"/>
      <c r="C551" s="84"/>
      <c r="D551" s="84"/>
      <c r="E551" s="69"/>
      <c r="F551" s="69"/>
      <c r="G551" s="76"/>
      <c r="H551" s="76"/>
      <c r="I551" s="33"/>
      <c r="J551" s="33"/>
      <c r="K551" s="33"/>
      <c r="L551" s="33"/>
      <c r="M551" s="33"/>
      <c r="N551" s="33"/>
      <c r="O551" s="33"/>
      <c r="P551" s="33"/>
      <c r="Q551" s="33"/>
      <c r="R551" s="33"/>
      <c r="S551" s="33"/>
      <c r="T551" s="33"/>
      <c r="U551" s="33"/>
      <c r="V551" s="33"/>
      <c r="W551" s="33"/>
      <c r="X551" s="33"/>
    </row>
    <row r="552" spans="1:24" ht="12.75" customHeight="1" x14ac:dyDescent="0.2">
      <c r="A552" s="33"/>
      <c r="B552" s="33"/>
      <c r="C552" s="84"/>
      <c r="D552" s="84"/>
      <c r="E552" s="69"/>
      <c r="F552" s="69"/>
      <c r="G552" s="76"/>
      <c r="H552" s="76"/>
      <c r="I552" s="33"/>
      <c r="J552" s="33"/>
      <c r="K552" s="33"/>
      <c r="L552" s="33"/>
      <c r="M552" s="33"/>
      <c r="N552" s="33"/>
      <c r="O552" s="33"/>
      <c r="P552" s="33"/>
      <c r="Q552" s="33"/>
      <c r="R552" s="33"/>
      <c r="S552" s="33"/>
      <c r="T552" s="33"/>
      <c r="U552" s="33"/>
      <c r="V552" s="33"/>
      <c r="W552" s="33"/>
      <c r="X552" s="33"/>
    </row>
    <row r="553" spans="1:24" ht="12.75" customHeight="1" x14ac:dyDescent="0.2">
      <c r="A553" s="33"/>
      <c r="B553" s="33"/>
      <c r="C553" s="84"/>
      <c r="D553" s="84"/>
      <c r="E553" s="69"/>
      <c r="F553" s="69"/>
      <c r="G553" s="76"/>
      <c r="H553" s="76"/>
      <c r="I553" s="33"/>
      <c r="J553" s="33"/>
      <c r="K553" s="33"/>
      <c r="L553" s="33"/>
      <c r="M553" s="33"/>
      <c r="N553" s="33"/>
      <c r="O553" s="33"/>
      <c r="P553" s="33"/>
      <c r="Q553" s="33"/>
      <c r="R553" s="33"/>
      <c r="S553" s="33"/>
      <c r="T553" s="33"/>
      <c r="U553" s="33"/>
      <c r="V553" s="33"/>
      <c r="W553" s="33"/>
      <c r="X553" s="33"/>
    </row>
    <row r="554" spans="1:24" ht="12.75" customHeight="1" x14ac:dyDescent="0.2">
      <c r="A554" s="33"/>
      <c r="B554" s="33"/>
      <c r="C554" s="84"/>
      <c r="D554" s="84"/>
      <c r="E554" s="69"/>
      <c r="F554" s="69"/>
      <c r="G554" s="76"/>
      <c r="H554" s="76"/>
      <c r="I554" s="33"/>
      <c r="J554" s="33"/>
      <c r="K554" s="33"/>
      <c r="L554" s="33"/>
      <c r="M554" s="33"/>
      <c r="N554" s="33"/>
      <c r="O554" s="33"/>
      <c r="P554" s="33"/>
      <c r="Q554" s="33"/>
      <c r="R554" s="33"/>
      <c r="S554" s="33"/>
      <c r="T554" s="33"/>
      <c r="U554" s="33"/>
      <c r="V554" s="33"/>
      <c r="W554" s="33"/>
      <c r="X554" s="33"/>
    </row>
    <row r="555" spans="1:24" ht="12.75" customHeight="1" x14ac:dyDescent="0.2">
      <c r="A555" s="33"/>
      <c r="B555" s="33"/>
      <c r="C555" s="84"/>
      <c r="D555" s="84"/>
      <c r="E555" s="69"/>
      <c r="F555" s="69"/>
      <c r="G555" s="76"/>
      <c r="H555" s="76"/>
      <c r="I555" s="33"/>
      <c r="J555" s="33"/>
      <c r="K555" s="33"/>
      <c r="L555" s="33"/>
      <c r="M555" s="33"/>
      <c r="N555" s="33"/>
      <c r="O555" s="33"/>
      <c r="P555" s="33"/>
      <c r="Q555" s="33"/>
      <c r="R555" s="33"/>
      <c r="S555" s="33"/>
      <c r="T555" s="33"/>
      <c r="U555" s="33"/>
      <c r="V555" s="33"/>
      <c r="W555" s="33"/>
      <c r="X555" s="33"/>
    </row>
    <row r="556" spans="1:24" ht="12.75" customHeight="1" x14ac:dyDescent="0.2">
      <c r="A556" s="33"/>
      <c r="B556" s="33"/>
      <c r="C556" s="84"/>
      <c r="D556" s="84"/>
      <c r="E556" s="69"/>
      <c r="F556" s="69"/>
      <c r="G556" s="76"/>
      <c r="H556" s="76"/>
      <c r="I556" s="33"/>
      <c r="J556" s="33"/>
      <c r="K556" s="33"/>
      <c r="L556" s="33"/>
      <c r="M556" s="33"/>
      <c r="N556" s="33"/>
      <c r="O556" s="33"/>
      <c r="P556" s="33"/>
      <c r="Q556" s="33"/>
      <c r="R556" s="33"/>
      <c r="S556" s="33"/>
      <c r="T556" s="33"/>
      <c r="U556" s="33"/>
      <c r="V556" s="33"/>
      <c r="W556" s="33"/>
      <c r="X556" s="33"/>
    </row>
    <row r="557" spans="1:24" ht="12.75" customHeight="1" x14ac:dyDescent="0.2">
      <c r="A557" s="33"/>
      <c r="B557" s="33"/>
      <c r="C557" s="84"/>
      <c r="D557" s="84"/>
      <c r="E557" s="69"/>
      <c r="F557" s="69"/>
      <c r="G557" s="76"/>
      <c r="H557" s="76"/>
      <c r="I557" s="33"/>
      <c r="J557" s="33"/>
      <c r="K557" s="33"/>
      <c r="L557" s="33"/>
      <c r="M557" s="33"/>
      <c r="N557" s="33"/>
      <c r="O557" s="33"/>
      <c r="P557" s="33"/>
      <c r="Q557" s="33"/>
      <c r="R557" s="33"/>
      <c r="S557" s="33"/>
      <c r="T557" s="33"/>
      <c r="U557" s="33"/>
      <c r="V557" s="33"/>
      <c r="W557" s="33"/>
      <c r="X557" s="33"/>
    </row>
    <row r="558" spans="1:24" ht="12.75" customHeight="1" x14ac:dyDescent="0.2">
      <c r="A558" s="33"/>
      <c r="B558" s="33"/>
      <c r="C558" s="84"/>
      <c r="D558" s="84"/>
      <c r="E558" s="69"/>
      <c r="F558" s="69"/>
      <c r="G558" s="76"/>
      <c r="H558" s="76"/>
      <c r="I558" s="33"/>
      <c r="J558" s="33"/>
      <c r="K558" s="33"/>
      <c r="L558" s="33"/>
      <c r="M558" s="33"/>
      <c r="N558" s="33"/>
      <c r="O558" s="33"/>
      <c r="P558" s="33"/>
      <c r="Q558" s="33"/>
      <c r="R558" s="33"/>
      <c r="S558" s="33"/>
      <c r="T558" s="33"/>
      <c r="U558" s="33"/>
      <c r="V558" s="33"/>
      <c r="W558" s="33"/>
      <c r="X558" s="33"/>
    </row>
    <row r="559" spans="1:24" ht="12.75" customHeight="1" x14ac:dyDescent="0.2">
      <c r="A559" s="33"/>
      <c r="B559" s="33"/>
      <c r="C559" s="84"/>
      <c r="D559" s="84"/>
      <c r="E559" s="69"/>
      <c r="F559" s="69"/>
      <c r="G559" s="76"/>
      <c r="H559" s="76"/>
      <c r="I559" s="33"/>
      <c r="J559" s="33"/>
      <c r="K559" s="33"/>
      <c r="L559" s="33"/>
      <c r="M559" s="33"/>
      <c r="N559" s="33"/>
      <c r="O559" s="33"/>
      <c r="P559" s="33"/>
      <c r="Q559" s="33"/>
      <c r="R559" s="33"/>
      <c r="S559" s="33"/>
      <c r="T559" s="33"/>
      <c r="U559" s="33"/>
      <c r="V559" s="33"/>
      <c r="W559" s="33"/>
      <c r="X559" s="33"/>
    </row>
    <row r="560" spans="1:24" ht="12.75" customHeight="1" x14ac:dyDescent="0.2">
      <c r="A560" s="33"/>
      <c r="B560" s="33"/>
      <c r="C560" s="84"/>
      <c r="D560" s="84"/>
      <c r="E560" s="69"/>
      <c r="F560" s="69"/>
      <c r="G560" s="76"/>
      <c r="H560" s="76"/>
      <c r="I560" s="33"/>
      <c r="J560" s="33"/>
      <c r="K560" s="33"/>
      <c r="L560" s="33"/>
      <c r="M560" s="33"/>
      <c r="N560" s="33"/>
      <c r="O560" s="33"/>
      <c r="P560" s="33"/>
      <c r="Q560" s="33"/>
      <c r="R560" s="33"/>
      <c r="S560" s="33"/>
      <c r="T560" s="33"/>
      <c r="U560" s="33"/>
      <c r="V560" s="33"/>
      <c r="W560" s="33"/>
      <c r="X560" s="33"/>
    </row>
    <row r="561" spans="1:24" ht="12.75" customHeight="1" x14ac:dyDescent="0.2">
      <c r="A561" s="33"/>
      <c r="B561" s="33"/>
      <c r="C561" s="84"/>
      <c r="D561" s="84"/>
      <c r="E561" s="69"/>
      <c r="F561" s="69"/>
      <c r="G561" s="76"/>
      <c r="H561" s="76"/>
      <c r="I561" s="33"/>
      <c r="J561" s="33"/>
      <c r="K561" s="33"/>
      <c r="L561" s="33"/>
      <c r="M561" s="33"/>
      <c r="N561" s="33"/>
      <c r="O561" s="33"/>
      <c r="P561" s="33"/>
      <c r="Q561" s="33"/>
      <c r="R561" s="33"/>
      <c r="S561" s="33"/>
      <c r="T561" s="33"/>
      <c r="U561" s="33"/>
      <c r="V561" s="33"/>
      <c r="W561" s="33"/>
      <c r="X561" s="33"/>
    </row>
    <row r="562" spans="1:24" ht="12.75" customHeight="1" x14ac:dyDescent="0.2">
      <c r="A562" s="33"/>
      <c r="B562" s="33"/>
      <c r="C562" s="84"/>
      <c r="D562" s="84"/>
      <c r="E562" s="69"/>
      <c r="F562" s="69"/>
      <c r="G562" s="76"/>
      <c r="H562" s="76"/>
      <c r="I562" s="33"/>
      <c r="J562" s="33"/>
      <c r="K562" s="33"/>
      <c r="L562" s="33"/>
      <c r="M562" s="33"/>
      <c r="N562" s="33"/>
      <c r="O562" s="33"/>
      <c r="P562" s="33"/>
      <c r="Q562" s="33"/>
      <c r="R562" s="33"/>
      <c r="S562" s="33"/>
      <c r="T562" s="33"/>
      <c r="U562" s="33"/>
      <c r="V562" s="33"/>
      <c r="W562" s="33"/>
      <c r="X562" s="33"/>
    </row>
    <row r="563" spans="1:24" ht="12.75" customHeight="1" x14ac:dyDescent="0.2">
      <c r="A563" s="33"/>
      <c r="B563" s="33"/>
      <c r="C563" s="84"/>
      <c r="D563" s="84"/>
      <c r="E563" s="69"/>
      <c r="F563" s="69"/>
      <c r="G563" s="76"/>
      <c r="H563" s="76"/>
      <c r="I563" s="33"/>
      <c r="J563" s="33"/>
      <c r="K563" s="33"/>
      <c r="L563" s="33"/>
      <c r="M563" s="33"/>
      <c r="N563" s="33"/>
      <c r="O563" s="33"/>
      <c r="P563" s="33"/>
      <c r="Q563" s="33"/>
      <c r="R563" s="33"/>
      <c r="S563" s="33"/>
      <c r="T563" s="33"/>
      <c r="U563" s="33"/>
      <c r="V563" s="33"/>
      <c r="W563" s="33"/>
      <c r="X563" s="33"/>
    </row>
    <row r="564" spans="1:24" ht="12.75" customHeight="1" x14ac:dyDescent="0.2">
      <c r="A564" s="33"/>
      <c r="B564" s="33"/>
      <c r="C564" s="84"/>
      <c r="D564" s="84"/>
      <c r="E564" s="69"/>
      <c r="F564" s="69"/>
      <c r="G564" s="76"/>
      <c r="H564" s="76"/>
      <c r="I564" s="33"/>
      <c r="J564" s="33"/>
      <c r="K564" s="33"/>
      <c r="L564" s="33"/>
      <c r="M564" s="33"/>
      <c r="N564" s="33"/>
      <c r="O564" s="33"/>
      <c r="P564" s="33"/>
      <c r="Q564" s="33"/>
      <c r="R564" s="33"/>
      <c r="S564" s="33"/>
      <c r="T564" s="33"/>
      <c r="U564" s="33"/>
      <c r="V564" s="33"/>
      <c r="W564" s="33"/>
      <c r="X564" s="33"/>
    </row>
    <row r="565" spans="1:24" ht="12.75" customHeight="1" x14ac:dyDescent="0.2">
      <c r="A565" s="33"/>
      <c r="B565" s="33"/>
      <c r="C565" s="84"/>
      <c r="D565" s="84"/>
      <c r="E565" s="69"/>
      <c r="F565" s="69"/>
      <c r="G565" s="76"/>
      <c r="H565" s="76"/>
      <c r="I565" s="33"/>
      <c r="J565" s="33"/>
      <c r="K565" s="33"/>
      <c r="L565" s="33"/>
      <c r="M565" s="33"/>
      <c r="N565" s="33"/>
      <c r="O565" s="33"/>
      <c r="P565" s="33"/>
      <c r="Q565" s="33"/>
      <c r="R565" s="33"/>
      <c r="S565" s="33"/>
      <c r="T565" s="33"/>
      <c r="U565" s="33"/>
      <c r="V565" s="33"/>
      <c r="W565" s="33"/>
      <c r="X565" s="33"/>
    </row>
    <row r="566" spans="1:24" ht="12.75" customHeight="1" x14ac:dyDescent="0.2">
      <c r="A566" s="33"/>
      <c r="B566" s="33"/>
      <c r="C566" s="84"/>
      <c r="D566" s="84"/>
      <c r="E566" s="69"/>
      <c r="F566" s="69"/>
      <c r="G566" s="76"/>
      <c r="H566" s="76"/>
      <c r="I566" s="33"/>
      <c r="J566" s="33"/>
      <c r="K566" s="33"/>
      <c r="L566" s="33"/>
      <c r="M566" s="33"/>
      <c r="N566" s="33"/>
      <c r="O566" s="33"/>
      <c r="P566" s="33"/>
      <c r="Q566" s="33"/>
      <c r="R566" s="33"/>
      <c r="S566" s="33"/>
      <c r="T566" s="33"/>
      <c r="U566" s="33"/>
      <c r="V566" s="33"/>
      <c r="W566" s="33"/>
      <c r="X566" s="33"/>
    </row>
    <row r="567" spans="1:24" ht="12.75" customHeight="1" x14ac:dyDescent="0.2">
      <c r="A567" s="33"/>
      <c r="B567" s="33"/>
      <c r="C567" s="84"/>
      <c r="D567" s="84"/>
      <c r="E567" s="69"/>
      <c r="F567" s="69"/>
      <c r="G567" s="76"/>
      <c r="H567" s="76"/>
      <c r="I567" s="33"/>
      <c r="J567" s="33"/>
      <c r="K567" s="33"/>
      <c r="L567" s="33"/>
      <c r="M567" s="33"/>
      <c r="N567" s="33"/>
      <c r="O567" s="33"/>
      <c r="P567" s="33"/>
      <c r="Q567" s="33"/>
      <c r="R567" s="33"/>
      <c r="S567" s="33"/>
      <c r="T567" s="33"/>
      <c r="U567" s="33"/>
      <c r="V567" s="33"/>
      <c r="W567" s="33"/>
      <c r="X567" s="33"/>
    </row>
    <row r="568" spans="1:24" ht="12.75" customHeight="1" x14ac:dyDescent="0.2">
      <c r="A568" s="33"/>
      <c r="B568" s="33"/>
      <c r="C568" s="84"/>
      <c r="D568" s="84"/>
      <c r="E568" s="69"/>
      <c r="F568" s="69"/>
      <c r="G568" s="76"/>
      <c r="H568" s="76"/>
      <c r="I568" s="33"/>
      <c r="J568" s="33"/>
      <c r="K568" s="33"/>
      <c r="L568" s="33"/>
      <c r="M568" s="33"/>
      <c r="N568" s="33"/>
      <c r="O568" s="33"/>
      <c r="P568" s="33"/>
      <c r="Q568" s="33"/>
      <c r="R568" s="33"/>
      <c r="S568" s="33"/>
      <c r="T568" s="33"/>
      <c r="U568" s="33"/>
      <c r="V568" s="33"/>
      <c r="W568" s="33"/>
      <c r="X568" s="33"/>
    </row>
    <row r="569" spans="1:24" ht="12.75" customHeight="1" x14ac:dyDescent="0.2">
      <c r="A569" s="33"/>
      <c r="B569" s="33"/>
      <c r="C569" s="84"/>
      <c r="D569" s="84"/>
      <c r="E569" s="69"/>
      <c r="F569" s="69"/>
      <c r="G569" s="76"/>
      <c r="H569" s="76"/>
      <c r="I569" s="33"/>
      <c r="J569" s="33"/>
      <c r="K569" s="33"/>
      <c r="L569" s="33"/>
      <c r="M569" s="33"/>
      <c r="N569" s="33"/>
      <c r="O569" s="33"/>
      <c r="P569" s="33"/>
      <c r="Q569" s="33"/>
      <c r="R569" s="33"/>
      <c r="S569" s="33"/>
      <c r="T569" s="33"/>
      <c r="U569" s="33"/>
      <c r="V569" s="33"/>
      <c r="W569" s="33"/>
      <c r="X569" s="33"/>
    </row>
    <row r="570" spans="1:24" ht="12.75" customHeight="1" x14ac:dyDescent="0.2">
      <c r="A570" s="33"/>
      <c r="B570" s="33"/>
      <c r="C570" s="84"/>
      <c r="D570" s="84"/>
      <c r="E570" s="69"/>
      <c r="F570" s="69"/>
      <c r="G570" s="76"/>
      <c r="H570" s="76"/>
      <c r="I570" s="33"/>
      <c r="J570" s="33"/>
      <c r="K570" s="33"/>
      <c r="L570" s="33"/>
      <c r="M570" s="33"/>
      <c r="N570" s="33"/>
      <c r="O570" s="33"/>
      <c r="P570" s="33"/>
      <c r="Q570" s="33"/>
      <c r="R570" s="33"/>
      <c r="S570" s="33"/>
      <c r="T570" s="33"/>
      <c r="U570" s="33"/>
      <c r="V570" s="33"/>
      <c r="W570" s="33"/>
      <c r="X570" s="33"/>
    </row>
    <row r="571" spans="1:24" ht="12.75" customHeight="1" x14ac:dyDescent="0.2">
      <c r="A571" s="33"/>
      <c r="B571" s="33"/>
      <c r="C571" s="84"/>
      <c r="D571" s="84"/>
      <c r="E571" s="69"/>
      <c r="F571" s="69"/>
      <c r="G571" s="76"/>
      <c r="H571" s="76"/>
      <c r="I571" s="33"/>
      <c r="J571" s="33"/>
      <c r="K571" s="33"/>
      <c r="L571" s="33"/>
      <c r="M571" s="33"/>
      <c r="N571" s="33"/>
      <c r="O571" s="33"/>
      <c r="P571" s="33"/>
      <c r="Q571" s="33"/>
      <c r="R571" s="33"/>
      <c r="S571" s="33"/>
      <c r="T571" s="33"/>
      <c r="U571" s="33"/>
      <c r="V571" s="33"/>
      <c r="W571" s="33"/>
      <c r="X571" s="33"/>
    </row>
    <row r="572" spans="1:24" ht="12.75" customHeight="1" x14ac:dyDescent="0.2">
      <c r="A572" s="33"/>
      <c r="B572" s="33"/>
      <c r="C572" s="84"/>
      <c r="D572" s="84"/>
      <c r="E572" s="69"/>
      <c r="F572" s="69"/>
      <c r="G572" s="76"/>
      <c r="H572" s="76"/>
      <c r="I572" s="33"/>
      <c r="J572" s="33"/>
      <c r="K572" s="33"/>
      <c r="L572" s="33"/>
      <c r="M572" s="33"/>
      <c r="N572" s="33"/>
      <c r="O572" s="33"/>
      <c r="P572" s="33"/>
      <c r="Q572" s="33"/>
      <c r="R572" s="33"/>
      <c r="S572" s="33"/>
      <c r="T572" s="33"/>
      <c r="U572" s="33"/>
      <c r="V572" s="33"/>
      <c r="W572" s="33"/>
      <c r="X572" s="33"/>
    </row>
    <row r="573" spans="1:24" ht="12.75" customHeight="1" x14ac:dyDescent="0.2">
      <c r="A573" s="33"/>
      <c r="B573" s="33"/>
      <c r="C573" s="84"/>
      <c r="D573" s="84"/>
      <c r="E573" s="69"/>
      <c r="F573" s="69"/>
      <c r="G573" s="76"/>
      <c r="H573" s="76"/>
      <c r="I573" s="33"/>
      <c r="J573" s="33"/>
      <c r="K573" s="33"/>
      <c r="L573" s="33"/>
      <c r="M573" s="33"/>
      <c r="N573" s="33"/>
      <c r="O573" s="33"/>
      <c r="P573" s="33"/>
      <c r="Q573" s="33"/>
      <c r="R573" s="33"/>
      <c r="S573" s="33"/>
      <c r="T573" s="33"/>
      <c r="U573" s="33"/>
      <c r="V573" s="33"/>
      <c r="W573" s="33"/>
      <c r="X573" s="33"/>
    </row>
    <row r="574" spans="1:24" ht="12.75" customHeight="1" x14ac:dyDescent="0.2">
      <c r="A574" s="33"/>
      <c r="B574" s="33"/>
      <c r="C574" s="84"/>
      <c r="D574" s="84"/>
      <c r="E574" s="69"/>
      <c r="F574" s="69"/>
      <c r="G574" s="76"/>
      <c r="H574" s="76"/>
      <c r="I574" s="33"/>
      <c r="J574" s="33"/>
      <c r="K574" s="33"/>
      <c r="L574" s="33"/>
      <c r="M574" s="33"/>
      <c r="N574" s="33"/>
      <c r="O574" s="33"/>
      <c r="P574" s="33"/>
      <c r="Q574" s="33"/>
      <c r="R574" s="33"/>
      <c r="S574" s="33"/>
      <c r="T574" s="33"/>
      <c r="U574" s="33"/>
      <c r="V574" s="33"/>
      <c r="W574" s="33"/>
      <c r="X574" s="33"/>
    </row>
    <row r="575" spans="1:24" ht="12.75" customHeight="1" x14ac:dyDescent="0.2">
      <c r="A575" s="33"/>
      <c r="B575" s="33"/>
      <c r="C575" s="84"/>
      <c r="D575" s="84"/>
      <c r="E575" s="69"/>
      <c r="F575" s="69"/>
      <c r="G575" s="76"/>
      <c r="H575" s="76"/>
      <c r="I575" s="33"/>
      <c r="J575" s="33"/>
      <c r="K575" s="33"/>
      <c r="L575" s="33"/>
      <c r="M575" s="33"/>
      <c r="N575" s="33"/>
      <c r="O575" s="33"/>
      <c r="P575" s="33"/>
      <c r="Q575" s="33"/>
      <c r="R575" s="33"/>
      <c r="S575" s="33"/>
      <c r="T575" s="33"/>
      <c r="U575" s="33"/>
      <c r="V575" s="33"/>
      <c r="W575" s="33"/>
      <c r="X575" s="33"/>
    </row>
    <row r="576" spans="1:24" ht="12.75" customHeight="1" x14ac:dyDescent="0.2">
      <c r="A576" s="33"/>
      <c r="B576" s="33"/>
      <c r="C576" s="84"/>
      <c r="D576" s="84"/>
      <c r="E576" s="69"/>
      <c r="F576" s="69"/>
      <c r="G576" s="76"/>
      <c r="H576" s="76"/>
      <c r="I576" s="33"/>
      <c r="J576" s="33"/>
      <c r="K576" s="33"/>
      <c r="L576" s="33"/>
      <c r="M576" s="33"/>
      <c r="N576" s="33"/>
      <c r="O576" s="33"/>
      <c r="P576" s="33"/>
      <c r="Q576" s="33"/>
      <c r="R576" s="33"/>
      <c r="S576" s="33"/>
      <c r="T576" s="33"/>
      <c r="U576" s="33"/>
      <c r="V576" s="33"/>
      <c r="W576" s="33"/>
      <c r="X576" s="33"/>
    </row>
    <row r="577" spans="1:24" ht="12.75" customHeight="1" x14ac:dyDescent="0.2">
      <c r="A577" s="33"/>
      <c r="B577" s="33"/>
      <c r="C577" s="84"/>
      <c r="D577" s="84"/>
      <c r="E577" s="69"/>
      <c r="F577" s="69"/>
      <c r="G577" s="76"/>
      <c r="H577" s="76"/>
      <c r="I577" s="33"/>
      <c r="J577" s="33"/>
      <c r="K577" s="33"/>
      <c r="L577" s="33"/>
      <c r="M577" s="33"/>
      <c r="N577" s="33"/>
      <c r="O577" s="33"/>
      <c r="P577" s="33"/>
      <c r="Q577" s="33"/>
      <c r="R577" s="33"/>
      <c r="S577" s="33"/>
      <c r="T577" s="33"/>
      <c r="U577" s="33"/>
      <c r="V577" s="33"/>
      <c r="W577" s="33"/>
      <c r="X577" s="33"/>
    </row>
    <row r="578" spans="1:24" ht="12.75" customHeight="1" x14ac:dyDescent="0.2">
      <c r="A578" s="33"/>
      <c r="B578" s="33"/>
      <c r="C578" s="84"/>
      <c r="D578" s="84"/>
      <c r="E578" s="69"/>
      <c r="F578" s="69"/>
      <c r="G578" s="76"/>
      <c r="H578" s="76"/>
      <c r="I578" s="33"/>
      <c r="J578" s="33"/>
      <c r="K578" s="33"/>
      <c r="L578" s="33"/>
      <c r="M578" s="33"/>
      <c r="N578" s="33"/>
      <c r="O578" s="33"/>
      <c r="P578" s="33"/>
      <c r="Q578" s="33"/>
      <c r="R578" s="33"/>
      <c r="S578" s="33"/>
      <c r="T578" s="33"/>
      <c r="U578" s="33"/>
      <c r="V578" s="33"/>
      <c r="W578" s="33"/>
      <c r="X578" s="33"/>
    </row>
    <row r="579" spans="1:24" ht="12.75" customHeight="1" x14ac:dyDescent="0.2">
      <c r="A579" s="33"/>
      <c r="B579" s="33"/>
      <c r="C579" s="84"/>
      <c r="D579" s="84"/>
      <c r="E579" s="69"/>
      <c r="F579" s="69"/>
      <c r="G579" s="76"/>
      <c r="H579" s="76"/>
      <c r="I579" s="33"/>
      <c r="J579" s="33"/>
      <c r="K579" s="33"/>
      <c r="L579" s="33"/>
      <c r="M579" s="33"/>
      <c r="N579" s="33"/>
      <c r="O579" s="33"/>
      <c r="P579" s="33"/>
      <c r="Q579" s="33"/>
      <c r="R579" s="33"/>
      <c r="S579" s="33"/>
      <c r="T579" s="33"/>
      <c r="U579" s="33"/>
      <c r="V579" s="33"/>
      <c r="W579" s="33"/>
      <c r="X579" s="33"/>
    </row>
    <row r="580" spans="1:24" ht="12.75" customHeight="1" x14ac:dyDescent="0.2">
      <c r="A580" s="33"/>
      <c r="B580" s="33"/>
      <c r="C580" s="84"/>
      <c r="D580" s="84"/>
      <c r="E580" s="69"/>
      <c r="F580" s="69"/>
      <c r="G580" s="76"/>
      <c r="H580" s="76"/>
      <c r="I580" s="33"/>
      <c r="J580" s="33"/>
      <c r="K580" s="33"/>
      <c r="L580" s="33"/>
      <c r="M580" s="33"/>
      <c r="N580" s="33"/>
      <c r="O580" s="33"/>
      <c r="P580" s="33"/>
      <c r="Q580" s="33"/>
      <c r="R580" s="33"/>
      <c r="S580" s="33"/>
      <c r="T580" s="33"/>
      <c r="U580" s="33"/>
      <c r="V580" s="33"/>
      <c r="W580" s="33"/>
      <c r="X580" s="33"/>
    </row>
    <row r="581" spans="1:24" ht="12.75" customHeight="1" x14ac:dyDescent="0.2">
      <c r="A581" s="33"/>
      <c r="B581" s="33"/>
      <c r="C581" s="84"/>
      <c r="D581" s="84"/>
      <c r="E581" s="69"/>
      <c r="F581" s="69"/>
      <c r="G581" s="76"/>
      <c r="H581" s="76"/>
      <c r="I581" s="33"/>
      <c r="J581" s="33"/>
      <c r="K581" s="33"/>
      <c r="L581" s="33"/>
      <c r="M581" s="33"/>
      <c r="N581" s="33"/>
      <c r="O581" s="33"/>
      <c r="P581" s="33"/>
      <c r="Q581" s="33"/>
      <c r="R581" s="33"/>
      <c r="S581" s="33"/>
      <c r="T581" s="33"/>
      <c r="U581" s="33"/>
      <c r="V581" s="33"/>
      <c r="W581" s="33"/>
      <c r="X581" s="33"/>
    </row>
    <row r="582" spans="1:24" ht="12.75" customHeight="1" x14ac:dyDescent="0.2">
      <c r="A582" s="33"/>
      <c r="B582" s="33"/>
      <c r="C582" s="84"/>
      <c r="D582" s="84"/>
      <c r="E582" s="69"/>
      <c r="F582" s="69"/>
      <c r="G582" s="76"/>
      <c r="H582" s="76"/>
      <c r="I582" s="33"/>
      <c r="J582" s="33"/>
      <c r="K582" s="33"/>
      <c r="L582" s="33"/>
      <c r="M582" s="33"/>
      <c r="N582" s="33"/>
      <c r="O582" s="33"/>
      <c r="P582" s="33"/>
      <c r="Q582" s="33"/>
      <c r="R582" s="33"/>
      <c r="S582" s="33"/>
      <c r="T582" s="33"/>
      <c r="U582" s="33"/>
      <c r="V582" s="33"/>
      <c r="W582" s="33"/>
      <c r="X582" s="33"/>
    </row>
    <row r="583" spans="1:24" ht="12.75" customHeight="1" x14ac:dyDescent="0.2">
      <c r="A583" s="33"/>
      <c r="B583" s="33"/>
      <c r="C583" s="84"/>
      <c r="D583" s="84"/>
      <c r="E583" s="69"/>
      <c r="F583" s="69"/>
      <c r="G583" s="76"/>
      <c r="H583" s="76"/>
      <c r="I583" s="33"/>
      <c r="J583" s="33"/>
      <c r="K583" s="33"/>
      <c r="L583" s="33"/>
      <c r="M583" s="33"/>
      <c r="N583" s="33"/>
      <c r="O583" s="33"/>
      <c r="P583" s="33"/>
      <c r="Q583" s="33"/>
      <c r="R583" s="33"/>
      <c r="S583" s="33"/>
      <c r="T583" s="33"/>
      <c r="U583" s="33"/>
      <c r="V583" s="33"/>
      <c r="W583" s="33"/>
      <c r="X583" s="33"/>
    </row>
    <row r="584" spans="1:24" ht="12.75" customHeight="1" x14ac:dyDescent="0.2">
      <c r="A584" s="33"/>
      <c r="B584" s="33"/>
      <c r="C584" s="84"/>
      <c r="D584" s="84"/>
      <c r="E584" s="69"/>
      <c r="F584" s="69"/>
      <c r="G584" s="76"/>
      <c r="H584" s="76"/>
      <c r="I584" s="33"/>
      <c r="J584" s="33"/>
      <c r="K584" s="33"/>
      <c r="L584" s="33"/>
      <c r="M584" s="33"/>
      <c r="N584" s="33"/>
      <c r="O584" s="33"/>
      <c r="P584" s="33"/>
      <c r="Q584" s="33"/>
      <c r="R584" s="33"/>
      <c r="S584" s="33"/>
      <c r="T584" s="33"/>
      <c r="U584" s="33"/>
      <c r="V584" s="33"/>
      <c r="W584" s="33"/>
      <c r="X584" s="33"/>
    </row>
    <row r="585" spans="1:24" ht="12.75" customHeight="1" x14ac:dyDescent="0.2">
      <c r="A585" s="33"/>
      <c r="B585" s="33"/>
      <c r="C585" s="84"/>
      <c r="D585" s="84"/>
      <c r="E585" s="69"/>
      <c r="F585" s="69"/>
      <c r="G585" s="76"/>
      <c r="H585" s="76"/>
      <c r="I585" s="33"/>
      <c r="J585" s="33"/>
      <c r="K585" s="33"/>
      <c r="L585" s="33"/>
      <c r="M585" s="33"/>
      <c r="N585" s="33"/>
      <c r="O585" s="33"/>
      <c r="P585" s="33"/>
      <c r="Q585" s="33"/>
      <c r="R585" s="33"/>
      <c r="S585" s="33"/>
      <c r="T585" s="33"/>
      <c r="U585" s="33"/>
      <c r="V585" s="33"/>
      <c r="W585" s="33"/>
      <c r="X585" s="33"/>
    </row>
    <row r="586" spans="1:24" ht="12.75" customHeight="1" x14ac:dyDescent="0.2">
      <c r="A586" s="33"/>
      <c r="B586" s="33"/>
      <c r="C586" s="84"/>
      <c r="D586" s="84"/>
      <c r="E586" s="69"/>
      <c r="F586" s="69"/>
      <c r="G586" s="76"/>
      <c r="H586" s="76"/>
      <c r="I586" s="33"/>
      <c r="J586" s="33"/>
      <c r="K586" s="33"/>
      <c r="L586" s="33"/>
      <c r="M586" s="33"/>
      <c r="N586" s="33"/>
      <c r="O586" s="33"/>
      <c r="P586" s="33"/>
      <c r="Q586" s="33"/>
      <c r="R586" s="33"/>
      <c r="S586" s="33"/>
      <c r="T586" s="33"/>
      <c r="U586" s="33"/>
      <c r="V586" s="33"/>
      <c r="W586" s="33"/>
      <c r="X586" s="33"/>
    </row>
    <row r="587" spans="1:24" ht="12.75" customHeight="1" x14ac:dyDescent="0.2">
      <c r="A587" s="33"/>
      <c r="B587" s="33"/>
      <c r="C587" s="84"/>
      <c r="D587" s="84"/>
      <c r="E587" s="69"/>
      <c r="F587" s="69"/>
      <c r="G587" s="76"/>
      <c r="H587" s="76"/>
      <c r="I587" s="33"/>
      <c r="J587" s="33"/>
      <c r="K587" s="33"/>
      <c r="L587" s="33"/>
      <c r="M587" s="33"/>
      <c r="N587" s="33"/>
      <c r="O587" s="33"/>
      <c r="P587" s="33"/>
      <c r="Q587" s="33"/>
      <c r="R587" s="33"/>
      <c r="S587" s="33"/>
      <c r="T587" s="33"/>
      <c r="U587" s="33"/>
      <c r="V587" s="33"/>
      <c r="W587" s="33"/>
      <c r="X587" s="33"/>
    </row>
    <row r="588" spans="1:24" ht="12.75" customHeight="1" x14ac:dyDescent="0.2">
      <c r="A588" s="33"/>
      <c r="B588" s="33"/>
      <c r="C588" s="84"/>
      <c r="D588" s="84"/>
      <c r="E588" s="69"/>
      <c r="F588" s="69"/>
      <c r="G588" s="76"/>
      <c r="H588" s="76"/>
      <c r="I588" s="33"/>
      <c r="J588" s="33"/>
      <c r="K588" s="33"/>
      <c r="L588" s="33"/>
      <c r="M588" s="33"/>
      <c r="N588" s="33"/>
      <c r="O588" s="33"/>
      <c r="P588" s="33"/>
      <c r="Q588" s="33"/>
      <c r="R588" s="33"/>
      <c r="S588" s="33"/>
      <c r="T588" s="33"/>
      <c r="U588" s="33"/>
      <c r="V588" s="33"/>
      <c r="W588" s="33"/>
      <c r="X588" s="33"/>
    </row>
    <row r="589" spans="1:24" ht="12.75" customHeight="1" x14ac:dyDescent="0.2">
      <c r="A589" s="33"/>
      <c r="B589" s="33"/>
      <c r="C589" s="84"/>
      <c r="D589" s="84"/>
      <c r="E589" s="69"/>
      <c r="F589" s="69"/>
      <c r="G589" s="76"/>
      <c r="H589" s="76"/>
      <c r="I589" s="33"/>
      <c r="J589" s="33"/>
      <c r="K589" s="33"/>
      <c r="L589" s="33"/>
      <c r="M589" s="33"/>
      <c r="N589" s="33"/>
      <c r="O589" s="33"/>
      <c r="P589" s="33"/>
      <c r="Q589" s="33"/>
      <c r="R589" s="33"/>
      <c r="S589" s="33"/>
      <c r="T589" s="33"/>
      <c r="U589" s="33"/>
      <c r="V589" s="33"/>
      <c r="W589" s="33"/>
      <c r="X589" s="33"/>
    </row>
    <row r="590" spans="1:24" ht="12.75" customHeight="1" x14ac:dyDescent="0.2">
      <c r="A590" s="33"/>
      <c r="B590" s="33"/>
      <c r="C590" s="84"/>
      <c r="D590" s="84"/>
      <c r="E590" s="69"/>
      <c r="F590" s="69"/>
      <c r="G590" s="76"/>
      <c r="H590" s="76"/>
      <c r="I590" s="33"/>
      <c r="J590" s="33"/>
      <c r="K590" s="33"/>
      <c r="L590" s="33"/>
      <c r="M590" s="33"/>
      <c r="N590" s="33"/>
      <c r="O590" s="33"/>
      <c r="P590" s="33"/>
      <c r="Q590" s="33"/>
      <c r="R590" s="33"/>
      <c r="S590" s="33"/>
      <c r="T590" s="33"/>
      <c r="U590" s="33"/>
      <c r="V590" s="33"/>
      <c r="W590" s="33"/>
      <c r="X590" s="33"/>
    </row>
    <row r="591" spans="1:24" ht="12.75" customHeight="1" x14ac:dyDescent="0.2">
      <c r="A591" s="33"/>
      <c r="B591" s="33"/>
      <c r="C591" s="84"/>
      <c r="D591" s="84"/>
      <c r="E591" s="69"/>
      <c r="F591" s="69"/>
      <c r="G591" s="76"/>
      <c r="H591" s="76"/>
      <c r="I591" s="33"/>
      <c r="J591" s="33"/>
      <c r="K591" s="33"/>
      <c r="L591" s="33"/>
      <c r="M591" s="33"/>
      <c r="N591" s="33"/>
      <c r="O591" s="33"/>
      <c r="P591" s="33"/>
      <c r="Q591" s="33"/>
      <c r="R591" s="33"/>
      <c r="S591" s="33"/>
      <c r="T591" s="33"/>
      <c r="U591" s="33"/>
      <c r="V591" s="33"/>
      <c r="W591" s="33"/>
      <c r="X591" s="33"/>
    </row>
    <row r="592" spans="1:24" ht="12.75" customHeight="1" x14ac:dyDescent="0.2">
      <c r="A592" s="33"/>
      <c r="B592" s="33"/>
      <c r="C592" s="84"/>
      <c r="D592" s="84"/>
      <c r="E592" s="69"/>
      <c r="F592" s="69"/>
      <c r="G592" s="76"/>
      <c r="H592" s="76"/>
      <c r="I592" s="33"/>
      <c r="J592" s="33"/>
      <c r="K592" s="33"/>
      <c r="L592" s="33"/>
      <c r="M592" s="33"/>
      <c r="N592" s="33"/>
      <c r="O592" s="33"/>
      <c r="P592" s="33"/>
      <c r="Q592" s="33"/>
      <c r="R592" s="33"/>
      <c r="S592" s="33"/>
      <c r="T592" s="33"/>
      <c r="U592" s="33"/>
      <c r="V592" s="33"/>
      <c r="W592" s="33"/>
      <c r="X592" s="33"/>
    </row>
    <row r="593" spans="1:24" ht="12.75" customHeight="1" x14ac:dyDescent="0.2">
      <c r="A593" s="33"/>
      <c r="B593" s="33"/>
      <c r="C593" s="84"/>
      <c r="D593" s="84"/>
      <c r="E593" s="69"/>
      <c r="F593" s="69"/>
      <c r="G593" s="76"/>
      <c r="H593" s="76"/>
      <c r="I593" s="33"/>
      <c r="J593" s="33"/>
      <c r="K593" s="33"/>
      <c r="L593" s="33"/>
      <c r="M593" s="33"/>
      <c r="N593" s="33"/>
      <c r="O593" s="33"/>
      <c r="P593" s="33"/>
      <c r="Q593" s="33"/>
      <c r="R593" s="33"/>
      <c r="S593" s="33"/>
      <c r="T593" s="33"/>
      <c r="U593" s="33"/>
      <c r="V593" s="33"/>
      <c r="W593" s="33"/>
      <c r="X593" s="33"/>
    </row>
    <row r="594" spans="1:24" ht="12.75" customHeight="1" x14ac:dyDescent="0.2">
      <c r="A594" s="33"/>
      <c r="B594" s="33"/>
      <c r="C594" s="84"/>
      <c r="D594" s="84"/>
      <c r="E594" s="69"/>
      <c r="F594" s="69"/>
      <c r="G594" s="76"/>
      <c r="H594" s="76"/>
      <c r="I594" s="33"/>
      <c r="J594" s="33"/>
      <c r="K594" s="33"/>
      <c r="L594" s="33"/>
      <c r="M594" s="33"/>
      <c r="N594" s="33"/>
      <c r="O594" s="33"/>
      <c r="P594" s="33"/>
      <c r="Q594" s="33"/>
      <c r="R594" s="33"/>
      <c r="S594" s="33"/>
      <c r="T594" s="33"/>
      <c r="U594" s="33"/>
      <c r="V594" s="33"/>
      <c r="W594" s="33"/>
      <c r="X594" s="33"/>
    </row>
    <row r="595" spans="1:24" ht="12.75" customHeight="1" x14ac:dyDescent="0.2">
      <c r="A595" s="33"/>
      <c r="B595" s="33"/>
      <c r="C595" s="84"/>
      <c r="D595" s="84"/>
      <c r="E595" s="69"/>
      <c r="F595" s="69"/>
      <c r="G595" s="76"/>
      <c r="H595" s="76"/>
      <c r="I595" s="33"/>
      <c r="J595" s="33"/>
      <c r="K595" s="33"/>
      <c r="L595" s="33"/>
      <c r="M595" s="33"/>
      <c r="N595" s="33"/>
      <c r="O595" s="33"/>
      <c r="P595" s="33"/>
      <c r="Q595" s="33"/>
      <c r="R595" s="33"/>
      <c r="S595" s="33"/>
      <c r="T595" s="33"/>
      <c r="U595" s="33"/>
      <c r="V595" s="33"/>
      <c r="W595" s="33"/>
      <c r="X595" s="33"/>
    </row>
    <row r="596" spans="1:24" ht="12.75" customHeight="1" x14ac:dyDescent="0.2">
      <c r="A596" s="33"/>
      <c r="B596" s="33"/>
      <c r="C596" s="84"/>
      <c r="D596" s="84"/>
      <c r="E596" s="69"/>
      <c r="F596" s="69"/>
      <c r="G596" s="76"/>
      <c r="H596" s="76"/>
      <c r="I596" s="33"/>
      <c r="J596" s="33"/>
      <c r="K596" s="33"/>
      <c r="L596" s="33"/>
      <c r="M596" s="33"/>
      <c r="N596" s="33"/>
      <c r="O596" s="33"/>
      <c r="P596" s="33"/>
      <c r="Q596" s="33"/>
      <c r="R596" s="33"/>
      <c r="S596" s="33"/>
      <c r="T596" s="33"/>
      <c r="U596" s="33"/>
      <c r="V596" s="33"/>
      <c r="W596" s="33"/>
      <c r="X596" s="33"/>
    </row>
    <row r="597" spans="1:24" ht="12.75" customHeight="1" x14ac:dyDescent="0.2">
      <c r="A597" s="33"/>
      <c r="B597" s="33"/>
      <c r="C597" s="84"/>
      <c r="D597" s="84"/>
      <c r="E597" s="69"/>
      <c r="F597" s="69"/>
      <c r="G597" s="76"/>
      <c r="H597" s="76"/>
      <c r="I597" s="33"/>
      <c r="J597" s="33"/>
      <c r="K597" s="33"/>
      <c r="L597" s="33"/>
      <c r="M597" s="33"/>
      <c r="N597" s="33"/>
      <c r="O597" s="33"/>
      <c r="P597" s="33"/>
      <c r="Q597" s="33"/>
      <c r="R597" s="33"/>
      <c r="S597" s="33"/>
      <c r="T597" s="33"/>
      <c r="U597" s="33"/>
      <c r="V597" s="33"/>
      <c r="W597" s="33"/>
      <c r="X597" s="33"/>
    </row>
    <row r="598" spans="1:24" ht="12.75" customHeight="1" x14ac:dyDescent="0.2">
      <c r="A598" s="33"/>
      <c r="B598" s="33"/>
      <c r="C598" s="84"/>
      <c r="D598" s="84"/>
      <c r="E598" s="69"/>
      <c r="F598" s="69"/>
      <c r="G598" s="76"/>
      <c r="H598" s="76"/>
      <c r="I598" s="33"/>
      <c r="J598" s="33"/>
      <c r="K598" s="33"/>
      <c r="L598" s="33"/>
      <c r="M598" s="33"/>
      <c r="N598" s="33"/>
      <c r="O598" s="33"/>
      <c r="P598" s="33"/>
      <c r="Q598" s="33"/>
      <c r="R598" s="33"/>
      <c r="S598" s="33"/>
      <c r="T598" s="33"/>
      <c r="U598" s="33"/>
      <c r="V598" s="33"/>
      <c r="W598" s="33"/>
      <c r="X598" s="33"/>
    </row>
    <row r="599" spans="1:24" ht="12.75" customHeight="1" x14ac:dyDescent="0.2">
      <c r="A599" s="33"/>
      <c r="B599" s="33"/>
      <c r="C599" s="84"/>
      <c r="D599" s="84"/>
      <c r="E599" s="69"/>
      <c r="F599" s="69"/>
      <c r="G599" s="76"/>
      <c r="H599" s="76"/>
      <c r="I599" s="33"/>
      <c r="J599" s="33"/>
      <c r="K599" s="33"/>
      <c r="L599" s="33"/>
      <c r="M599" s="33"/>
      <c r="N599" s="33"/>
      <c r="O599" s="33"/>
      <c r="P599" s="33"/>
      <c r="Q599" s="33"/>
      <c r="R599" s="33"/>
      <c r="S599" s="33"/>
      <c r="T599" s="33"/>
      <c r="U599" s="33"/>
      <c r="V599" s="33"/>
      <c r="W599" s="33"/>
      <c r="X599" s="33"/>
    </row>
    <row r="600" spans="1:24" ht="12.75" customHeight="1" x14ac:dyDescent="0.2">
      <c r="A600" s="33"/>
      <c r="B600" s="33"/>
      <c r="C600" s="84"/>
      <c r="D600" s="84"/>
      <c r="E600" s="69"/>
      <c r="F600" s="69"/>
      <c r="G600" s="76"/>
      <c r="H600" s="76"/>
      <c r="I600" s="33"/>
      <c r="J600" s="33"/>
      <c r="K600" s="33"/>
      <c r="L600" s="33"/>
      <c r="M600" s="33"/>
      <c r="N600" s="33"/>
      <c r="O600" s="33"/>
      <c r="P600" s="33"/>
      <c r="Q600" s="33"/>
      <c r="R600" s="33"/>
      <c r="S600" s="33"/>
      <c r="T600" s="33"/>
      <c r="U600" s="33"/>
      <c r="V600" s="33"/>
      <c r="W600" s="33"/>
      <c r="X600" s="33"/>
    </row>
    <row r="601" spans="1:24" ht="12.75" customHeight="1" x14ac:dyDescent="0.2">
      <c r="A601" s="33"/>
      <c r="B601" s="33"/>
      <c r="C601" s="84"/>
      <c r="D601" s="84"/>
      <c r="E601" s="69"/>
      <c r="F601" s="69"/>
      <c r="G601" s="76"/>
      <c r="H601" s="76"/>
      <c r="I601" s="33"/>
      <c r="J601" s="33"/>
      <c r="K601" s="33"/>
      <c r="L601" s="33"/>
      <c r="M601" s="33"/>
      <c r="N601" s="33"/>
      <c r="O601" s="33"/>
      <c r="P601" s="33"/>
      <c r="Q601" s="33"/>
      <c r="R601" s="33"/>
      <c r="S601" s="33"/>
      <c r="T601" s="33"/>
      <c r="U601" s="33"/>
      <c r="V601" s="33"/>
      <c r="W601" s="33"/>
      <c r="X601" s="33"/>
    </row>
    <row r="602" spans="1:24" ht="12.75" customHeight="1" x14ac:dyDescent="0.2">
      <c r="A602" s="33"/>
      <c r="B602" s="33"/>
      <c r="C602" s="84"/>
      <c r="D602" s="84"/>
      <c r="E602" s="69"/>
      <c r="F602" s="69"/>
      <c r="G602" s="76"/>
      <c r="H602" s="76"/>
      <c r="I602" s="33"/>
      <c r="J602" s="33"/>
      <c r="K602" s="33"/>
      <c r="L602" s="33"/>
      <c r="M602" s="33"/>
      <c r="N602" s="33"/>
      <c r="O602" s="33"/>
      <c r="P602" s="33"/>
      <c r="Q602" s="33"/>
      <c r="R602" s="33"/>
      <c r="S602" s="33"/>
      <c r="T602" s="33"/>
      <c r="U602" s="33"/>
      <c r="V602" s="33"/>
      <c r="W602" s="33"/>
      <c r="X602" s="33"/>
    </row>
    <row r="603" spans="1:24" ht="12.75" customHeight="1" x14ac:dyDescent="0.2">
      <c r="A603" s="33"/>
      <c r="B603" s="33"/>
      <c r="C603" s="84"/>
      <c r="D603" s="84"/>
      <c r="E603" s="69"/>
      <c r="F603" s="69"/>
      <c r="G603" s="76"/>
      <c r="H603" s="76"/>
      <c r="I603" s="33"/>
      <c r="J603" s="33"/>
      <c r="K603" s="33"/>
      <c r="L603" s="33"/>
      <c r="M603" s="33"/>
      <c r="N603" s="33"/>
      <c r="O603" s="33"/>
      <c r="P603" s="33"/>
      <c r="Q603" s="33"/>
      <c r="R603" s="33"/>
      <c r="S603" s="33"/>
      <c r="T603" s="33"/>
      <c r="U603" s="33"/>
      <c r="V603" s="33"/>
      <c r="W603" s="33"/>
      <c r="X603" s="33"/>
    </row>
    <row r="604" spans="1:24" ht="12.75" customHeight="1" x14ac:dyDescent="0.2">
      <c r="A604" s="33"/>
      <c r="B604" s="33"/>
      <c r="C604" s="84"/>
      <c r="D604" s="84"/>
      <c r="E604" s="69"/>
      <c r="F604" s="69"/>
      <c r="G604" s="76"/>
      <c r="H604" s="76"/>
      <c r="I604" s="33"/>
      <c r="J604" s="33"/>
      <c r="K604" s="33"/>
      <c r="L604" s="33"/>
      <c r="M604" s="33"/>
      <c r="N604" s="33"/>
      <c r="O604" s="33"/>
      <c r="P604" s="33"/>
      <c r="Q604" s="33"/>
      <c r="R604" s="33"/>
      <c r="S604" s="33"/>
      <c r="T604" s="33"/>
      <c r="U604" s="33"/>
      <c r="V604" s="33"/>
      <c r="W604" s="33"/>
      <c r="X604" s="33"/>
    </row>
    <row r="605" spans="1:24" ht="12.75" customHeight="1" x14ac:dyDescent="0.2">
      <c r="A605" s="33"/>
      <c r="B605" s="33"/>
      <c r="C605" s="84"/>
      <c r="D605" s="84"/>
      <c r="E605" s="69"/>
      <c r="F605" s="69"/>
      <c r="G605" s="76"/>
      <c r="H605" s="76"/>
      <c r="I605" s="33"/>
      <c r="J605" s="33"/>
      <c r="K605" s="33"/>
      <c r="L605" s="33"/>
      <c r="M605" s="33"/>
      <c r="N605" s="33"/>
      <c r="O605" s="33"/>
      <c r="P605" s="33"/>
      <c r="Q605" s="33"/>
      <c r="R605" s="33"/>
      <c r="S605" s="33"/>
      <c r="T605" s="33"/>
      <c r="U605" s="33"/>
      <c r="V605" s="33"/>
      <c r="W605" s="33"/>
      <c r="X605" s="33"/>
    </row>
    <row r="606" spans="1:24" ht="12.75" customHeight="1" x14ac:dyDescent="0.2">
      <c r="A606" s="33"/>
      <c r="B606" s="33"/>
      <c r="C606" s="84"/>
      <c r="D606" s="84"/>
      <c r="E606" s="69"/>
      <c r="F606" s="69"/>
      <c r="G606" s="76"/>
      <c r="H606" s="76"/>
      <c r="I606" s="33"/>
      <c r="J606" s="33"/>
      <c r="K606" s="33"/>
      <c r="L606" s="33"/>
      <c r="M606" s="33"/>
      <c r="N606" s="33"/>
      <c r="O606" s="33"/>
      <c r="P606" s="33"/>
      <c r="Q606" s="33"/>
      <c r="R606" s="33"/>
      <c r="S606" s="33"/>
      <c r="T606" s="33"/>
      <c r="U606" s="33"/>
      <c r="V606" s="33"/>
      <c r="W606" s="33"/>
      <c r="X606" s="33"/>
    </row>
    <row r="607" spans="1:24" ht="12.75" customHeight="1" x14ac:dyDescent="0.2">
      <c r="A607" s="33"/>
      <c r="B607" s="33"/>
      <c r="C607" s="84"/>
      <c r="D607" s="84"/>
      <c r="E607" s="69"/>
      <c r="F607" s="69"/>
      <c r="G607" s="76"/>
      <c r="H607" s="76"/>
      <c r="I607" s="33"/>
      <c r="J607" s="33"/>
      <c r="K607" s="33"/>
      <c r="L607" s="33"/>
      <c r="M607" s="33"/>
      <c r="N607" s="33"/>
      <c r="O607" s="33"/>
      <c r="P607" s="33"/>
      <c r="Q607" s="33"/>
      <c r="R607" s="33"/>
      <c r="S607" s="33"/>
      <c r="T607" s="33"/>
      <c r="U607" s="33"/>
      <c r="V607" s="33"/>
      <c r="W607" s="33"/>
      <c r="X607" s="33"/>
    </row>
    <row r="608" spans="1:24" ht="12.75" customHeight="1" x14ac:dyDescent="0.2">
      <c r="A608" s="33"/>
      <c r="B608" s="33"/>
      <c r="C608" s="84"/>
      <c r="D608" s="84"/>
      <c r="E608" s="69"/>
      <c r="F608" s="69"/>
      <c r="G608" s="76"/>
      <c r="H608" s="76"/>
      <c r="I608" s="33"/>
      <c r="J608" s="33"/>
      <c r="K608" s="33"/>
      <c r="L608" s="33"/>
      <c r="M608" s="33"/>
      <c r="N608" s="33"/>
      <c r="O608" s="33"/>
      <c r="P608" s="33"/>
      <c r="Q608" s="33"/>
      <c r="R608" s="33"/>
      <c r="S608" s="33"/>
      <c r="T608" s="33"/>
      <c r="U608" s="33"/>
      <c r="V608" s="33"/>
      <c r="W608" s="33"/>
      <c r="X608" s="33"/>
    </row>
    <row r="609" spans="1:24" ht="12.75" customHeight="1" x14ac:dyDescent="0.2">
      <c r="A609" s="33"/>
      <c r="B609" s="33"/>
      <c r="C609" s="84"/>
      <c r="D609" s="84"/>
      <c r="E609" s="69"/>
      <c r="F609" s="69"/>
      <c r="G609" s="76"/>
      <c r="H609" s="76"/>
      <c r="I609" s="33"/>
      <c r="J609" s="33"/>
      <c r="K609" s="33"/>
      <c r="L609" s="33"/>
      <c r="M609" s="33"/>
      <c r="N609" s="33"/>
      <c r="O609" s="33"/>
      <c r="P609" s="33"/>
      <c r="Q609" s="33"/>
      <c r="R609" s="33"/>
      <c r="S609" s="33"/>
      <c r="T609" s="33"/>
      <c r="U609" s="33"/>
      <c r="V609" s="33"/>
      <c r="W609" s="33"/>
      <c r="X609" s="33"/>
    </row>
    <row r="610" spans="1:24" ht="12.75" customHeight="1" x14ac:dyDescent="0.2">
      <c r="A610" s="33"/>
      <c r="B610" s="33"/>
      <c r="C610" s="84"/>
      <c r="D610" s="84"/>
      <c r="E610" s="69"/>
      <c r="F610" s="69"/>
      <c r="G610" s="76"/>
      <c r="H610" s="76"/>
      <c r="I610" s="33"/>
      <c r="J610" s="33"/>
      <c r="K610" s="33"/>
      <c r="L610" s="33"/>
      <c r="M610" s="33"/>
      <c r="N610" s="33"/>
      <c r="O610" s="33"/>
      <c r="P610" s="33"/>
      <c r="Q610" s="33"/>
      <c r="R610" s="33"/>
      <c r="S610" s="33"/>
      <c r="T610" s="33"/>
      <c r="U610" s="33"/>
      <c r="V610" s="33"/>
      <c r="W610" s="33"/>
      <c r="X610" s="33"/>
    </row>
    <row r="611" spans="1:24" ht="12.75" customHeight="1" x14ac:dyDescent="0.2">
      <c r="A611" s="33"/>
      <c r="B611" s="33"/>
      <c r="C611" s="84"/>
      <c r="D611" s="84"/>
      <c r="E611" s="69"/>
      <c r="F611" s="69"/>
      <c r="G611" s="76"/>
      <c r="H611" s="76"/>
      <c r="I611" s="33"/>
      <c r="J611" s="33"/>
      <c r="K611" s="33"/>
      <c r="L611" s="33"/>
      <c r="M611" s="33"/>
      <c r="N611" s="33"/>
      <c r="O611" s="33"/>
      <c r="P611" s="33"/>
      <c r="Q611" s="33"/>
      <c r="R611" s="33"/>
      <c r="S611" s="33"/>
      <c r="T611" s="33"/>
      <c r="U611" s="33"/>
      <c r="V611" s="33"/>
      <c r="W611" s="33"/>
      <c r="X611" s="33"/>
    </row>
    <row r="612" spans="1:24" ht="12.75" customHeight="1" x14ac:dyDescent="0.2">
      <c r="A612" s="33"/>
      <c r="B612" s="33"/>
      <c r="C612" s="84"/>
      <c r="D612" s="84"/>
      <c r="E612" s="69"/>
      <c r="F612" s="69"/>
      <c r="G612" s="76"/>
      <c r="H612" s="76"/>
      <c r="I612" s="33"/>
      <c r="J612" s="33"/>
      <c r="K612" s="33"/>
      <c r="L612" s="33"/>
      <c r="M612" s="33"/>
      <c r="N612" s="33"/>
      <c r="O612" s="33"/>
      <c r="P612" s="33"/>
      <c r="Q612" s="33"/>
      <c r="R612" s="33"/>
      <c r="S612" s="33"/>
      <c r="T612" s="33"/>
      <c r="U612" s="33"/>
      <c r="V612" s="33"/>
      <c r="W612" s="33"/>
      <c r="X612" s="33"/>
    </row>
    <row r="613" spans="1:24" ht="12.75" customHeight="1" x14ac:dyDescent="0.2">
      <c r="A613" s="33"/>
      <c r="B613" s="33"/>
      <c r="C613" s="84"/>
      <c r="D613" s="84"/>
      <c r="E613" s="69"/>
      <c r="F613" s="69"/>
      <c r="G613" s="76"/>
      <c r="H613" s="76"/>
      <c r="I613" s="33"/>
      <c r="J613" s="33"/>
      <c r="K613" s="33"/>
      <c r="L613" s="33"/>
      <c r="M613" s="33"/>
      <c r="N613" s="33"/>
      <c r="O613" s="33"/>
      <c r="P613" s="33"/>
      <c r="Q613" s="33"/>
      <c r="R613" s="33"/>
      <c r="S613" s="33"/>
      <c r="T613" s="33"/>
      <c r="U613" s="33"/>
      <c r="V613" s="33"/>
      <c r="W613" s="33"/>
      <c r="X613" s="33"/>
    </row>
    <row r="614" spans="1:24" ht="12.75" customHeight="1" x14ac:dyDescent="0.2">
      <c r="A614" s="33"/>
      <c r="B614" s="33"/>
      <c r="C614" s="84"/>
      <c r="D614" s="84"/>
      <c r="E614" s="69"/>
      <c r="F614" s="69"/>
      <c r="G614" s="76"/>
      <c r="H614" s="76"/>
      <c r="I614" s="33"/>
      <c r="J614" s="33"/>
      <c r="K614" s="33"/>
      <c r="L614" s="33"/>
      <c r="M614" s="33"/>
      <c r="N614" s="33"/>
      <c r="O614" s="33"/>
      <c r="P614" s="33"/>
      <c r="Q614" s="33"/>
      <c r="R614" s="33"/>
      <c r="S614" s="33"/>
      <c r="T614" s="33"/>
      <c r="U614" s="33"/>
      <c r="V614" s="33"/>
      <c r="W614" s="33"/>
      <c r="X614" s="33"/>
    </row>
    <row r="615" spans="1:24" ht="12.75" customHeight="1" x14ac:dyDescent="0.2">
      <c r="A615" s="33"/>
      <c r="B615" s="33"/>
      <c r="C615" s="84"/>
      <c r="D615" s="84"/>
      <c r="E615" s="69"/>
      <c r="F615" s="69"/>
      <c r="G615" s="76"/>
      <c r="H615" s="76"/>
      <c r="I615" s="33"/>
      <c r="J615" s="33"/>
      <c r="K615" s="33"/>
      <c r="L615" s="33"/>
      <c r="M615" s="33"/>
      <c r="N615" s="33"/>
      <c r="O615" s="33"/>
      <c r="P615" s="33"/>
      <c r="Q615" s="33"/>
      <c r="R615" s="33"/>
      <c r="S615" s="33"/>
      <c r="T615" s="33"/>
      <c r="U615" s="33"/>
      <c r="V615" s="33"/>
      <c r="W615" s="33"/>
      <c r="X615" s="33"/>
    </row>
    <row r="616" spans="1:24" ht="12.75" customHeight="1" x14ac:dyDescent="0.2">
      <c r="A616" s="33"/>
      <c r="B616" s="33"/>
      <c r="C616" s="84"/>
      <c r="D616" s="84"/>
      <c r="E616" s="69"/>
      <c r="F616" s="69"/>
      <c r="G616" s="76"/>
      <c r="H616" s="76"/>
      <c r="I616" s="33"/>
      <c r="J616" s="33"/>
      <c r="K616" s="33"/>
      <c r="L616" s="33"/>
      <c r="M616" s="33"/>
      <c r="N616" s="33"/>
      <c r="O616" s="33"/>
      <c r="P616" s="33"/>
      <c r="Q616" s="33"/>
      <c r="R616" s="33"/>
      <c r="S616" s="33"/>
      <c r="T616" s="33"/>
      <c r="U616" s="33"/>
      <c r="V616" s="33"/>
      <c r="W616" s="33"/>
      <c r="X616" s="33"/>
    </row>
    <row r="617" spans="1:24" ht="12.75" customHeight="1" x14ac:dyDescent="0.2">
      <c r="A617" s="33"/>
      <c r="B617" s="33"/>
      <c r="C617" s="84"/>
      <c r="D617" s="84"/>
      <c r="E617" s="69"/>
      <c r="F617" s="69"/>
      <c r="G617" s="76"/>
      <c r="H617" s="76"/>
      <c r="I617" s="33"/>
      <c r="J617" s="33"/>
      <c r="K617" s="33"/>
      <c r="L617" s="33"/>
      <c r="M617" s="33"/>
      <c r="N617" s="33"/>
      <c r="O617" s="33"/>
      <c r="P617" s="33"/>
      <c r="Q617" s="33"/>
      <c r="R617" s="33"/>
      <c r="S617" s="33"/>
      <c r="T617" s="33"/>
      <c r="U617" s="33"/>
      <c r="V617" s="33"/>
      <c r="W617" s="33"/>
      <c r="X617" s="33"/>
    </row>
    <row r="618" spans="1:24" ht="12.75" customHeight="1" x14ac:dyDescent="0.2">
      <c r="A618" s="33"/>
      <c r="B618" s="33"/>
      <c r="C618" s="84"/>
      <c r="D618" s="84"/>
      <c r="E618" s="69"/>
      <c r="F618" s="69"/>
      <c r="G618" s="76"/>
      <c r="H618" s="76"/>
      <c r="I618" s="33"/>
      <c r="J618" s="33"/>
      <c r="K618" s="33"/>
      <c r="L618" s="33"/>
      <c r="M618" s="33"/>
      <c r="N618" s="33"/>
      <c r="O618" s="33"/>
      <c r="P618" s="33"/>
      <c r="Q618" s="33"/>
      <c r="R618" s="33"/>
      <c r="S618" s="33"/>
      <c r="T618" s="33"/>
      <c r="U618" s="33"/>
      <c r="V618" s="33"/>
      <c r="W618" s="33"/>
      <c r="X618" s="33"/>
    </row>
    <row r="619" spans="1:24" ht="12.75" customHeight="1" x14ac:dyDescent="0.2">
      <c r="A619" s="33"/>
      <c r="B619" s="33"/>
      <c r="C619" s="84"/>
      <c r="D619" s="84"/>
      <c r="E619" s="69"/>
      <c r="F619" s="69"/>
      <c r="G619" s="76"/>
      <c r="H619" s="76"/>
      <c r="I619" s="33"/>
      <c r="J619" s="33"/>
      <c r="K619" s="33"/>
      <c r="L619" s="33"/>
      <c r="M619" s="33"/>
      <c r="N619" s="33"/>
      <c r="O619" s="33"/>
      <c r="P619" s="33"/>
      <c r="Q619" s="33"/>
      <c r="R619" s="33"/>
      <c r="S619" s="33"/>
      <c r="T619" s="33"/>
      <c r="U619" s="33"/>
      <c r="V619" s="33"/>
      <c r="W619" s="33"/>
      <c r="X619" s="33"/>
    </row>
    <row r="620" spans="1:24" ht="12.75" customHeight="1" x14ac:dyDescent="0.2">
      <c r="A620" s="33"/>
      <c r="B620" s="33"/>
      <c r="C620" s="84"/>
      <c r="D620" s="84"/>
      <c r="E620" s="69"/>
      <c r="F620" s="69"/>
      <c r="G620" s="76"/>
      <c r="H620" s="76"/>
      <c r="I620" s="33"/>
      <c r="J620" s="33"/>
      <c r="K620" s="33"/>
      <c r="L620" s="33"/>
      <c r="M620" s="33"/>
      <c r="N620" s="33"/>
      <c r="O620" s="33"/>
      <c r="P620" s="33"/>
      <c r="Q620" s="33"/>
      <c r="R620" s="33"/>
      <c r="S620" s="33"/>
      <c r="T620" s="33"/>
      <c r="U620" s="33"/>
      <c r="V620" s="33"/>
      <c r="W620" s="33"/>
      <c r="X620" s="33"/>
    </row>
    <row r="621" spans="1:24" ht="12.75" customHeight="1" x14ac:dyDescent="0.2">
      <c r="A621" s="33"/>
      <c r="B621" s="33"/>
      <c r="C621" s="84"/>
      <c r="D621" s="84"/>
      <c r="E621" s="69"/>
      <c r="F621" s="69"/>
      <c r="G621" s="76"/>
      <c r="H621" s="76"/>
      <c r="I621" s="33"/>
      <c r="J621" s="33"/>
      <c r="K621" s="33"/>
      <c r="L621" s="33"/>
      <c r="M621" s="33"/>
      <c r="N621" s="33"/>
      <c r="O621" s="33"/>
      <c r="P621" s="33"/>
      <c r="Q621" s="33"/>
      <c r="R621" s="33"/>
      <c r="S621" s="33"/>
      <c r="T621" s="33"/>
      <c r="U621" s="33"/>
      <c r="V621" s="33"/>
      <c r="W621" s="33"/>
      <c r="X621" s="33"/>
    </row>
    <row r="622" spans="1:24" ht="12.75" customHeight="1" x14ac:dyDescent="0.2">
      <c r="A622" s="33"/>
      <c r="B622" s="33"/>
      <c r="C622" s="84"/>
      <c r="D622" s="84"/>
      <c r="E622" s="69"/>
      <c r="F622" s="69"/>
      <c r="G622" s="76"/>
      <c r="H622" s="76"/>
      <c r="I622" s="33"/>
      <c r="J622" s="33"/>
      <c r="K622" s="33"/>
      <c r="L622" s="33"/>
      <c r="M622" s="33"/>
      <c r="N622" s="33"/>
      <c r="O622" s="33"/>
      <c r="P622" s="33"/>
      <c r="Q622" s="33"/>
      <c r="R622" s="33"/>
      <c r="S622" s="33"/>
      <c r="T622" s="33"/>
      <c r="U622" s="33"/>
      <c r="V622" s="33"/>
      <c r="W622" s="33"/>
      <c r="X622" s="33"/>
    </row>
    <row r="623" spans="1:24" ht="12.75" customHeight="1" x14ac:dyDescent="0.2">
      <c r="A623" s="33"/>
      <c r="B623" s="33"/>
      <c r="C623" s="84"/>
      <c r="D623" s="84"/>
      <c r="E623" s="69"/>
      <c r="F623" s="69"/>
      <c r="G623" s="76"/>
      <c r="H623" s="76"/>
      <c r="I623" s="33"/>
      <c r="J623" s="33"/>
      <c r="K623" s="33"/>
      <c r="L623" s="33"/>
      <c r="M623" s="33"/>
      <c r="N623" s="33"/>
      <c r="O623" s="33"/>
      <c r="P623" s="33"/>
      <c r="Q623" s="33"/>
      <c r="R623" s="33"/>
      <c r="S623" s="33"/>
      <c r="T623" s="33"/>
      <c r="U623" s="33"/>
      <c r="V623" s="33"/>
      <c r="W623" s="33"/>
      <c r="X623" s="33"/>
    </row>
    <row r="624" spans="1:24" ht="12.75" customHeight="1" x14ac:dyDescent="0.2">
      <c r="A624" s="33"/>
      <c r="B624" s="33"/>
      <c r="C624" s="84"/>
      <c r="D624" s="84"/>
      <c r="E624" s="69"/>
      <c r="F624" s="69"/>
      <c r="G624" s="76"/>
      <c r="H624" s="76"/>
      <c r="I624" s="33"/>
      <c r="J624" s="33"/>
      <c r="K624" s="33"/>
      <c r="L624" s="33"/>
      <c r="M624" s="33"/>
      <c r="N624" s="33"/>
      <c r="O624" s="33"/>
      <c r="P624" s="33"/>
      <c r="Q624" s="33"/>
      <c r="R624" s="33"/>
      <c r="S624" s="33"/>
      <c r="T624" s="33"/>
      <c r="U624" s="33"/>
      <c r="V624" s="33"/>
      <c r="W624" s="33"/>
      <c r="X624" s="33"/>
    </row>
    <row r="625" spans="1:24" ht="12.75" customHeight="1" x14ac:dyDescent="0.2">
      <c r="A625" s="33"/>
      <c r="B625" s="33"/>
      <c r="C625" s="84"/>
      <c r="D625" s="84"/>
      <c r="E625" s="69"/>
      <c r="F625" s="69"/>
      <c r="G625" s="76"/>
      <c r="H625" s="76"/>
      <c r="I625" s="33"/>
      <c r="J625" s="33"/>
      <c r="K625" s="33"/>
      <c r="L625" s="33"/>
      <c r="M625" s="33"/>
      <c r="N625" s="33"/>
      <c r="O625" s="33"/>
      <c r="P625" s="33"/>
      <c r="Q625" s="33"/>
      <c r="R625" s="33"/>
      <c r="S625" s="33"/>
      <c r="T625" s="33"/>
      <c r="U625" s="33"/>
      <c r="V625" s="33"/>
      <c r="W625" s="33"/>
      <c r="X625" s="33"/>
    </row>
    <row r="626" spans="1:24" ht="12.75" customHeight="1" x14ac:dyDescent="0.2">
      <c r="A626" s="33"/>
      <c r="B626" s="33"/>
      <c r="C626" s="84"/>
      <c r="D626" s="84"/>
      <c r="E626" s="69"/>
      <c r="F626" s="69"/>
      <c r="G626" s="76"/>
      <c r="H626" s="76"/>
      <c r="I626" s="33"/>
      <c r="J626" s="33"/>
      <c r="K626" s="33"/>
      <c r="L626" s="33"/>
      <c r="M626" s="33"/>
      <c r="N626" s="33"/>
      <c r="O626" s="33"/>
      <c r="P626" s="33"/>
      <c r="Q626" s="33"/>
      <c r="R626" s="33"/>
      <c r="S626" s="33"/>
      <c r="T626" s="33"/>
      <c r="U626" s="33"/>
      <c r="V626" s="33"/>
      <c r="W626" s="33"/>
      <c r="X626" s="33"/>
    </row>
    <row r="627" spans="1:24" ht="12.75" customHeight="1" x14ac:dyDescent="0.2">
      <c r="A627" s="33"/>
      <c r="B627" s="33"/>
      <c r="C627" s="84"/>
      <c r="D627" s="84"/>
      <c r="E627" s="69"/>
      <c r="F627" s="69"/>
      <c r="G627" s="76"/>
      <c r="H627" s="76"/>
      <c r="I627" s="33"/>
      <c r="J627" s="33"/>
      <c r="K627" s="33"/>
      <c r="L627" s="33"/>
      <c r="M627" s="33"/>
      <c r="N627" s="33"/>
      <c r="O627" s="33"/>
      <c r="P627" s="33"/>
      <c r="Q627" s="33"/>
      <c r="R627" s="33"/>
      <c r="S627" s="33"/>
      <c r="T627" s="33"/>
      <c r="U627" s="33"/>
      <c r="V627" s="33"/>
      <c r="W627" s="33"/>
      <c r="X627" s="33"/>
    </row>
    <row r="628" spans="1:24" ht="12.75" customHeight="1" x14ac:dyDescent="0.2">
      <c r="A628" s="33"/>
      <c r="B628" s="33"/>
      <c r="C628" s="84"/>
      <c r="D628" s="84"/>
      <c r="E628" s="69"/>
      <c r="F628" s="69"/>
      <c r="G628" s="76"/>
      <c r="H628" s="76"/>
      <c r="I628" s="33"/>
      <c r="J628" s="33"/>
      <c r="K628" s="33"/>
      <c r="L628" s="33"/>
      <c r="M628" s="33"/>
      <c r="N628" s="33"/>
      <c r="O628" s="33"/>
      <c r="P628" s="33"/>
      <c r="Q628" s="33"/>
      <c r="R628" s="33"/>
      <c r="S628" s="33"/>
      <c r="T628" s="33"/>
      <c r="U628" s="33"/>
      <c r="V628" s="33"/>
      <c r="W628" s="33"/>
      <c r="X628" s="33"/>
    </row>
    <row r="629" spans="1:24" ht="12.75" customHeight="1" x14ac:dyDescent="0.2">
      <c r="A629" s="33"/>
      <c r="B629" s="33"/>
      <c r="C629" s="84"/>
      <c r="D629" s="84"/>
      <c r="E629" s="69"/>
      <c r="F629" s="69"/>
      <c r="G629" s="76"/>
      <c r="H629" s="76"/>
      <c r="I629" s="33"/>
      <c r="J629" s="33"/>
      <c r="K629" s="33"/>
      <c r="L629" s="33"/>
      <c r="M629" s="33"/>
      <c r="N629" s="33"/>
      <c r="O629" s="33"/>
      <c r="P629" s="33"/>
      <c r="Q629" s="33"/>
      <c r="R629" s="33"/>
      <c r="S629" s="33"/>
      <c r="T629" s="33"/>
      <c r="U629" s="33"/>
      <c r="V629" s="33"/>
      <c r="W629" s="33"/>
      <c r="X629" s="33"/>
    </row>
    <row r="630" spans="1:24" ht="12.75" customHeight="1" x14ac:dyDescent="0.2">
      <c r="A630" s="33"/>
      <c r="B630" s="33"/>
      <c r="C630" s="84"/>
      <c r="D630" s="84"/>
      <c r="E630" s="69"/>
      <c r="F630" s="69"/>
      <c r="G630" s="76"/>
      <c r="H630" s="76"/>
      <c r="I630" s="33"/>
      <c r="J630" s="33"/>
      <c r="K630" s="33"/>
      <c r="L630" s="33"/>
      <c r="M630" s="33"/>
      <c r="N630" s="33"/>
      <c r="O630" s="33"/>
      <c r="P630" s="33"/>
      <c r="Q630" s="33"/>
      <c r="R630" s="33"/>
      <c r="S630" s="33"/>
      <c r="T630" s="33"/>
      <c r="U630" s="33"/>
      <c r="V630" s="33"/>
      <c r="W630" s="33"/>
      <c r="X630" s="33"/>
    </row>
    <row r="631" spans="1:24" ht="12.75" customHeight="1" x14ac:dyDescent="0.2">
      <c r="A631" s="33"/>
      <c r="B631" s="33"/>
      <c r="C631" s="84"/>
      <c r="D631" s="84"/>
      <c r="E631" s="69"/>
      <c r="F631" s="69"/>
      <c r="G631" s="76"/>
      <c r="H631" s="76"/>
      <c r="I631" s="33"/>
      <c r="J631" s="33"/>
      <c r="K631" s="33"/>
      <c r="L631" s="33"/>
      <c r="M631" s="33"/>
      <c r="N631" s="33"/>
      <c r="O631" s="33"/>
      <c r="P631" s="33"/>
      <c r="Q631" s="33"/>
      <c r="R631" s="33"/>
      <c r="S631" s="33"/>
      <c r="T631" s="33"/>
      <c r="U631" s="33"/>
      <c r="V631" s="33"/>
      <c r="W631" s="33"/>
      <c r="X631" s="33"/>
    </row>
    <row r="632" spans="1:24" ht="12.75" customHeight="1" x14ac:dyDescent="0.2">
      <c r="A632" s="33"/>
      <c r="B632" s="33"/>
      <c r="C632" s="84"/>
      <c r="D632" s="84"/>
      <c r="E632" s="69"/>
      <c r="F632" s="69"/>
      <c r="G632" s="76"/>
      <c r="H632" s="76"/>
      <c r="I632" s="33"/>
      <c r="J632" s="33"/>
      <c r="K632" s="33"/>
      <c r="L632" s="33"/>
      <c r="M632" s="33"/>
      <c r="N632" s="33"/>
      <c r="O632" s="33"/>
      <c r="P632" s="33"/>
      <c r="Q632" s="33"/>
      <c r="R632" s="33"/>
      <c r="S632" s="33"/>
      <c r="T632" s="33"/>
      <c r="U632" s="33"/>
      <c r="V632" s="33"/>
      <c r="W632" s="33"/>
      <c r="X632" s="33"/>
    </row>
    <row r="633" spans="1:24" ht="12.75" customHeight="1" x14ac:dyDescent="0.2">
      <c r="A633" s="33"/>
      <c r="B633" s="33"/>
      <c r="C633" s="84"/>
      <c r="D633" s="84"/>
      <c r="E633" s="69"/>
      <c r="F633" s="69"/>
      <c r="G633" s="76"/>
      <c r="H633" s="76"/>
      <c r="I633" s="33"/>
      <c r="J633" s="33"/>
      <c r="K633" s="33"/>
      <c r="L633" s="33"/>
      <c r="M633" s="33"/>
      <c r="N633" s="33"/>
      <c r="O633" s="33"/>
      <c r="P633" s="33"/>
      <c r="Q633" s="33"/>
      <c r="R633" s="33"/>
      <c r="S633" s="33"/>
      <c r="T633" s="33"/>
      <c r="U633" s="33"/>
      <c r="V633" s="33"/>
      <c r="W633" s="33"/>
      <c r="X633" s="33"/>
    </row>
    <row r="634" spans="1:24" ht="12.75" customHeight="1" x14ac:dyDescent="0.2">
      <c r="A634" s="33"/>
      <c r="B634" s="33"/>
      <c r="C634" s="84"/>
      <c r="D634" s="84"/>
      <c r="E634" s="69"/>
      <c r="F634" s="69"/>
      <c r="G634" s="76"/>
      <c r="H634" s="76"/>
      <c r="I634" s="33"/>
      <c r="J634" s="33"/>
      <c r="K634" s="33"/>
      <c r="L634" s="33"/>
      <c r="M634" s="33"/>
      <c r="N634" s="33"/>
      <c r="O634" s="33"/>
      <c r="P634" s="33"/>
      <c r="Q634" s="33"/>
      <c r="R634" s="33"/>
      <c r="S634" s="33"/>
      <c r="T634" s="33"/>
      <c r="U634" s="33"/>
      <c r="V634" s="33"/>
      <c r="W634" s="33"/>
      <c r="X634" s="33"/>
    </row>
    <row r="635" spans="1:24" ht="12.75" customHeight="1" x14ac:dyDescent="0.2">
      <c r="A635" s="33"/>
      <c r="B635" s="33"/>
      <c r="C635" s="84"/>
      <c r="D635" s="84"/>
      <c r="E635" s="69"/>
      <c r="F635" s="69"/>
      <c r="G635" s="76"/>
      <c r="H635" s="76"/>
      <c r="I635" s="33"/>
      <c r="J635" s="33"/>
      <c r="K635" s="33"/>
      <c r="L635" s="33"/>
      <c r="M635" s="33"/>
      <c r="N635" s="33"/>
      <c r="O635" s="33"/>
      <c r="P635" s="33"/>
      <c r="Q635" s="33"/>
      <c r="R635" s="33"/>
      <c r="S635" s="33"/>
      <c r="T635" s="33"/>
      <c r="U635" s="33"/>
      <c r="V635" s="33"/>
      <c r="W635" s="33"/>
      <c r="X635" s="33"/>
    </row>
    <row r="636" spans="1:24" ht="12.75" customHeight="1" x14ac:dyDescent="0.2">
      <c r="A636" s="33"/>
      <c r="B636" s="33"/>
      <c r="C636" s="84"/>
      <c r="D636" s="84"/>
      <c r="E636" s="69"/>
      <c r="F636" s="69"/>
      <c r="G636" s="76"/>
      <c r="H636" s="76"/>
      <c r="I636" s="33"/>
      <c r="J636" s="33"/>
      <c r="K636" s="33"/>
      <c r="L636" s="33"/>
      <c r="M636" s="33"/>
      <c r="N636" s="33"/>
      <c r="O636" s="33"/>
      <c r="P636" s="33"/>
      <c r="Q636" s="33"/>
      <c r="R636" s="33"/>
      <c r="S636" s="33"/>
      <c r="T636" s="33"/>
      <c r="U636" s="33"/>
      <c r="V636" s="33"/>
      <c r="W636" s="33"/>
      <c r="X636" s="33"/>
    </row>
    <row r="637" spans="1:24" ht="12.75" customHeight="1" x14ac:dyDescent="0.2">
      <c r="A637" s="33"/>
      <c r="B637" s="33"/>
      <c r="C637" s="84"/>
      <c r="D637" s="84"/>
      <c r="E637" s="69"/>
      <c r="F637" s="69"/>
      <c r="G637" s="76"/>
      <c r="H637" s="76"/>
      <c r="I637" s="33"/>
      <c r="J637" s="33"/>
      <c r="K637" s="33"/>
      <c r="L637" s="33"/>
      <c r="M637" s="33"/>
      <c r="N637" s="33"/>
      <c r="O637" s="33"/>
      <c r="P637" s="33"/>
      <c r="Q637" s="33"/>
      <c r="R637" s="33"/>
      <c r="S637" s="33"/>
      <c r="T637" s="33"/>
      <c r="U637" s="33"/>
      <c r="V637" s="33"/>
      <c r="W637" s="33"/>
      <c r="X637" s="33"/>
    </row>
    <row r="638" spans="1:24" ht="12.75" customHeight="1" x14ac:dyDescent="0.2">
      <c r="A638" s="33"/>
      <c r="B638" s="33"/>
      <c r="C638" s="84"/>
      <c r="D638" s="84"/>
      <c r="E638" s="69"/>
      <c r="F638" s="69"/>
      <c r="G638" s="76"/>
      <c r="H638" s="76"/>
      <c r="I638" s="33"/>
      <c r="J638" s="33"/>
      <c r="K638" s="33"/>
      <c r="L638" s="33"/>
      <c r="M638" s="33"/>
      <c r="N638" s="33"/>
      <c r="O638" s="33"/>
      <c r="P638" s="33"/>
      <c r="Q638" s="33"/>
      <c r="R638" s="33"/>
      <c r="S638" s="33"/>
      <c r="T638" s="33"/>
      <c r="U638" s="33"/>
      <c r="V638" s="33"/>
      <c r="W638" s="33"/>
      <c r="X638" s="33"/>
    </row>
    <row r="639" spans="1:24" ht="12.75" customHeight="1" x14ac:dyDescent="0.2">
      <c r="A639" s="33"/>
      <c r="B639" s="33"/>
      <c r="C639" s="84"/>
      <c r="D639" s="84"/>
      <c r="E639" s="69"/>
      <c r="F639" s="69"/>
      <c r="G639" s="76"/>
      <c r="H639" s="76"/>
      <c r="I639" s="33"/>
      <c r="J639" s="33"/>
      <c r="K639" s="33"/>
      <c r="L639" s="33"/>
      <c r="M639" s="33"/>
      <c r="N639" s="33"/>
      <c r="O639" s="33"/>
      <c r="P639" s="33"/>
      <c r="Q639" s="33"/>
      <c r="R639" s="33"/>
      <c r="S639" s="33"/>
      <c r="T639" s="33"/>
      <c r="U639" s="33"/>
      <c r="V639" s="33"/>
      <c r="W639" s="33"/>
      <c r="X639" s="33"/>
    </row>
    <row r="640" spans="1:24" ht="12.75" customHeight="1" x14ac:dyDescent="0.2">
      <c r="A640" s="33"/>
      <c r="B640" s="33"/>
      <c r="C640" s="84"/>
      <c r="D640" s="84"/>
      <c r="E640" s="69"/>
      <c r="F640" s="69"/>
      <c r="G640" s="76"/>
      <c r="H640" s="76"/>
      <c r="I640" s="33"/>
      <c r="J640" s="33"/>
      <c r="K640" s="33"/>
      <c r="L640" s="33"/>
      <c r="M640" s="33"/>
      <c r="N640" s="33"/>
      <c r="O640" s="33"/>
      <c r="P640" s="33"/>
      <c r="Q640" s="33"/>
      <c r="R640" s="33"/>
      <c r="S640" s="33"/>
      <c r="T640" s="33"/>
      <c r="U640" s="33"/>
      <c r="V640" s="33"/>
      <c r="W640" s="33"/>
      <c r="X640" s="33"/>
    </row>
    <row r="641" spans="1:24" ht="12.75" customHeight="1" x14ac:dyDescent="0.2">
      <c r="A641" s="33"/>
      <c r="B641" s="33"/>
      <c r="C641" s="84"/>
      <c r="D641" s="84"/>
      <c r="E641" s="69"/>
      <c r="F641" s="69"/>
      <c r="G641" s="76"/>
      <c r="H641" s="76"/>
      <c r="I641" s="33"/>
      <c r="J641" s="33"/>
      <c r="K641" s="33"/>
      <c r="L641" s="33"/>
      <c r="M641" s="33"/>
      <c r="N641" s="33"/>
      <c r="O641" s="33"/>
      <c r="P641" s="33"/>
      <c r="Q641" s="33"/>
      <c r="R641" s="33"/>
      <c r="S641" s="33"/>
      <c r="T641" s="33"/>
      <c r="U641" s="33"/>
      <c r="V641" s="33"/>
      <c r="W641" s="33"/>
      <c r="X641" s="33"/>
    </row>
    <row r="642" spans="1:24" ht="12.75" customHeight="1" x14ac:dyDescent="0.2">
      <c r="A642" s="33"/>
      <c r="B642" s="33"/>
      <c r="C642" s="84"/>
      <c r="D642" s="84"/>
      <c r="E642" s="69"/>
      <c r="F642" s="69"/>
      <c r="G642" s="76"/>
      <c r="H642" s="76"/>
      <c r="I642" s="33"/>
      <c r="J642" s="33"/>
      <c r="K642" s="33"/>
      <c r="L642" s="33"/>
      <c r="M642" s="33"/>
      <c r="N642" s="33"/>
      <c r="O642" s="33"/>
      <c r="P642" s="33"/>
      <c r="Q642" s="33"/>
      <c r="R642" s="33"/>
      <c r="S642" s="33"/>
      <c r="T642" s="33"/>
      <c r="U642" s="33"/>
      <c r="V642" s="33"/>
      <c r="W642" s="33"/>
      <c r="X642" s="33"/>
    </row>
    <row r="643" spans="1:24" ht="12.75" customHeight="1" x14ac:dyDescent="0.2">
      <c r="A643" s="33"/>
      <c r="B643" s="33"/>
      <c r="C643" s="84"/>
      <c r="D643" s="84"/>
      <c r="E643" s="69"/>
      <c r="F643" s="69"/>
      <c r="G643" s="76"/>
      <c r="H643" s="76"/>
      <c r="I643" s="33"/>
      <c r="J643" s="33"/>
      <c r="K643" s="33"/>
      <c r="L643" s="33"/>
      <c r="M643" s="33"/>
      <c r="N643" s="33"/>
      <c r="O643" s="33"/>
      <c r="P643" s="33"/>
      <c r="Q643" s="33"/>
      <c r="R643" s="33"/>
      <c r="S643" s="33"/>
      <c r="T643" s="33"/>
      <c r="U643" s="33"/>
      <c r="V643" s="33"/>
      <c r="W643" s="33"/>
      <c r="X643" s="33"/>
    </row>
    <row r="644" spans="1:24" ht="12.75" customHeight="1" x14ac:dyDescent="0.2">
      <c r="A644" s="33"/>
      <c r="B644" s="33"/>
      <c r="C644" s="84"/>
      <c r="D644" s="84"/>
      <c r="E644" s="69"/>
      <c r="F644" s="69"/>
      <c r="G644" s="76"/>
      <c r="H644" s="76"/>
      <c r="I644" s="33"/>
      <c r="J644" s="33"/>
      <c r="K644" s="33"/>
      <c r="L644" s="33"/>
      <c r="M644" s="33"/>
      <c r="N644" s="33"/>
      <c r="O644" s="33"/>
      <c r="P644" s="33"/>
      <c r="Q644" s="33"/>
      <c r="R644" s="33"/>
      <c r="S644" s="33"/>
      <c r="T644" s="33"/>
      <c r="U644" s="33"/>
      <c r="V644" s="33"/>
      <c r="W644" s="33"/>
      <c r="X644" s="33"/>
    </row>
    <row r="645" spans="1:24" ht="12.75" customHeight="1" x14ac:dyDescent="0.2">
      <c r="A645" s="33"/>
      <c r="B645" s="33"/>
      <c r="C645" s="84"/>
      <c r="D645" s="84"/>
      <c r="E645" s="69"/>
      <c r="F645" s="69"/>
      <c r="G645" s="76"/>
      <c r="H645" s="76"/>
      <c r="I645" s="33"/>
      <c r="J645" s="33"/>
      <c r="K645" s="33"/>
      <c r="L645" s="33"/>
      <c r="M645" s="33"/>
      <c r="N645" s="33"/>
      <c r="O645" s="33"/>
      <c r="P645" s="33"/>
      <c r="Q645" s="33"/>
      <c r="R645" s="33"/>
      <c r="S645" s="33"/>
      <c r="T645" s="33"/>
      <c r="U645" s="33"/>
      <c r="V645" s="33"/>
      <c r="W645" s="33"/>
      <c r="X645" s="33"/>
    </row>
    <row r="646" spans="1:24" ht="12.75" customHeight="1" x14ac:dyDescent="0.2">
      <c r="A646" s="33"/>
      <c r="B646" s="33"/>
      <c r="C646" s="84"/>
      <c r="D646" s="84"/>
      <c r="E646" s="69"/>
      <c r="F646" s="69"/>
      <c r="G646" s="76"/>
      <c r="H646" s="76"/>
      <c r="I646" s="33"/>
      <c r="J646" s="33"/>
      <c r="K646" s="33"/>
      <c r="L646" s="33"/>
      <c r="M646" s="33"/>
      <c r="N646" s="33"/>
      <c r="O646" s="33"/>
      <c r="P646" s="33"/>
      <c r="Q646" s="33"/>
      <c r="R646" s="33"/>
      <c r="S646" s="33"/>
      <c r="T646" s="33"/>
      <c r="U646" s="33"/>
      <c r="V646" s="33"/>
      <c r="W646" s="33"/>
      <c r="X646" s="33"/>
    </row>
    <row r="647" spans="1:24" ht="12.75" customHeight="1" x14ac:dyDescent="0.2">
      <c r="A647" s="33"/>
      <c r="B647" s="33"/>
      <c r="C647" s="84"/>
      <c r="D647" s="84"/>
      <c r="E647" s="69"/>
      <c r="F647" s="69"/>
      <c r="G647" s="76"/>
      <c r="H647" s="76"/>
      <c r="I647" s="33"/>
      <c r="J647" s="33"/>
      <c r="K647" s="33"/>
      <c r="L647" s="33"/>
      <c r="M647" s="33"/>
      <c r="N647" s="33"/>
      <c r="O647" s="33"/>
      <c r="P647" s="33"/>
      <c r="Q647" s="33"/>
      <c r="R647" s="33"/>
      <c r="S647" s="33"/>
      <c r="T647" s="33"/>
      <c r="U647" s="33"/>
      <c r="V647" s="33"/>
      <c r="W647" s="33"/>
      <c r="X647" s="33"/>
    </row>
    <row r="648" spans="1:24" ht="12.75" customHeight="1" x14ac:dyDescent="0.2">
      <c r="A648" s="33"/>
      <c r="B648" s="33"/>
      <c r="C648" s="84"/>
      <c r="D648" s="84"/>
      <c r="E648" s="69"/>
      <c r="F648" s="69"/>
      <c r="G648" s="76"/>
      <c r="H648" s="76"/>
      <c r="I648" s="33"/>
      <c r="J648" s="33"/>
      <c r="K648" s="33"/>
      <c r="L648" s="33"/>
      <c r="M648" s="33"/>
      <c r="N648" s="33"/>
      <c r="O648" s="33"/>
      <c r="P648" s="33"/>
      <c r="Q648" s="33"/>
      <c r="R648" s="33"/>
      <c r="S648" s="33"/>
      <c r="T648" s="33"/>
      <c r="U648" s="33"/>
      <c r="V648" s="33"/>
      <c r="W648" s="33"/>
      <c r="X648" s="33"/>
    </row>
    <row r="649" spans="1:24" ht="12.75" customHeight="1" x14ac:dyDescent="0.2">
      <c r="A649" s="33"/>
      <c r="B649" s="33"/>
      <c r="C649" s="84"/>
      <c r="D649" s="84"/>
      <c r="E649" s="69"/>
      <c r="F649" s="69"/>
      <c r="G649" s="76"/>
      <c r="H649" s="76"/>
      <c r="I649" s="33"/>
      <c r="J649" s="33"/>
      <c r="K649" s="33"/>
      <c r="L649" s="33"/>
      <c r="M649" s="33"/>
      <c r="N649" s="33"/>
      <c r="O649" s="33"/>
      <c r="P649" s="33"/>
      <c r="Q649" s="33"/>
      <c r="R649" s="33"/>
      <c r="S649" s="33"/>
      <c r="T649" s="33"/>
      <c r="U649" s="33"/>
      <c r="V649" s="33"/>
      <c r="W649" s="33"/>
      <c r="X649" s="33"/>
    </row>
    <row r="650" spans="1:24" ht="12.75" customHeight="1" x14ac:dyDescent="0.2">
      <c r="A650" s="33"/>
      <c r="B650" s="33"/>
      <c r="C650" s="84"/>
      <c r="D650" s="84"/>
      <c r="E650" s="69"/>
      <c r="F650" s="69"/>
      <c r="G650" s="76"/>
      <c r="H650" s="76"/>
      <c r="I650" s="33"/>
      <c r="J650" s="33"/>
      <c r="K650" s="33"/>
      <c r="L650" s="33"/>
      <c r="M650" s="33"/>
      <c r="N650" s="33"/>
      <c r="O650" s="33"/>
      <c r="P650" s="33"/>
      <c r="Q650" s="33"/>
      <c r="R650" s="33"/>
      <c r="S650" s="33"/>
      <c r="T650" s="33"/>
      <c r="U650" s="33"/>
      <c r="V650" s="33"/>
      <c r="W650" s="33"/>
      <c r="X650" s="33"/>
    </row>
    <row r="651" spans="1:24" ht="12.75" customHeight="1" x14ac:dyDescent="0.2">
      <c r="A651" s="33"/>
      <c r="B651" s="33"/>
      <c r="C651" s="84"/>
      <c r="D651" s="84"/>
      <c r="E651" s="69"/>
      <c r="F651" s="69"/>
      <c r="G651" s="76"/>
      <c r="H651" s="76"/>
      <c r="I651" s="33"/>
      <c r="J651" s="33"/>
      <c r="K651" s="33"/>
      <c r="L651" s="33"/>
      <c r="M651" s="33"/>
      <c r="N651" s="33"/>
      <c r="O651" s="33"/>
      <c r="P651" s="33"/>
      <c r="Q651" s="33"/>
      <c r="R651" s="33"/>
      <c r="S651" s="33"/>
      <c r="T651" s="33"/>
      <c r="U651" s="33"/>
      <c r="V651" s="33"/>
      <c r="W651" s="33"/>
      <c r="X651" s="33"/>
    </row>
    <row r="652" spans="1:24" ht="12.75" customHeight="1" x14ac:dyDescent="0.2">
      <c r="A652" s="33"/>
      <c r="B652" s="33"/>
      <c r="C652" s="84"/>
      <c r="D652" s="84"/>
      <c r="E652" s="69"/>
      <c r="F652" s="69"/>
      <c r="G652" s="76"/>
      <c r="H652" s="76"/>
      <c r="I652" s="33"/>
      <c r="J652" s="33"/>
      <c r="K652" s="33"/>
      <c r="L652" s="33"/>
      <c r="M652" s="33"/>
      <c r="N652" s="33"/>
      <c r="O652" s="33"/>
      <c r="P652" s="33"/>
      <c r="Q652" s="33"/>
      <c r="R652" s="33"/>
      <c r="S652" s="33"/>
      <c r="T652" s="33"/>
      <c r="U652" s="33"/>
      <c r="V652" s="33"/>
      <c r="W652" s="33"/>
      <c r="X652" s="33"/>
    </row>
    <row r="653" spans="1:24" ht="12.75" customHeight="1" x14ac:dyDescent="0.2">
      <c r="A653" s="33"/>
      <c r="B653" s="33"/>
      <c r="C653" s="84"/>
      <c r="D653" s="84"/>
      <c r="E653" s="69"/>
      <c r="F653" s="69"/>
      <c r="G653" s="76"/>
      <c r="H653" s="76"/>
      <c r="I653" s="33"/>
      <c r="J653" s="33"/>
      <c r="K653" s="33"/>
      <c r="L653" s="33"/>
      <c r="M653" s="33"/>
      <c r="N653" s="33"/>
      <c r="O653" s="33"/>
      <c r="P653" s="33"/>
      <c r="Q653" s="33"/>
      <c r="R653" s="33"/>
      <c r="S653" s="33"/>
      <c r="T653" s="33"/>
      <c r="U653" s="33"/>
      <c r="V653" s="33"/>
      <c r="W653" s="33"/>
      <c r="X653" s="33"/>
    </row>
    <row r="654" spans="1:24" ht="12.75" customHeight="1" x14ac:dyDescent="0.2">
      <c r="A654" s="33"/>
      <c r="B654" s="33"/>
      <c r="C654" s="84"/>
      <c r="D654" s="84"/>
      <c r="E654" s="69"/>
      <c r="F654" s="69"/>
      <c r="G654" s="76"/>
      <c r="H654" s="76"/>
      <c r="I654" s="33"/>
      <c r="J654" s="33"/>
      <c r="K654" s="33"/>
      <c r="L654" s="33"/>
      <c r="M654" s="33"/>
      <c r="N654" s="33"/>
      <c r="O654" s="33"/>
      <c r="P654" s="33"/>
      <c r="Q654" s="33"/>
      <c r="R654" s="33"/>
      <c r="S654" s="33"/>
      <c r="T654" s="33"/>
      <c r="U654" s="33"/>
      <c r="V654" s="33"/>
      <c r="W654" s="33"/>
      <c r="X654" s="33"/>
    </row>
    <row r="655" spans="1:24" ht="12.75" customHeight="1" x14ac:dyDescent="0.2">
      <c r="A655" s="33"/>
      <c r="B655" s="33"/>
      <c r="C655" s="84"/>
      <c r="D655" s="84"/>
      <c r="E655" s="69"/>
      <c r="F655" s="69"/>
      <c r="G655" s="76"/>
      <c r="H655" s="76"/>
      <c r="I655" s="33"/>
      <c r="J655" s="33"/>
      <c r="K655" s="33"/>
      <c r="L655" s="33"/>
      <c r="M655" s="33"/>
      <c r="N655" s="33"/>
      <c r="O655" s="33"/>
      <c r="P655" s="33"/>
      <c r="Q655" s="33"/>
      <c r="R655" s="33"/>
      <c r="S655" s="33"/>
      <c r="T655" s="33"/>
      <c r="U655" s="33"/>
      <c r="V655" s="33"/>
      <c r="W655" s="33"/>
      <c r="X655" s="33"/>
    </row>
    <row r="656" spans="1:24" ht="12.75" customHeight="1" x14ac:dyDescent="0.2">
      <c r="A656" s="33"/>
      <c r="B656" s="33"/>
      <c r="C656" s="84"/>
      <c r="D656" s="84"/>
      <c r="E656" s="69"/>
      <c r="F656" s="69"/>
      <c r="G656" s="76"/>
      <c r="H656" s="76"/>
      <c r="I656" s="33"/>
      <c r="J656" s="33"/>
      <c r="K656" s="33"/>
      <c r="L656" s="33"/>
      <c r="M656" s="33"/>
      <c r="N656" s="33"/>
      <c r="O656" s="33"/>
      <c r="P656" s="33"/>
      <c r="Q656" s="33"/>
      <c r="R656" s="33"/>
      <c r="S656" s="33"/>
      <c r="T656" s="33"/>
      <c r="U656" s="33"/>
      <c r="V656" s="33"/>
      <c r="W656" s="33"/>
      <c r="X656" s="33"/>
    </row>
    <row r="657" spans="1:24" ht="12.75" customHeight="1" x14ac:dyDescent="0.2">
      <c r="A657" s="33"/>
      <c r="B657" s="33"/>
      <c r="C657" s="84"/>
      <c r="D657" s="84"/>
      <c r="E657" s="69"/>
      <c r="F657" s="69"/>
      <c r="G657" s="76"/>
      <c r="H657" s="76"/>
      <c r="I657" s="33"/>
      <c r="J657" s="33"/>
      <c r="K657" s="33"/>
      <c r="L657" s="33"/>
      <c r="M657" s="33"/>
      <c r="N657" s="33"/>
      <c r="O657" s="33"/>
      <c r="P657" s="33"/>
      <c r="Q657" s="33"/>
      <c r="R657" s="33"/>
      <c r="S657" s="33"/>
      <c r="T657" s="33"/>
      <c r="U657" s="33"/>
      <c r="V657" s="33"/>
      <c r="W657" s="33"/>
      <c r="X657" s="33"/>
    </row>
    <row r="658" spans="1:24" ht="12.75" customHeight="1" x14ac:dyDescent="0.2">
      <c r="A658" s="33"/>
      <c r="B658" s="33"/>
      <c r="C658" s="84"/>
      <c r="D658" s="84"/>
      <c r="E658" s="69"/>
      <c r="F658" s="69"/>
      <c r="G658" s="76"/>
      <c r="H658" s="76"/>
      <c r="I658" s="33"/>
      <c r="J658" s="33"/>
      <c r="K658" s="33"/>
      <c r="L658" s="33"/>
      <c r="M658" s="33"/>
      <c r="N658" s="33"/>
      <c r="O658" s="33"/>
      <c r="P658" s="33"/>
      <c r="Q658" s="33"/>
      <c r="R658" s="33"/>
      <c r="S658" s="33"/>
      <c r="T658" s="33"/>
      <c r="U658" s="33"/>
      <c r="V658" s="33"/>
      <c r="W658" s="33"/>
      <c r="X658" s="33"/>
    </row>
    <row r="659" spans="1:24" ht="12.75" customHeight="1" x14ac:dyDescent="0.2">
      <c r="A659" s="33"/>
      <c r="B659" s="33"/>
      <c r="C659" s="84"/>
      <c r="D659" s="84"/>
      <c r="E659" s="69"/>
      <c r="F659" s="69"/>
      <c r="G659" s="76"/>
      <c r="H659" s="76"/>
      <c r="I659" s="33"/>
      <c r="J659" s="33"/>
      <c r="K659" s="33"/>
      <c r="L659" s="33"/>
      <c r="M659" s="33"/>
      <c r="N659" s="33"/>
      <c r="O659" s="33"/>
      <c r="P659" s="33"/>
      <c r="Q659" s="33"/>
      <c r="R659" s="33"/>
      <c r="S659" s="33"/>
      <c r="T659" s="33"/>
      <c r="U659" s="33"/>
      <c r="V659" s="33"/>
      <c r="W659" s="33"/>
      <c r="X659" s="33"/>
    </row>
    <row r="660" spans="1:24" ht="12.75" customHeight="1" x14ac:dyDescent="0.2">
      <c r="A660" s="33"/>
      <c r="B660" s="33"/>
      <c r="C660" s="84"/>
      <c r="D660" s="84"/>
      <c r="E660" s="69"/>
      <c r="F660" s="69"/>
      <c r="G660" s="76"/>
      <c r="H660" s="76"/>
      <c r="I660" s="33"/>
      <c r="J660" s="33"/>
      <c r="K660" s="33"/>
      <c r="L660" s="33"/>
      <c r="M660" s="33"/>
      <c r="N660" s="33"/>
      <c r="O660" s="33"/>
      <c r="P660" s="33"/>
      <c r="Q660" s="33"/>
      <c r="R660" s="33"/>
      <c r="S660" s="33"/>
      <c r="T660" s="33"/>
      <c r="U660" s="33"/>
      <c r="V660" s="33"/>
      <c r="W660" s="33"/>
      <c r="X660" s="33"/>
    </row>
    <row r="661" spans="1:24" ht="12.75" customHeight="1" x14ac:dyDescent="0.2">
      <c r="A661" s="33"/>
      <c r="B661" s="33"/>
      <c r="C661" s="84"/>
      <c r="D661" s="84"/>
      <c r="E661" s="69"/>
      <c r="F661" s="69"/>
      <c r="G661" s="76"/>
      <c r="H661" s="76"/>
      <c r="I661" s="33"/>
      <c r="J661" s="33"/>
      <c r="K661" s="33"/>
      <c r="L661" s="33"/>
      <c r="M661" s="33"/>
      <c r="N661" s="33"/>
      <c r="O661" s="33"/>
      <c r="P661" s="33"/>
      <c r="Q661" s="33"/>
      <c r="R661" s="33"/>
      <c r="S661" s="33"/>
      <c r="T661" s="33"/>
      <c r="U661" s="33"/>
      <c r="V661" s="33"/>
      <c r="W661" s="33"/>
      <c r="X661" s="33"/>
    </row>
    <row r="662" spans="1:24" ht="12.75" customHeight="1" x14ac:dyDescent="0.2">
      <c r="A662" s="33"/>
      <c r="B662" s="33"/>
      <c r="C662" s="84"/>
      <c r="D662" s="84"/>
      <c r="E662" s="69"/>
      <c r="F662" s="69"/>
      <c r="G662" s="76"/>
      <c r="H662" s="76"/>
      <c r="I662" s="33"/>
      <c r="J662" s="33"/>
      <c r="K662" s="33"/>
      <c r="L662" s="33"/>
      <c r="M662" s="33"/>
      <c r="N662" s="33"/>
      <c r="O662" s="33"/>
      <c r="P662" s="33"/>
      <c r="Q662" s="33"/>
      <c r="R662" s="33"/>
      <c r="S662" s="33"/>
      <c r="T662" s="33"/>
      <c r="U662" s="33"/>
      <c r="V662" s="33"/>
      <c r="W662" s="33"/>
      <c r="X662" s="33"/>
    </row>
    <row r="663" spans="1:24" ht="12.75" customHeight="1" x14ac:dyDescent="0.2">
      <c r="A663" s="33"/>
      <c r="B663" s="33"/>
      <c r="C663" s="84"/>
      <c r="D663" s="84"/>
      <c r="E663" s="69"/>
      <c r="F663" s="69"/>
      <c r="G663" s="76"/>
      <c r="H663" s="76"/>
      <c r="I663" s="33"/>
      <c r="J663" s="33"/>
      <c r="K663" s="33"/>
      <c r="L663" s="33"/>
      <c r="M663" s="33"/>
      <c r="N663" s="33"/>
      <c r="O663" s="33"/>
      <c r="P663" s="33"/>
      <c r="Q663" s="33"/>
      <c r="R663" s="33"/>
      <c r="S663" s="33"/>
      <c r="T663" s="33"/>
      <c r="U663" s="33"/>
      <c r="V663" s="33"/>
      <c r="W663" s="33"/>
      <c r="X663" s="33"/>
    </row>
    <row r="664" spans="1:24" ht="12.75" customHeight="1" x14ac:dyDescent="0.2">
      <c r="A664" s="33"/>
      <c r="B664" s="33"/>
      <c r="C664" s="84"/>
      <c r="D664" s="84"/>
      <c r="E664" s="69"/>
      <c r="F664" s="69"/>
      <c r="G664" s="76"/>
      <c r="H664" s="76"/>
      <c r="I664" s="33"/>
      <c r="J664" s="33"/>
      <c r="K664" s="33"/>
      <c r="L664" s="33"/>
      <c r="M664" s="33"/>
      <c r="N664" s="33"/>
      <c r="O664" s="33"/>
      <c r="P664" s="33"/>
      <c r="Q664" s="33"/>
      <c r="R664" s="33"/>
      <c r="S664" s="33"/>
      <c r="T664" s="33"/>
      <c r="U664" s="33"/>
      <c r="V664" s="33"/>
      <c r="W664" s="33"/>
      <c r="X664" s="33"/>
    </row>
    <row r="665" spans="1:24" ht="12.75" customHeight="1" x14ac:dyDescent="0.2">
      <c r="A665" s="33"/>
      <c r="B665" s="33"/>
      <c r="C665" s="84"/>
      <c r="D665" s="84"/>
      <c r="E665" s="69"/>
      <c r="F665" s="69"/>
      <c r="G665" s="76"/>
      <c r="H665" s="76"/>
      <c r="I665" s="33"/>
      <c r="J665" s="33"/>
      <c r="K665" s="33"/>
      <c r="L665" s="33"/>
      <c r="M665" s="33"/>
      <c r="N665" s="33"/>
      <c r="O665" s="33"/>
      <c r="P665" s="33"/>
      <c r="Q665" s="33"/>
      <c r="R665" s="33"/>
      <c r="S665" s="33"/>
      <c r="T665" s="33"/>
      <c r="U665" s="33"/>
      <c r="V665" s="33"/>
      <c r="W665" s="33"/>
      <c r="X665" s="33"/>
    </row>
    <row r="666" spans="1:24" ht="12.75" customHeight="1" x14ac:dyDescent="0.2">
      <c r="A666" s="33"/>
      <c r="B666" s="33"/>
      <c r="C666" s="84"/>
      <c r="D666" s="84"/>
      <c r="E666" s="69"/>
      <c r="F666" s="69"/>
      <c r="G666" s="76"/>
      <c r="H666" s="76"/>
      <c r="I666" s="33"/>
      <c r="J666" s="33"/>
      <c r="K666" s="33"/>
      <c r="L666" s="33"/>
      <c r="M666" s="33"/>
      <c r="N666" s="33"/>
      <c r="O666" s="33"/>
      <c r="P666" s="33"/>
      <c r="Q666" s="33"/>
      <c r="R666" s="33"/>
      <c r="S666" s="33"/>
      <c r="T666" s="33"/>
      <c r="U666" s="33"/>
      <c r="V666" s="33"/>
      <c r="W666" s="33"/>
      <c r="X666" s="33"/>
    </row>
    <row r="667" spans="1:24" ht="12.75" customHeight="1" x14ac:dyDescent="0.2">
      <c r="A667" s="33"/>
      <c r="B667" s="33"/>
      <c r="C667" s="84"/>
      <c r="D667" s="84"/>
      <c r="E667" s="69"/>
      <c r="F667" s="69"/>
      <c r="G667" s="76"/>
      <c r="H667" s="76"/>
      <c r="I667" s="33"/>
      <c r="J667" s="33"/>
      <c r="K667" s="33"/>
      <c r="L667" s="33"/>
      <c r="M667" s="33"/>
      <c r="N667" s="33"/>
      <c r="O667" s="33"/>
      <c r="P667" s="33"/>
      <c r="Q667" s="33"/>
      <c r="R667" s="33"/>
      <c r="S667" s="33"/>
      <c r="T667" s="33"/>
      <c r="U667" s="33"/>
      <c r="V667" s="33"/>
      <c r="W667" s="33"/>
      <c r="X667" s="33"/>
    </row>
    <row r="668" spans="1:24" ht="12.75" customHeight="1" x14ac:dyDescent="0.2">
      <c r="A668" s="33"/>
      <c r="B668" s="33"/>
      <c r="C668" s="84"/>
      <c r="D668" s="84"/>
      <c r="E668" s="69"/>
      <c r="F668" s="69"/>
      <c r="G668" s="76"/>
      <c r="H668" s="76"/>
      <c r="I668" s="33"/>
      <c r="J668" s="33"/>
      <c r="K668" s="33"/>
      <c r="L668" s="33"/>
      <c r="M668" s="33"/>
      <c r="N668" s="33"/>
      <c r="O668" s="33"/>
      <c r="P668" s="33"/>
      <c r="Q668" s="33"/>
      <c r="R668" s="33"/>
      <c r="S668" s="33"/>
      <c r="T668" s="33"/>
      <c r="U668" s="33"/>
      <c r="V668" s="33"/>
      <c r="W668" s="33"/>
      <c r="X668" s="33"/>
    </row>
    <row r="669" spans="1:24" ht="12.75" customHeight="1" x14ac:dyDescent="0.2">
      <c r="A669" s="33"/>
      <c r="B669" s="33"/>
      <c r="C669" s="84"/>
      <c r="D669" s="84"/>
      <c r="E669" s="69"/>
      <c r="F669" s="69"/>
      <c r="G669" s="76"/>
      <c r="H669" s="76"/>
      <c r="I669" s="33"/>
      <c r="J669" s="33"/>
      <c r="K669" s="33"/>
      <c r="L669" s="33"/>
      <c r="M669" s="33"/>
      <c r="N669" s="33"/>
      <c r="O669" s="33"/>
      <c r="P669" s="33"/>
      <c r="Q669" s="33"/>
      <c r="R669" s="33"/>
      <c r="S669" s="33"/>
      <c r="T669" s="33"/>
      <c r="U669" s="33"/>
      <c r="V669" s="33"/>
      <c r="W669" s="33"/>
      <c r="X669" s="33"/>
    </row>
    <row r="670" spans="1:24" ht="12.75" customHeight="1" x14ac:dyDescent="0.2">
      <c r="A670" s="33"/>
      <c r="B670" s="33"/>
      <c r="C670" s="84"/>
      <c r="D670" s="84"/>
      <c r="E670" s="69"/>
      <c r="F670" s="69"/>
      <c r="G670" s="76"/>
      <c r="H670" s="76"/>
      <c r="I670" s="33"/>
      <c r="J670" s="33"/>
      <c r="K670" s="33"/>
      <c r="L670" s="33"/>
      <c r="M670" s="33"/>
      <c r="N670" s="33"/>
      <c r="O670" s="33"/>
      <c r="P670" s="33"/>
      <c r="Q670" s="33"/>
      <c r="R670" s="33"/>
      <c r="S670" s="33"/>
      <c r="T670" s="33"/>
      <c r="U670" s="33"/>
      <c r="V670" s="33"/>
      <c r="W670" s="33"/>
      <c r="X670" s="33"/>
    </row>
    <row r="671" spans="1:24" ht="12.75" customHeight="1" x14ac:dyDescent="0.2">
      <c r="A671" s="33"/>
      <c r="B671" s="33"/>
      <c r="C671" s="84"/>
      <c r="D671" s="84"/>
      <c r="E671" s="69"/>
      <c r="F671" s="69"/>
      <c r="G671" s="76"/>
      <c r="H671" s="76"/>
      <c r="I671" s="33"/>
      <c r="J671" s="33"/>
      <c r="K671" s="33"/>
      <c r="L671" s="33"/>
      <c r="M671" s="33"/>
      <c r="N671" s="33"/>
      <c r="O671" s="33"/>
      <c r="P671" s="33"/>
      <c r="Q671" s="33"/>
      <c r="R671" s="33"/>
      <c r="S671" s="33"/>
      <c r="T671" s="33"/>
      <c r="U671" s="33"/>
      <c r="V671" s="33"/>
      <c r="W671" s="33"/>
      <c r="X671" s="33"/>
    </row>
    <row r="672" spans="1:24" ht="12.75" customHeight="1" x14ac:dyDescent="0.2">
      <c r="A672" s="33"/>
      <c r="B672" s="33"/>
      <c r="C672" s="84"/>
      <c r="D672" s="84"/>
      <c r="E672" s="69"/>
      <c r="F672" s="69"/>
      <c r="G672" s="76"/>
      <c r="H672" s="76"/>
      <c r="I672" s="33"/>
      <c r="J672" s="33"/>
      <c r="K672" s="33"/>
      <c r="L672" s="33"/>
      <c r="M672" s="33"/>
      <c r="N672" s="33"/>
      <c r="O672" s="33"/>
      <c r="P672" s="33"/>
      <c r="Q672" s="33"/>
      <c r="R672" s="33"/>
      <c r="S672" s="33"/>
      <c r="T672" s="33"/>
      <c r="U672" s="33"/>
      <c r="V672" s="33"/>
      <c r="W672" s="33"/>
      <c r="X672" s="33"/>
    </row>
    <row r="673" spans="1:24" ht="12.75" customHeight="1" x14ac:dyDescent="0.2">
      <c r="A673" s="33"/>
      <c r="B673" s="33"/>
      <c r="C673" s="84"/>
      <c r="D673" s="84"/>
      <c r="E673" s="69"/>
      <c r="F673" s="69"/>
      <c r="G673" s="76"/>
      <c r="H673" s="76"/>
      <c r="I673" s="33"/>
      <c r="J673" s="33"/>
      <c r="K673" s="33"/>
      <c r="L673" s="33"/>
      <c r="M673" s="33"/>
      <c r="N673" s="33"/>
      <c r="O673" s="33"/>
      <c r="P673" s="33"/>
      <c r="Q673" s="33"/>
      <c r="R673" s="33"/>
      <c r="S673" s="33"/>
      <c r="T673" s="33"/>
      <c r="U673" s="33"/>
      <c r="V673" s="33"/>
      <c r="W673" s="33"/>
      <c r="X673" s="33"/>
    </row>
    <row r="674" spans="1:24" ht="12.75" customHeight="1" x14ac:dyDescent="0.2">
      <c r="A674" s="33"/>
      <c r="B674" s="33"/>
      <c r="C674" s="84"/>
      <c r="D674" s="84"/>
      <c r="E674" s="69"/>
      <c r="F674" s="69"/>
      <c r="G674" s="76"/>
      <c r="H674" s="76"/>
      <c r="I674" s="33"/>
      <c r="J674" s="33"/>
      <c r="K674" s="33"/>
      <c r="L674" s="33"/>
      <c r="M674" s="33"/>
      <c r="N674" s="33"/>
      <c r="O674" s="33"/>
      <c r="P674" s="33"/>
      <c r="Q674" s="33"/>
      <c r="R674" s="33"/>
      <c r="S674" s="33"/>
      <c r="T674" s="33"/>
      <c r="U674" s="33"/>
      <c r="V674" s="33"/>
      <c r="W674" s="33"/>
      <c r="X674" s="33"/>
    </row>
    <row r="675" spans="1:24" ht="12.75" customHeight="1" x14ac:dyDescent="0.2">
      <c r="A675" s="33"/>
      <c r="B675" s="33"/>
      <c r="C675" s="84"/>
      <c r="D675" s="84"/>
      <c r="E675" s="69"/>
      <c r="F675" s="69"/>
      <c r="G675" s="76"/>
      <c r="H675" s="76"/>
      <c r="I675" s="33"/>
      <c r="J675" s="33"/>
      <c r="K675" s="33"/>
      <c r="L675" s="33"/>
      <c r="M675" s="33"/>
      <c r="N675" s="33"/>
      <c r="O675" s="33"/>
      <c r="P675" s="33"/>
      <c r="Q675" s="33"/>
      <c r="R675" s="33"/>
      <c r="S675" s="33"/>
      <c r="T675" s="33"/>
      <c r="U675" s="33"/>
      <c r="V675" s="33"/>
      <c r="W675" s="33"/>
      <c r="X675" s="33"/>
    </row>
    <row r="676" spans="1:24" ht="12.75" customHeight="1" x14ac:dyDescent="0.2">
      <c r="A676" s="33"/>
      <c r="B676" s="33"/>
      <c r="C676" s="84"/>
      <c r="D676" s="84"/>
      <c r="E676" s="69"/>
      <c r="F676" s="69"/>
      <c r="G676" s="76"/>
      <c r="H676" s="76"/>
      <c r="I676" s="33"/>
      <c r="J676" s="33"/>
      <c r="K676" s="33"/>
      <c r="L676" s="33"/>
      <c r="M676" s="33"/>
      <c r="N676" s="33"/>
      <c r="O676" s="33"/>
      <c r="P676" s="33"/>
      <c r="Q676" s="33"/>
      <c r="R676" s="33"/>
      <c r="S676" s="33"/>
      <c r="T676" s="33"/>
      <c r="U676" s="33"/>
      <c r="V676" s="33"/>
      <c r="W676" s="33"/>
      <c r="X676" s="33"/>
    </row>
    <row r="677" spans="1:24" ht="12.75" customHeight="1" x14ac:dyDescent="0.2">
      <c r="A677" s="33"/>
      <c r="B677" s="33"/>
      <c r="C677" s="84"/>
      <c r="D677" s="84"/>
      <c r="E677" s="69"/>
      <c r="F677" s="69"/>
      <c r="G677" s="76"/>
      <c r="H677" s="76"/>
      <c r="I677" s="33"/>
      <c r="J677" s="33"/>
      <c r="K677" s="33"/>
      <c r="L677" s="33"/>
      <c r="M677" s="33"/>
      <c r="N677" s="33"/>
      <c r="O677" s="33"/>
      <c r="P677" s="33"/>
      <c r="Q677" s="33"/>
      <c r="R677" s="33"/>
      <c r="S677" s="33"/>
      <c r="T677" s="33"/>
      <c r="U677" s="33"/>
      <c r="V677" s="33"/>
      <c r="W677" s="33"/>
      <c r="X677" s="33"/>
    </row>
    <row r="678" spans="1:24" ht="12.75" customHeight="1" x14ac:dyDescent="0.2">
      <c r="A678" s="33"/>
      <c r="B678" s="33"/>
      <c r="C678" s="84"/>
      <c r="D678" s="84"/>
      <c r="E678" s="69"/>
      <c r="F678" s="69"/>
      <c r="G678" s="76"/>
      <c r="H678" s="76"/>
      <c r="I678" s="33"/>
      <c r="J678" s="33"/>
      <c r="K678" s="33"/>
      <c r="L678" s="33"/>
      <c r="M678" s="33"/>
      <c r="N678" s="33"/>
      <c r="O678" s="33"/>
      <c r="P678" s="33"/>
      <c r="Q678" s="33"/>
      <c r="R678" s="33"/>
      <c r="S678" s="33"/>
      <c r="T678" s="33"/>
      <c r="U678" s="33"/>
      <c r="V678" s="33"/>
      <c r="W678" s="33"/>
      <c r="X678" s="33"/>
    </row>
    <row r="679" spans="1:24" ht="12.75" customHeight="1" x14ac:dyDescent="0.2">
      <c r="A679" s="33"/>
      <c r="B679" s="33"/>
      <c r="C679" s="84"/>
      <c r="D679" s="84"/>
      <c r="E679" s="69"/>
      <c r="F679" s="69"/>
      <c r="G679" s="76"/>
      <c r="H679" s="76"/>
      <c r="I679" s="33"/>
      <c r="J679" s="33"/>
      <c r="K679" s="33"/>
      <c r="L679" s="33"/>
      <c r="M679" s="33"/>
      <c r="N679" s="33"/>
      <c r="O679" s="33"/>
      <c r="P679" s="33"/>
      <c r="Q679" s="33"/>
      <c r="R679" s="33"/>
      <c r="S679" s="33"/>
      <c r="T679" s="33"/>
      <c r="U679" s="33"/>
      <c r="V679" s="33"/>
      <c r="W679" s="33"/>
      <c r="X679" s="33"/>
    </row>
    <row r="680" spans="1:24" ht="12.75" customHeight="1" x14ac:dyDescent="0.2">
      <c r="A680" s="33"/>
      <c r="B680" s="33"/>
      <c r="C680" s="84"/>
      <c r="D680" s="84"/>
      <c r="E680" s="69"/>
      <c r="F680" s="69"/>
      <c r="G680" s="76"/>
      <c r="H680" s="76"/>
      <c r="I680" s="33"/>
      <c r="J680" s="33"/>
      <c r="K680" s="33"/>
      <c r="L680" s="33"/>
      <c r="M680" s="33"/>
      <c r="N680" s="33"/>
      <c r="O680" s="33"/>
      <c r="P680" s="33"/>
      <c r="Q680" s="33"/>
      <c r="R680" s="33"/>
      <c r="S680" s="33"/>
      <c r="T680" s="33"/>
      <c r="U680" s="33"/>
      <c r="V680" s="33"/>
      <c r="W680" s="33"/>
      <c r="X680" s="33"/>
    </row>
    <row r="681" spans="1:24" ht="12.75" customHeight="1" x14ac:dyDescent="0.2">
      <c r="A681" s="33"/>
      <c r="B681" s="33"/>
      <c r="C681" s="84"/>
      <c r="D681" s="84"/>
      <c r="E681" s="69"/>
      <c r="F681" s="69"/>
      <c r="G681" s="76"/>
      <c r="H681" s="76"/>
      <c r="I681" s="33"/>
      <c r="J681" s="33"/>
      <c r="K681" s="33"/>
      <c r="L681" s="33"/>
      <c r="M681" s="33"/>
      <c r="N681" s="33"/>
      <c r="O681" s="33"/>
      <c r="P681" s="33"/>
      <c r="Q681" s="33"/>
      <c r="R681" s="33"/>
      <c r="S681" s="33"/>
      <c r="T681" s="33"/>
      <c r="U681" s="33"/>
      <c r="V681" s="33"/>
      <c r="W681" s="33"/>
      <c r="X681" s="33"/>
    </row>
    <row r="682" spans="1:24" ht="12.75" customHeight="1" x14ac:dyDescent="0.2">
      <c r="A682" s="33"/>
      <c r="B682" s="33"/>
      <c r="C682" s="84"/>
      <c r="D682" s="84"/>
      <c r="E682" s="69"/>
      <c r="F682" s="69"/>
      <c r="G682" s="76"/>
      <c r="H682" s="76"/>
      <c r="I682" s="33"/>
      <c r="J682" s="33"/>
      <c r="K682" s="33"/>
      <c r="L682" s="33"/>
      <c r="M682" s="33"/>
      <c r="N682" s="33"/>
      <c r="O682" s="33"/>
      <c r="P682" s="33"/>
      <c r="Q682" s="33"/>
      <c r="R682" s="33"/>
      <c r="S682" s="33"/>
      <c r="T682" s="33"/>
      <c r="U682" s="33"/>
      <c r="V682" s="33"/>
      <c r="W682" s="33"/>
      <c r="X682" s="33"/>
    </row>
    <row r="683" spans="1:24" ht="12.75" customHeight="1" x14ac:dyDescent="0.2">
      <c r="A683" s="33"/>
      <c r="B683" s="33"/>
      <c r="C683" s="84"/>
      <c r="D683" s="84"/>
      <c r="E683" s="69"/>
      <c r="F683" s="69"/>
      <c r="G683" s="76"/>
      <c r="H683" s="76"/>
      <c r="I683" s="33"/>
      <c r="J683" s="33"/>
      <c r="K683" s="33"/>
      <c r="L683" s="33"/>
      <c r="M683" s="33"/>
      <c r="N683" s="33"/>
      <c r="O683" s="33"/>
      <c r="P683" s="33"/>
      <c r="Q683" s="33"/>
      <c r="R683" s="33"/>
      <c r="S683" s="33"/>
      <c r="T683" s="33"/>
      <c r="U683" s="33"/>
      <c r="V683" s="33"/>
      <c r="W683" s="33"/>
      <c r="X683" s="33"/>
    </row>
    <row r="684" spans="1:24" ht="12.75" customHeight="1" x14ac:dyDescent="0.2">
      <c r="A684" s="33"/>
      <c r="B684" s="33"/>
      <c r="C684" s="84"/>
      <c r="D684" s="84"/>
      <c r="E684" s="69"/>
      <c r="F684" s="69"/>
      <c r="G684" s="76"/>
      <c r="H684" s="76"/>
      <c r="I684" s="33"/>
      <c r="J684" s="33"/>
      <c r="K684" s="33"/>
      <c r="L684" s="33"/>
      <c r="M684" s="33"/>
      <c r="N684" s="33"/>
      <c r="O684" s="33"/>
      <c r="P684" s="33"/>
      <c r="Q684" s="33"/>
      <c r="R684" s="33"/>
      <c r="S684" s="33"/>
      <c r="T684" s="33"/>
      <c r="U684" s="33"/>
      <c r="V684" s="33"/>
      <c r="W684" s="33"/>
      <c r="X684" s="33"/>
    </row>
    <row r="685" spans="1:24" ht="12.75" customHeight="1" x14ac:dyDescent="0.2">
      <c r="A685" s="33"/>
      <c r="B685" s="33"/>
      <c r="C685" s="84"/>
      <c r="D685" s="84"/>
      <c r="E685" s="69"/>
      <c r="F685" s="69"/>
      <c r="G685" s="76"/>
      <c r="H685" s="76"/>
      <c r="I685" s="33"/>
      <c r="J685" s="33"/>
      <c r="K685" s="33"/>
      <c r="L685" s="33"/>
      <c r="M685" s="33"/>
      <c r="N685" s="33"/>
      <c r="O685" s="33"/>
      <c r="P685" s="33"/>
      <c r="Q685" s="33"/>
      <c r="R685" s="33"/>
      <c r="S685" s="33"/>
      <c r="T685" s="33"/>
      <c r="U685" s="33"/>
      <c r="V685" s="33"/>
      <c r="W685" s="33"/>
      <c r="X685" s="33"/>
    </row>
    <row r="686" spans="1:24" ht="12.75" customHeight="1" x14ac:dyDescent="0.2">
      <c r="A686" s="33"/>
      <c r="B686" s="33"/>
      <c r="C686" s="84"/>
      <c r="D686" s="84"/>
      <c r="E686" s="69"/>
      <c r="F686" s="69"/>
      <c r="G686" s="76"/>
      <c r="H686" s="76"/>
      <c r="I686" s="33"/>
      <c r="J686" s="33"/>
      <c r="K686" s="33"/>
      <c r="L686" s="33"/>
      <c r="M686" s="33"/>
      <c r="N686" s="33"/>
      <c r="O686" s="33"/>
      <c r="P686" s="33"/>
      <c r="Q686" s="33"/>
      <c r="R686" s="33"/>
      <c r="S686" s="33"/>
      <c r="T686" s="33"/>
      <c r="U686" s="33"/>
      <c r="V686" s="33"/>
      <c r="W686" s="33"/>
      <c r="X686" s="33"/>
    </row>
    <row r="687" spans="1:24" ht="12.75" customHeight="1" x14ac:dyDescent="0.2">
      <c r="A687" s="33"/>
      <c r="B687" s="33"/>
      <c r="C687" s="84"/>
      <c r="D687" s="84"/>
      <c r="E687" s="69"/>
      <c r="F687" s="69"/>
      <c r="G687" s="76"/>
      <c r="H687" s="76"/>
      <c r="I687" s="33"/>
      <c r="J687" s="33"/>
      <c r="K687" s="33"/>
      <c r="L687" s="33"/>
      <c r="M687" s="33"/>
      <c r="N687" s="33"/>
      <c r="O687" s="33"/>
      <c r="P687" s="33"/>
      <c r="Q687" s="33"/>
      <c r="R687" s="33"/>
      <c r="S687" s="33"/>
      <c r="T687" s="33"/>
      <c r="U687" s="33"/>
      <c r="V687" s="33"/>
      <c r="W687" s="33"/>
      <c r="X687" s="33"/>
    </row>
    <row r="688" spans="1:24" ht="12.75" customHeight="1" x14ac:dyDescent="0.2">
      <c r="A688" s="33"/>
      <c r="B688" s="33"/>
      <c r="C688" s="84"/>
      <c r="D688" s="84"/>
      <c r="E688" s="69"/>
      <c r="F688" s="69"/>
      <c r="G688" s="76"/>
      <c r="H688" s="76"/>
      <c r="I688" s="33"/>
      <c r="J688" s="33"/>
      <c r="K688" s="33"/>
      <c r="L688" s="33"/>
      <c r="M688" s="33"/>
      <c r="N688" s="33"/>
      <c r="O688" s="33"/>
      <c r="P688" s="33"/>
      <c r="Q688" s="33"/>
      <c r="R688" s="33"/>
      <c r="S688" s="33"/>
      <c r="T688" s="33"/>
      <c r="U688" s="33"/>
      <c r="V688" s="33"/>
      <c r="W688" s="33"/>
      <c r="X688" s="33"/>
    </row>
    <row r="689" spans="1:24" ht="12.75" customHeight="1" x14ac:dyDescent="0.2">
      <c r="A689" s="33"/>
      <c r="B689" s="33"/>
      <c r="C689" s="84"/>
      <c r="D689" s="84"/>
      <c r="E689" s="69"/>
      <c r="F689" s="69"/>
      <c r="G689" s="76"/>
      <c r="H689" s="76"/>
      <c r="I689" s="33"/>
      <c r="J689" s="33"/>
      <c r="K689" s="33"/>
      <c r="L689" s="33"/>
      <c r="M689" s="33"/>
      <c r="N689" s="33"/>
      <c r="O689" s="33"/>
      <c r="P689" s="33"/>
      <c r="Q689" s="33"/>
      <c r="R689" s="33"/>
      <c r="S689" s="33"/>
      <c r="T689" s="33"/>
      <c r="U689" s="33"/>
      <c r="V689" s="33"/>
      <c r="W689" s="33"/>
      <c r="X689" s="33"/>
    </row>
    <row r="690" spans="1:24" ht="12.75" customHeight="1" x14ac:dyDescent="0.2">
      <c r="A690" s="33"/>
      <c r="B690" s="33"/>
      <c r="C690" s="84"/>
      <c r="D690" s="84"/>
      <c r="E690" s="69"/>
      <c r="F690" s="69"/>
      <c r="G690" s="76"/>
      <c r="H690" s="76"/>
      <c r="I690" s="33"/>
      <c r="J690" s="33"/>
      <c r="K690" s="33"/>
      <c r="L690" s="33"/>
      <c r="M690" s="33"/>
      <c r="N690" s="33"/>
      <c r="O690" s="33"/>
      <c r="P690" s="33"/>
      <c r="Q690" s="33"/>
      <c r="R690" s="33"/>
      <c r="S690" s="33"/>
      <c r="T690" s="33"/>
      <c r="U690" s="33"/>
      <c r="V690" s="33"/>
      <c r="W690" s="33"/>
      <c r="X690" s="33"/>
    </row>
    <row r="691" spans="1:24" ht="12.75" customHeight="1" x14ac:dyDescent="0.2">
      <c r="A691" s="33"/>
      <c r="B691" s="33"/>
      <c r="C691" s="84"/>
      <c r="D691" s="84"/>
      <c r="E691" s="69"/>
      <c r="F691" s="69"/>
      <c r="G691" s="76"/>
      <c r="H691" s="76"/>
      <c r="I691" s="33"/>
      <c r="J691" s="33"/>
      <c r="K691" s="33"/>
      <c r="L691" s="33"/>
      <c r="M691" s="33"/>
      <c r="N691" s="33"/>
      <c r="O691" s="33"/>
      <c r="P691" s="33"/>
      <c r="Q691" s="33"/>
      <c r="R691" s="33"/>
      <c r="S691" s="33"/>
      <c r="T691" s="33"/>
      <c r="U691" s="33"/>
      <c r="V691" s="33"/>
      <c r="W691" s="33"/>
      <c r="X691" s="33"/>
    </row>
    <row r="692" spans="1:24" ht="12.75" customHeight="1" x14ac:dyDescent="0.2">
      <c r="A692" s="33"/>
      <c r="B692" s="33"/>
      <c r="C692" s="84"/>
      <c r="D692" s="84"/>
      <c r="E692" s="69"/>
      <c r="F692" s="69"/>
      <c r="G692" s="76"/>
      <c r="H692" s="76"/>
      <c r="I692" s="33"/>
      <c r="J692" s="33"/>
      <c r="K692" s="33"/>
      <c r="L692" s="33"/>
      <c r="M692" s="33"/>
      <c r="N692" s="33"/>
      <c r="O692" s="33"/>
      <c r="P692" s="33"/>
      <c r="Q692" s="33"/>
      <c r="R692" s="33"/>
      <c r="S692" s="33"/>
      <c r="T692" s="33"/>
      <c r="U692" s="33"/>
      <c r="V692" s="33"/>
      <c r="W692" s="33"/>
      <c r="X692" s="33"/>
    </row>
    <row r="693" spans="1:24" ht="12.75" customHeight="1" x14ac:dyDescent="0.2">
      <c r="A693" s="33"/>
      <c r="B693" s="33"/>
      <c r="C693" s="84"/>
      <c r="D693" s="84"/>
      <c r="E693" s="69"/>
      <c r="F693" s="69"/>
      <c r="G693" s="76"/>
      <c r="H693" s="76"/>
      <c r="I693" s="33"/>
      <c r="J693" s="33"/>
      <c r="K693" s="33"/>
      <c r="L693" s="33"/>
      <c r="M693" s="33"/>
      <c r="N693" s="33"/>
      <c r="O693" s="33"/>
      <c r="P693" s="33"/>
      <c r="Q693" s="33"/>
      <c r="R693" s="33"/>
      <c r="S693" s="33"/>
      <c r="T693" s="33"/>
      <c r="U693" s="33"/>
      <c r="V693" s="33"/>
      <c r="W693" s="33"/>
      <c r="X693" s="33"/>
    </row>
    <row r="694" spans="1:24" ht="12.75" customHeight="1" x14ac:dyDescent="0.2">
      <c r="A694" s="33"/>
      <c r="B694" s="33"/>
      <c r="C694" s="84"/>
      <c r="D694" s="84"/>
      <c r="E694" s="69"/>
      <c r="F694" s="69"/>
      <c r="G694" s="76"/>
      <c r="H694" s="76"/>
      <c r="I694" s="33"/>
      <c r="J694" s="33"/>
      <c r="K694" s="33"/>
      <c r="L694" s="33"/>
      <c r="M694" s="33"/>
      <c r="N694" s="33"/>
      <c r="O694" s="33"/>
      <c r="P694" s="33"/>
      <c r="Q694" s="33"/>
      <c r="R694" s="33"/>
      <c r="S694" s="33"/>
      <c r="T694" s="33"/>
      <c r="U694" s="33"/>
      <c r="V694" s="33"/>
      <c r="W694" s="33"/>
      <c r="X694" s="33"/>
    </row>
    <row r="695" spans="1:24" ht="12.75" customHeight="1" x14ac:dyDescent="0.2">
      <c r="A695" s="33"/>
      <c r="B695" s="33"/>
      <c r="C695" s="84"/>
      <c r="D695" s="84"/>
      <c r="E695" s="69"/>
      <c r="F695" s="69"/>
      <c r="G695" s="76"/>
      <c r="H695" s="76"/>
      <c r="I695" s="33"/>
      <c r="J695" s="33"/>
      <c r="K695" s="33"/>
      <c r="L695" s="33"/>
      <c r="M695" s="33"/>
      <c r="N695" s="33"/>
      <c r="O695" s="33"/>
      <c r="P695" s="33"/>
      <c r="Q695" s="33"/>
      <c r="R695" s="33"/>
      <c r="S695" s="33"/>
      <c r="T695" s="33"/>
      <c r="U695" s="33"/>
      <c r="V695" s="33"/>
      <c r="W695" s="33"/>
      <c r="X695" s="33"/>
    </row>
    <row r="696" spans="1:24" ht="12.75" customHeight="1" x14ac:dyDescent="0.2">
      <c r="A696" s="33"/>
      <c r="B696" s="33"/>
      <c r="C696" s="84"/>
      <c r="D696" s="84"/>
      <c r="E696" s="69"/>
      <c r="F696" s="69"/>
      <c r="G696" s="76"/>
      <c r="H696" s="76"/>
      <c r="I696" s="33"/>
      <c r="J696" s="33"/>
      <c r="K696" s="33"/>
      <c r="L696" s="33"/>
      <c r="M696" s="33"/>
      <c r="N696" s="33"/>
      <c r="O696" s="33"/>
      <c r="P696" s="33"/>
      <c r="Q696" s="33"/>
      <c r="R696" s="33"/>
      <c r="S696" s="33"/>
      <c r="T696" s="33"/>
      <c r="U696" s="33"/>
      <c r="V696" s="33"/>
      <c r="W696" s="33"/>
      <c r="X696" s="33"/>
    </row>
    <row r="697" spans="1:24" ht="12.75" customHeight="1" x14ac:dyDescent="0.2">
      <c r="A697" s="33"/>
      <c r="B697" s="33"/>
      <c r="C697" s="84"/>
      <c r="D697" s="84"/>
      <c r="E697" s="69"/>
      <c r="F697" s="69"/>
      <c r="G697" s="76"/>
      <c r="H697" s="76"/>
      <c r="I697" s="33"/>
      <c r="J697" s="33"/>
      <c r="K697" s="33"/>
      <c r="L697" s="33"/>
      <c r="M697" s="33"/>
      <c r="N697" s="33"/>
      <c r="O697" s="33"/>
      <c r="P697" s="33"/>
      <c r="Q697" s="33"/>
      <c r="R697" s="33"/>
      <c r="S697" s="33"/>
      <c r="T697" s="33"/>
      <c r="U697" s="33"/>
      <c r="V697" s="33"/>
      <c r="W697" s="33"/>
      <c r="X697" s="33"/>
    </row>
    <row r="698" spans="1:24" ht="12.75" customHeight="1" x14ac:dyDescent="0.2">
      <c r="A698" s="33"/>
      <c r="B698" s="33"/>
      <c r="C698" s="84"/>
      <c r="D698" s="84"/>
      <c r="E698" s="69"/>
      <c r="F698" s="69"/>
      <c r="G698" s="76"/>
      <c r="H698" s="76"/>
      <c r="I698" s="33"/>
      <c r="J698" s="33"/>
      <c r="K698" s="33"/>
      <c r="L698" s="33"/>
      <c r="M698" s="33"/>
      <c r="N698" s="33"/>
      <c r="O698" s="33"/>
      <c r="P698" s="33"/>
      <c r="Q698" s="33"/>
      <c r="R698" s="33"/>
      <c r="S698" s="33"/>
      <c r="T698" s="33"/>
      <c r="U698" s="33"/>
      <c r="V698" s="33"/>
      <c r="W698" s="33"/>
      <c r="X698" s="33"/>
    </row>
    <row r="699" spans="1:24" ht="12.75" customHeight="1" x14ac:dyDescent="0.2">
      <c r="A699" s="33"/>
      <c r="B699" s="33"/>
      <c r="C699" s="84"/>
      <c r="D699" s="84"/>
      <c r="E699" s="69"/>
      <c r="F699" s="69"/>
      <c r="G699" s="76"/>
      <c r="H699" s="76"/>
      <c r="I699" s="33"/>
      <c r="J699" s="33"/>
      <c r="K699" s="33"/>
      <c r="L699" s="33"/>
      <c r="M699" s="33"/>
      <c r="N699" s="33"/>
      <c r="O699" s="33"/>
      <c r="P699" s="33"/>
      <c r="Q699" s="33"/>
      <c r="R699" s="33"/>
      <c r="S699" s="33"/>
      <c r="T699" s="33"/>
      <c r="U699" s="33"/>
      <c r="V699" s="33"/>
      <c r="W699" s="33"/>
      <c r="X699" s="33"/>
    </row>
    <row r="700" spans="1:24" ht="12.75" customHeight="1" x14ac:dyDescent="0.2">
      <c r="A700" s="33"/>
      <c r="B700" s="33"/>
      <c r="C700" s="84"/>
      <c r="D700" s="84"/>
      <c r="E700" s="69"/>
      <c r="F700" s="69"/>
      <c r="G700" s="76"/>
      <c r="H700" s="76"/>
      <c r="I700" s="33"/>
      <c r="J700" s="33"/>
      <c r="K700" s="33"/>
      <c r="L700" s="33"/>
      <c r="M700" s="33"/>
      <c r="N700" s="33"/>
      <c r="O700" s="33"/>
      <c r="P700" s="33"/>
      <c r="Q700" s="33"/>
      <c r="R700" s="33"/>
      <c r="S700" s="33"/>
      <c r="T700" s="33"/>
      <c r="U700" s="33"/>
      <c r="V700" s="33"/>
      <c r="W700" s="33"/>
      <c r="X700" s="33"/>
    </row>
    <row r="701" spans="1:24" ht="12.75" customHeight="1" x14ac:dyDescent="0.2">
      <c r="A701" s="33"/>
      <c r="B701" s="33"/>
      <c r="C701" s="84"/>
      <c r="D701" s="84"/>
      <c r="E701" s="69"/>
      <c r="F701" s="69"/>
      <c r="G701" s="76"/>
      <c r="H701" s="76"/>
      <c r="I701" s="33"/>
      <c r="J701" s="33"/>
      <c r="K701" s="33"/>
      <c r="L701" s="33"/>
      <c r="M701" s="33"/>
      <c r="N701" s="33"/>
      <c r="O701" s="33"/>
      <c r="P701" s="33"/>
      <c r="Q701" s="33"/>
      <c r="R701" s="33"/>
      <c r="S701" s="33"/>
      <c r="T701" s="33"/>
      <c r="U701" s="33"/>
      <c r="V701" s="33"/>
      <c r="W701" s="33"/>
      <c r="X701" s="33"/>
    </row>
    <row r="702" spans="1:24" ht="12.75" customHeight="1" x14ac:dyDescent="0.2">
      <c r="A702" s="33"/>
      <c r="B702" s="33"/>
      <c r="C702" s="84"/>
      <c r="D702" s="84"/>
      <c r="E702" s="69"/>
      <c r="F702" s="69"/>
      <c r="G702" s="76"/>
      <c r="H702" s="76"/>
      <c r="I702" s="33"/>
      <c r="J702" s="33"/>
      <c r="K702" s="33"/>
      <c r="L702" s="33"/>
      <c r="M702" s="33"/>
      <c r="N702" s="33"/>
      <c r="O702" s="33"/>
      <c r="P702" s="33"/>
      <c r="Q702" s="33"/>
      <c r="R702" s="33"/>
      <c r="S702" s="33"/>
      <c r="T702" s="33"/>
      <c r="U702" s="33"/>
      <c r="V702" s="33"/>
      <c r="W702" s="33"/>
      <c r="X702" s="33"/>
    </row>
    <row r="703" spans="1:24" ht="12.75" customHeight="1" x14ac:dyDescent="0.2">
      <c r="A703" s="33"/>
      <c r="B703" s="33"/>
      <c r="C703" s="84"/>
      <c r="D703" s="84"/>
      <c r="E703" s="69"/>
      <c r="F703" s="69"/>
      <c r="G703" s="76"/>
      <c r="H703" s="76"/>
      <c r="I703" s="33"/>
      <c r="J703" s="33"/>
      <c r="K703" s="33"/>
      <c r="L703" s="33"/>
      <c r="M703" s="33"/>
      <c r="N703" s="33"/>
      <c r="O703" s="33"/>
      <c r="P703" s="33"/>
      <c r="Q703" s="33"/>
      <c r="R703" s="33"/>
      <c r="S703" s="33"/>
      <c r="T703" s="33"/>
      <c r="U703" s="33"/>
      <c r="V703" s="33"/>
      <c r="W703" s="33"/>
      <c r="X703" s="33"/>
    </row>
    <row r="704" spans="1:24" ht="12.75" customHeight="1" x14ac:dyDescent="0.2">
      <c r="A704" s="33"/>
      <c r="B704" s="33"/>
      <c r="C704" s="84"/>
      <c r="D704" s="84"/>
      <c r="E704" s="69"/>
      <c r="F704" s="69"/>
      <c r="G704" s="76"/>
      <c r="H704" s="76"/>
      <c r="I704" s="33"/>
      <c r="J704" s="33"/>
      <c r="K704" s="33"/>
      <c r="L704" s="33"/>
      <c r="M704" s="33"/>
      <c r="N704" s="33"/>
      <c r="O704" s="33"/>
      <c r="P704" s="33"/>
      <c r="Q704" s="33"/>
      <c r="R704" s="33"/>
      <c r="S704" s="33"/>
      <c r="T704" s="33"/>
      <c r="U704" s="33"/>
      <c r="V704" s="33"/>
      <c r="W704" s="33"/>
      <c r="X704" s="33"/>
    </row>
    <row r="705" spans="1:24" ht="12.75" customHeight="1" x14ac:dyDescent="0.2">
      <c r="A705" s="33"/>
      <c r="B705" s="33"/>
      <c r="C705" s="84"/>
      <c r="D705" s="84"/>
      <c r="E705" s="69"/>
      <c r="F705" s="69"/>
      <c r="G705" s="76"/>
      <c r="H705" s="76"/>
      <c r="I705" s="33"/>
      <c r="J705" s="33"/>
      <c r="K705" s="33"/>
      <c r="L705" s="33"/>
      <c r="M705" s="33"/>
      <c r="N705" s="33"/>
      <c r="O705" s="33"/>
      <c r="P705" s="33"/>
      <c r="Q705" s="33"/>
      <c r="R705" s="33"/>
      <c r="S705" s="33"/>
      <c r="T705" s="33"/>
      <c r="U705" s="33"/>
      <c r="V705" s="33"/>
      <c r="W705" s="33"/>
      <c r="X705" s="33"/>
    </row>
    <row r="706" spans="1:24" ht="12.75" customHeight="1" x14ac:dyDescent="0.2">
      <c r="A706" s="33"/>
      <c r="B706" s="33"/>
      <c r="C706" s="84"/>
      <c r="D706" s="84"/>
      <c r="E706" s="69"/>
      <c r="F706" s="69"/>
      <c r="G706" s="76"/>
      <c r="H706" s="76"/>
      <c r="I706" s="33"/>
      <c r="J706" s="33"/>
      <c r="K706" s="33"/>
      <c r="L706" s="33"/>
      <c r="M706" s="33"/>
      <c r="N706" s="33"/>
      <c r="O706" s="33"/>
      <c r="P706" s="33"/>
      <c r="Q706" s="33"/>
      <c r="R706" s="33"/>
      <c r="S706" s="33"/>
      <c r="T706" s="33"/>
      <c r="U706" s="33"/>
      <c r="V706" s="33"/>
      <c r="W706" s="33"/>
      <c r="X706" s="33"/>
    </row>
    <row r="707" spans="1:24" ht="12.75" customHeight="1" x14ac:dyDescent="0.2">
      <c r="A707" s="33"/>
      <c r="B707" s="33"/>
      <c r="C707" s="84"/>
      <c r="D707" s="84"/>
      <c r="E707" s="69"/>
      <c r="F707" s="69"/>
      <c r="G707" s="76"/>
      <c r="H707" s="76"/>
      <c r="I707" s="33"/>
      <c r="J707" s="33"/>
      <c r="K707" s="33"/>
      <c r="L707" s="33"/>
      <c r="M707" s="33"/>
      <c r="N707" s="33"/>
      <c r="O707" s="33"/>
      <c r="P707" s="33"/>
      <c r="Q707" s="33"/>
      <c r="R707" s="33"/>
      <c r="S707" s="33"/>
      <c r="T707" s="33"/>
      <c r="U707" s="33"/>
      <c r="V707" s="33"/>
      <c r="W707" s="33"/>
      <c r="X707" s="33"/>
    </row>
    <row r="708" spans="1:24" ht="12.75" customHeight="1" x14ac:dyDescent="0.2">
      <c r="A708" s="33"/>
      <c r="B708" s="33"/>
      <c r="C708" s="84"/>
      <c r="D708" s="84"/>
      <c r="E708" s="69"/>
      <c r="F708" s="69"/>
      <c r="G708" s="76"/>
      <c r="H708" s="76"/>
      <c r="I708" s="33"/>
      <c r="J708" s="33"/>
      <c r="K708" s="33"/>
      <c r="L708" s="33"/>
      <c r="M708" s="33"/>
      <c r="N708" s="33"/>
      <c r="O708" s="33"/>
      <c r="P708" s="33"/>
      <c r="Q708" s="33"/>
      <c r="R708" s="33"/>
      <c r="S708" s="33"/>
      <c r="T708" s="33"/>
      <c r="U708" s="33"/>
      <c r="V708" s="33"/>
      <c r="W708" s="33"/>
      <c r="X708" s="33"/>
    </row>
    <row r="709" spans="1:24" ht="12.75" customHeight="1" x14ac:dyDescent="0.2">
      <c r="A709" s="33"/>
      <c r="B709" s="33"/>
      <c r="C709" s="84"/>
      <c r="D709" s="84"/>
      <c r="E709" s="69"/>
      <c r="F709" s="69"/>
      <c r="G709" s="76"/>
      <c r="H709" s="76"/>
      <c r="I709" s="33"/>
      <c r="J709" s="33"/>
      <c r="K709" s="33"/>
      <c r="L709" s="33"/>
      <c r="M709" s="33"/>
      <c r="N709" s="33"/>
      <c r="O709" s="33"/>
      <c r="P709" s="33"/>
      <c r="Q709" s="33"/>
      <c r="R709" s="33"/>
      <c r="S709" s="33"/>
      <c r="T709" s="33"/>
      <c r="U709" s="33"/>
      <c r="V709" s="33"/>
      <c r="W709" s="33"/>
      <c r="X709" s="33"/>
    </row>
    <row r="710" spans="1:24" ht="12.75" customHeight="1" x14ac:dyDescent="0.2">
      <c r="A710" s="33"/>
      <c r="B710" s="33"/>
      <c r="C710" s="84"/>
      <c r="D710" s="84"/>
      <c r="E710" s="69"/>
      <c r="F710" s="69"/>
      <c r="G710" s="76"/>
      <c r="H710" s="76"/>
      <c r="I710" s="33"/>
      <c r="J710" s="33"/>
      <c r="K710" s="33"/>
      <c r="L710" s="33"/>
      <c r="M710" s="33"/>
      <c r="N710" s="33"/>
      <c r="O710" s="33"/>
      <c r="P710" s="33"/>
      <c r="Q710" s="33"/>
      <c r="R710" s="33"/>
      <c r="S710" s="33"/>
      <c r="T710" s="33"/>
      <c r="U710" s="33"/>
      <c r="V710" s="33"/>
      <c r="W710" s="33"/>
      <c r="X710" s="33"/>
    </row>
    <row r="711" spans="1:24" ht="12.75" customHeight="1" x14ac:dyDescent="0.2">
      <c r="A711" s="33"/>
      <c r="B711" s="33"/>
      <c r="C711" s="84"/>
      <c r="D711" s="84"/>
      <c r="E711" s="69"/>
      <c r="F711" s="69"/>
      <c r="G711" s="76"/>
      <c r="H711" s="76"/>
      <c r="I711" s="33"/>
      <c r="J711" s="33"/>
      <c r="K711" s="33"/>
      <c r="L711" s="33"/>
      <c r="M711" s="33"/>
      <c r="N711" s="33"/>
      <c r="O711" s="33"/>
      <c r="P711" s="33"/>
      <c r="Q711" s="33"/>
      <c r="R711" s="33"/>
      <c r="S711" s="33"/>
      <c r="T711" s="33"/>
      <c r="U711" s="33"/>
      <c r="V711" s="33"/>
      <c r="W711" s="33"/>
      <c r="X711" s="33"/>
    </row>
    <row r="712" spans="1:24" ht="12.75" customHeight="1" x14ac:dyDescent="0.2">
      <c r="A712" s="33"/>
      <c r="B712" s="33"/>
      <c r="C712" s="84"/>
      <c r="D712" s="84"/>
      <c r="E712" s="69"/>
      <c r="F712" s="69"/>
      <c r="G712" s="76"/>
      <c r="H712" s="76"/>
      <c r="I712" s="33"/>
      <c r="J712" s="33"/>
      <c r="K712" s="33"/>
      <c r="L712" s="33"/>
      <c r="M712" s="33"/>
      <c r="N712" s="33"/>
      <c r="O712" s="33"/>
      <c r="P712" s="33"/>
      <c r="Q712" s="33"/>
      <c r="R712" s="33"/>
      <c r="S712" s="33"/>
      <c r="T712" s="33"/>
      <c r="U712" s="33"/>
      <c r="V712" s="33"/>
      <c r="W712" s="33"/>
      <c r="X712" s="33"/>
    </row>
    <row r="713" spans="1:24" ht="12.75" customHeight="1" x14ac:dyDescent="0.2">
      <c r="A713" s="33"/>
      <c r="B713" s="33"/>
      <c r="C713" s="84"/>
      <c r="D713" s="84"/>
      <c r="E713" s="69"/>
      <c r="F713" s="69"/>
      <c r="G713" s="76"/>
      <c r="H713" s="76"/>
      <c r="I713" s="33"/>
      <c r="J713" s="33"/>
      <c r="K713" s="33"/>
      <c r="L713" s="33"/>
      <c r="M713" s="33"/>
      <c r="N713" s="33"/>
      <c r="O713" s="33"/>
      <c r="P713" s="33"/>
      <c r="Q713" s="33"/>
      <c r="R713" s="33"/>
      <c r="S713" s="33"/>
      <c r="T713" s="33"/>
      <c r="U713" s="33"/>
      <c r="V713" s="33"/>
      <c r="W713" s="33"/>
      <c r="X713" s="33"/>
    </row>
    <row r="714" spans="1:24" ht="12.75" customHeight="1" x14ac:dyDescent="0.2">
      <c r="A714" s="33"/>
      <c r="B714" s="33"/>
      <c r="C714" s="84"/>
      <c r="D714" s="84"/>
      <c r="E714" s="69"/>
      <c r="F714" s="69"/>
      <c r="G714" s="76"/>
      <c r="H714" s="76"/>
      <c r="I714" s="33"/>
      <c r="J714" s="33"/>
      <c r="K714" s="33"/>
      <c r="L714" s="33"/>
      <c r="M714" s="33"/>
      <c r="N714" s="33"/>
      <c r="O714" s="33"/>
      <c r="P714" s="33"/>
      <c r="Q714" s="33"/>
      <c r="R714" s="33"/>
      <c r="S714" s="33"/>
      <c r="T714" s="33"/>
      <c r="U714" s="33"/>
      <c r="V714" s="33"/>
      <c r="W714" s="33"/>
      <c r="X714" s="33"/>
    </row>
    <row r="715" spans="1:24" ht="12.75" customHeight="1" x14ac:dyDescent="0.2">
      <c r="A715" s="33"/>
      <c r="B715" s="33"/>
      <c r="C715" s="84"/>
      <c r="D715" s="84"/>
      <c r="E715" s="69"/>
      <c r="F715" s="69"/>
      <c r="G715" s="76"/>
      <c r="H715" s="76"/>
      <c r="I715" s="33"/>
      <c r="J715" s="33"/>
      <c r="K715" s="33"/>
      <c r="L715" s="33"/>
      <c r="M715" s="33"/>
      <c r="N715" s="33"/>
      <c r="O715" s="33"/>
      <c r="P715" s="33"/>
      <c r="Q715" s="33"/>
      <c r="R715" s="33"/>
      <c r="S715" s="33"/>
      <c r="T715" s="33"/>
      <c r="U715" s="33"/>
      <c r="V715" s="33"/>
      <c r="W715" s="33"/>
      <c r="X715" s="33"/>
    </row>
    <row r="716" spans="1:24" ht="12.75" customHeight="1" x14ac:dyDescent="0.2">
      <c r="A716" s="33"/>
      <c r="B716" s="33"/>
      <c r="C716" s="84"/>
      <c r="D716" s="84"/>
      <c r="E716" s="69"/>
      <c r="F716" s="69"/>
      <c r="G716" s="76"/>
      <c r="H716" s="76"/>
      <c r="I716" s="33"/>
      <c r="J716" s="33"/>
      <c r="K716" s="33"/>
      <c r="L716" s="33"/>
      <c r="M716" s="33"/>
      <c r="N716" s="33"/>
      <c r="O716" s="33"/>
      <c r="P716" s="33"/>
      <c r="Q716" s="33"/>
      <c r="R716" s="33"/>
      <c r="S716" s="33"/>
      <c r="T716" s="33"/>
      <c r="U716" s="33"/>
      <c r="V716" s="33"/>
      <c r="W716" s="33"/>
      <c r="X716" s="33"/>
    </row>
    <row r="717" spans="1:24" ht="12.75" customHeight="1" x14ac:dyDescent="0.2">
      <c r="A717" s="33"/>
      <c r="B717" s="33"/>
      <c r="C717" s="84"/>
      <c r="D717" s="84"/>
      <c r="E717" s="69"/>
      <c r="F717" s="69"/>
      <c r="G717" s="76"/>
      <c r="H717" s="76"/>
      <c r="I717" s="33"/>
      <c r="J717" s="33"/>
      <c r="K717" s="33"/>
      <c r="L717" s="33"/>
      <c r="M717" s="33"/>
      <c r="N717" s="33"/>
      <c r="O717" s="33"/>
      <c r="P717" s="33"/>
      <c r="Q717" s="33"/>
      <c r="R717" s="33"/>
      <c r="S717" s="33"/>
      <c r="T717" s="33"/>
      <c r="U717" s="33"/>
      <c r="V717" s="33"/>
      <c r="W717" s="33"/>
      <c r="X717" s="33"/>
    </row>
    <row r="718" spans="1:24" ht="12.75" customHeight="1" x14ac:dyDescent="0.2">
      <c r="A718" s="33"/>
      <c r="B718" s="33"/>
      <c r="C718" s="84"/>
      <c r="D718" s="84"/>
      <c r="E718" s="69"/>
      <c r="F718" s="69"/>
      <c r="G718" s="76"/>
      <c r="H718" s="76"/>
      <c r="I718" s="33"/>
      <c r="J718" s="33"/>
      <c r="K718" s="33"/>
      <c r="L718" s="33"/>
      <c r="M718" s="33"/>
      <c r="N718" s="33"/>
      <c r="O718" s="33"/>
      <c r="P718" s="33"/>
      <c r="Q718" s="33"/>
      <c r="R718" s="33"/>
      <c r="S718" s="33"/>
      <c r="T718" s="33"/>
      <c r="U718" s="33"/>
      <c r="V718" s="33"/>
      <c r="W718" s="33"/>
      <c r="X718" s="33"/>
    </row>
    <row r="719" spans="1:24" ht="12.75" customHeight="1" x14ac:dyDescent="0.2">
      <c r="A719" s="33"/>
      <c r="B719" s="33"/>
      <c r="C719" s="84"/>
      <c r="D719" s="84"/>
      <c r="E719" s="69"/>
      <c r="F719" s="69"/>
      <c r="G719" s="76"/>
      <c r="H719" s="76"/>
      <c r="I719" s="33"/>
      <c r="J719" s="33"/>
      <c r="K719" s="33"/>
      <c r="L719" s="33"/>
      <c r="M719" s="33"/>
      <c r="N719" s="33"/>
      <c r="O719" s="33"/>
      <c r="P719" s="33"/>
      <c r="Q719" s="33"/>
      <c r="R719" s="33"/>
      <c r="S719" s="33"/>
      <c r="T719" s="33"/>
      <c r="U719" s="33"/>
      <c r="V719" s="33"/>
      <c r="W719" s="33"/>
      <c r="X719" s="33"/>
    </row>
    <row r="720" spans="1:24" ht="12.75" customHeight="1" x14ac:dyDescent="0.2">
      <c r="A720" s="33"/>
      <c r="B720" s="33"/>
      <c r="C720" s="84"/>
      <c r="D720" s="84"/>
      <c r="E720" s="69"/>
      <c r="F720" s="69"/>
      <c r="G720" s="76"/>
      <c r="H720" s="76"/>
      <c r="I720" s="33"/>
      <c r="J720" s="33"/>
      <c r="K720" s="33"/>
      <c r="L720" s="33"/>
      <c r="M720" s="33"/>
      <c r="N720" s="33"/>
      <c r="O720" s="33"/>
      <c r="P720" s="33"/>
      <c r="Q720" s="33"/>
      <c r="R720" s="33"/>
      <c r="S720" s="33"/>
      <c r="T720" s="33"/>
      <c r="U720" s="33"/>
      <c r="V720" s="33"/>
      <c r="W720" s="33"/>
      <c r="X720" s="33"/>
    </row>
    <row r="721" spans="1:24" ht="12.75" customHeight="1" x14ac:dyDescent="0.2">
      <c r="A721" s="33"/>
      <c r="B721" s="33"/>
      <c r="C721" s="84"/>
      <c r="D721" s="84"/>
      <c r="E721" s="69"/>
      <c r="F721" s="69"/>
      <c r="G721" s="76"/>
      <c r="H721" s="76"/>
      <c r="I721" s="33"/>
      <c r="J721" s="33"/>
      <c r="K721" s="33"/>
      <c r="L721" s="33"/>
      <c r="M721" s="33"/>
      <c r="N721" s="33"/>
      <c r="O721" s="33"/>
      <c r="P721" s="33"/>
      <c r="Q721" s="33"/>
      <c r="R721" s="33"/>
      <c r="S721" s="33"/>
      <c r="T721" s="33"/>
      <c r="U721" s="33"/>
      <c r="V721" s="33"/>
      <c r="W721" s="33"/>
      <c r="X721" s="33"/>
    </row>
    <row r="722" spans="1:24" ht="12.75" customHeight="1" x14ac:dyDescent="0.2">
      <c r="A722" s="33"/>
      <c r="B722" s="33"/>
      <c r="C722" s="84"/>
      <c r="D722" s="84"/>
      <c r="E722" s="69"/>
      <c r="F722" s="69"/>
      <c r="G722" s="76"/>
      <c r="H722" s="76"/>
      <c r="I722" s="33"/>
      <c r="J722" s="33"/>
      <c r="K722" s="33"/>
      <c r="L722" s="33"/>
      <c r="M722" s="33"/>
      <c r="N722" s="33"/>
      <c r="O722" s="33"/>
      <c r="P722" s="33"/>
      <c r="Q722" s="33"/>
      <c r="R722" s="33"/>
      <c r="S722" s="33"/>
      <c r="T722" s="33"/>
      <c r="U722" s="33"/>
      <c r="V722" s="33"/>
      <c r="W722" s="33"/>
      <c r="X722" s="33"/>
    </row>
    <row r="723" spans="1:24" ht="12.75" customHeight="1" x14ac:dyDescent="0.2">
      <c r="A723" s="33"/>
      <c r="B723" s="33"/>
      <c r="C723" s="84"/>
      <c r="D723" s="84"/>
      <c r="E723" s="69"/>
      <c r="F723" s="69"/>
      <c r="G723" s="76"/>
      <c r="H723" s="76"/>
      <c r="I723" s="33"/>
      <c r="J723" s="33"/>
      <c r="K723" s="33"/>
      <c r="L723" s="33"/>
      <c r="M723" s="33"/>
      <c r="N723" s="33"/>
      <c r="O723" s="33"/>
      <c r="P723" s="33"/>
      <c r="Q723" s="33"/>
      <c r="R723" s="33"/>
      <c r="S723" s="33"/>
      <c r="T723" s="33"/>
      <c r="U723" s="33"/>
      <c r="V723" s="33"/>
      <c r="W723" s="33"/>
      <c r="X723" s="33"/>
    </row>
    <row r="724" spans="1:24" ht="12.75" customHeight="1" x14ac:dyDescent="0.2">
      <c r="A724" s="33"/>
      <c r="B724" s="33"/>
      <c r="C724" s="84"/>
      <c r="D724" s="84"/>
      <c r="E724" s="69"/>
      <c r="F724" s="69"/>
      <c r="G724" s="76"/>
      <c r="H724" s="76"/>
      <c r="I724" s="33"/>
      <c r="J724" s="33"/>
      <c r="K724" s="33"/>
      <c r="L724" s="33"/>
      <c r="M724" s="33"/>
      <c r="N724" s="33"/>
      <c r="O724" s="33"/>
      <c r="P724" s="33"/>
      <c r="Q724" s="33"/>
      <c r="R724" s="33"/>
      <c r="S724" s="33"/>
      <c r="T724" s="33"/>
      <c r="U724" s="33"/>
      <c r="V724" s="33"/>
      <c r="W724" s="33"/>
      <c r="X724" s="33"/>
    </row>
    <row r="725" spans="1:24" ht="12.75" customHeight="1" x14ac:dyDescent="0.2">
      <c r="A725" s="33"/>
      <c r="B725" s="33"/>
      <c r="C725" s="84"/>
      <c r="D725" s="84"/>
      <c r="E725" s="69"/>
      <c r="F725" s="69"/>
      <c r="G725" s="76"/>
      <c r="H725" s="76"/>
      <c r="I725" s="33"/>
      <c r="J725" s="33"/>
      <c r="K725" s="33"/>
      <c r="L725" s="33"/>
      <c r="M725" s="33"/>
      <c r="N725" s="33"/>
      <c r="O725" s="33"/>
      <c r="P725" s="33"/>
      <c r="Q725" s="33"/>
      <c r="R725" s="33"/>
      <c r="S725" s="33"/>
      <c r="T725" s="33"/>
      <c r="U725" s="33"/>
      <c r="V725" s="33"/>
      <c r="W725" s="33"/>
      <c r="X725" s="33"/>
    </row>
    <row r="726" spans="1:24" ht="12.75" customHeight="1" x14ac:dyDescent="0.2">
      <c r="A726" s="33"/>
      <c r="B726" s="33"/>
      <c r="C726" s="84"/>
      <c r="D726" s="84"/>
      <c r="E726" s="69"/>
      <c r="F726" s="69"/>
      <c r="G726" s="76"/>
      <c r="H726" s="76"/>
      <c r="I726" s="33"/>
      <c r="J726" s="33"/>
      <c r="K726" s="33"/>
      <c r="L726" s="33"/>
      <c r="M726" s="33"/>
      <c r="N726" s="33"/>
      <c r="O726" s="33"/>
      <c r="P726" s="33"/>
      <c r="Q726" s="33"/>
      <c r="R726" s="33"/>
      <c r="S726" s="33"/>
      <c r="T726" s="33"/>
      <c r="U726" s="33"/>
      <c r="V726" s="33"/>
      <c r="W726" s="33"/>
      <c r="X726" s="33"/>
    </row>
    <row r="727" spans="1:24" ht="12.75" customHeight="1" x14ac:dyDescent="0.2">
      <c r="A727" s="33"/>
      <c r="B727" s="33"/>
      <c r="C727" s="84"/>
      <c r="D727" s="84"/>
      <c r="E727" s="69"/>
      <c r="F727" s="69"/>
      <c r="G727" s="76"/>
      <c r="H727" s="76"/>
      <c r="I727" s="33"/>
      <c r="J727" s="33"/>
      <c r="K727" s="33"/>
      <c r="L727" s="33"/>
      <c r="M727" s="33"/>
      <c r="N727" s="33"/>
      <c r="O727" s="33"/>
      <c r="P727" s="33"/>
      <c r="Q727" s="33"/>
      <c r="R727" s="33"/>
      <c r="S727" s="33"/>
      <c r="T727" s="33"/>
      <c r="U727" s="33"/>
      <c r="V727" s="33"/>
      <c r="W727" s="33"/>
      <c r="X727" s="33"/>
    </row>
    <row r="728" spans="1:24" ht="12.75" customHeight="1" x14ac:dyDescent="0.2">
      <c r="A728" s="33"/>
      <c r="B728" s="33"/>
      <c r="C728" s="84"/>
      <c r="D728" s="84"/>
      <c r="E728" s="69"/>
      <c r="F728" s="69"/>
      <c r="G728" s="76"/>
      <c r="H728" s="76"/>
      <c r="I728" s="33"/>
      <c r="J728" s="33"/>
      <c r="K728" s="33"/>
      <c r="L728" s="33"/>
      <c r="M728" s="33"/>
      <c r="N728" s="33"/>
      <c r="O728" s="33"/>
      <c r="P728" s="33"/>
      <c r="Q728" s="33"/>
      <c r="R728" s="33"/>
      <c r="S728" s="33"/>
      <c r="T728" s="33"/>
      <c r="U728" s="33"/>
      <c r="V728" s="33"/>
      <c r="W728" s="33"/>
      <c r="X728" s="33"/>
    </row>
    <row r="729" spans="1:24" ht="12.75" customHeight="1" x14ac:dyDescent="0.2">
      <c r="A729" s="33"/>
      <c r="B729" s="33"/>
      <c r="C729" s="84"/>
      <c r="D729" s="84"/>
      <c r="E729" s="69"/>
      <c r="F729" s="69"/>
      <c r="G729" s="76"/>
      <c r="H729" s="76"/>
      <c r="I729" s="33"/>
      <c r="J729" s="33"/>
      <c r="K729" s="33"/>
      <c r="L729" s="33"/>
      <c r="M729" s="33"/>
      <c r="N729" s="33"/>
      <c r="O729" s="33"/>
      <c r="P729" s="33"/>
      <c r="Q729" s="33"/>
      <c r="R729" s="33"/>
      <c r="S729" s="33"/>
      <c r="T729" s="33"/>
      <c r="U729" s="33"/>
      <c r="V729" s="33"/>
      <c r="W729" s="33"/>
      <c r="X729" s="33"/>
    </row>
    <row r="730" spans="1:24" ht="12.75" customHeight="1" x14ac:dyDescent="0.2">
      <c r="A730" s="33"/>
      <c r="B730" s="33"/>
      <c r="C730" s="84"/>
      <c r="D730" s="84"/>
      <c r="E730" s="69"/>
      <c r="F730" s="69"/>
      <c r="G730" s="76"/>
      <c r="H730" s="76"/>
      <c r="I730" s="33"/>
      <c r="J730" s="33"/>
      <c r="K730" s="33"/>
      <c r="L730" s="33"/>
      <c r="M730" s="33"/>
      <c r="N730" s="33"/>
      <c r="O730" s="33"/>
      <c r="P730" s="33"/>
      <c r="Q730" s="33"/>
      <c r="R730" s="33"/>
      <c r="S730" s="33"/>
      <c r="T730" s="33"/>
      <c r="U730" s="33"/>
      <c r="V730" s="33"/>
      <c r="W730" s="33"/>
      <c r="X730" s="33"/>
    </row>
    <row r="731" spans="1:24" ht="12.75" customHeight="1" x14ac:dyDescent="0.2">
      <c r="A731" s="33"/>
      <c r="B731" s="33"/>
      <c r="C731" s="84"/>
      <c r="D731" s="84"/>
      <c r="E731" s="69"/>
      <c r="F731" s="69"/>
      <c r="G731" s="76"/>
      <c r="H731" s="76"/>
      <c r="I731" s="33"/>
      <c r="J731" s="33"/>
      <c r="K731" s="33"/>
      <c r="L731" s="33"/>
      <c r="M731" s="33"/>
      <c r="N731" s="33"/>
      <c r="O731" s="33"/>
      <c r="P731" s="33"/>
      <c r="Q731" s="33"/>
      <c r="R731" s="33"/>
      <c r="S731" s="33"/>
      <c r="T731" s="33"/>
      <c r="U731" s="33"/>
      <c r="V731" s="33"/>
      <c r="W731" s="33"/>
      <c r="X731" s="33"/>
    </row>
    <row r="732" spans="1:24" ht="12.75" customHeight="1" x14ac:dyDescent="0.2">
      <c r="A732" s="33"/>
      <c r="B732" s="33"/>
      <c r="C732" s="84"/>
      <c r="D732" s="84"/>
      <c r="E732" s="69"/>
      <c r="F732" s="69"/>
      <c r="G732" s="76"/>
      <c r="H732" s="76"/>
      <c r="I732" s="33"/>
      <c r="J732" s="33"/>
      <c r="K732" s="33"/>
      <c r="L732" s="33"/>
      <c r="M732" s="33"/>
      <c r="N732" s="33"/>
      <c r="O732" s="33"/>
      <c r="P732" s="33"/>
      <c r="Q732" s="33"/>
      <c r="R732" s="33"/>
      <c r="S732" s="33"/>
      <c r="T732" s="33"/>
      <c r="U732" s="33"/>
      <c r="V732" s="33"/>
      <c r="W732" s="33"/>
      <c r="X732" s="33"/>
    </row>
    <row r="733" spans="1:24" ht="12.75" customHeight="1" x14ac:dyDescent="0.2">
      <c r="A733" s="33"/>
      <c r="B733" s="33"/>
      <c r="C733" s="84"/>
      <c r="D733" s="84"/>
      <c r="E733" s="69"/>
      <c r="F733" s="69"/>
      <c r="G733" s="76"/>
      <c r="H733" s="76"/>
      <c r="I733" s="33"/>
      <c r="J733" s="33"/>
      <c r="K733" s="33"/>
      <c r="L733" s="33"/>
      <c r="M733" s="33"/>
      <c r="N733" s="33"/>
      <c r="O733" s="33"/>
      <c r="P733" s="33"/>
      <c r="Q733" s="33"/>
      <c r="R733" s="33"/>
      <c r="S733" s="33"/>
      <c r="T733" s="33"/>
      <c r="U733" s="33"/>
      <c r="V733" s="33"/>
      <c r="W733" s="33"/>
      <c r="X733" s="33"/>
    </row>
    <row r="734" spans="1:24" ht="12.75" customHeight="1" x14ac:dyDescent="0.2">
      <c r="A734" s="33"/>
      <c r="B734" s="33"/>
      <c r="C734" s="84"/>
      <c r="D734" s="84"/>
      <c r="E734" s="69"/>
      <c r="F734" s="69"/>
      <c r="G734" s="76"/>
      <c r="H734" s="76"/>
      <c r="I734" s="33"/>
      <c r="J734" s="33"/>
      <c r="K734" s="33"/>
      <c r="L734" s="33"/>
      <c r="M734" s="33"/>
      <c r="N734" s="33"/>
      <c r="O734" s="33"/>
      <c r="P734" s="33"/>
      <c r="Q734" s="33"/>
      <c r="R734" s="33"/>
      <c r="S734" s="33"/>
      <c r="T734" s="33"/>
      <c r="U734" s="33"/>
      <c r="V734" s="33"/>
      <c r="W734" s="33"/>
      <c r="X734" s="33"/>
    </row>
    <row r="735" spans="1:24" ht="12.75" customHeight="1" x14ac:dyDescent="0.2">
      <c r="A735" s="33"/>
      <c r="B735" s="33"/>
      <c r="C735" s="84"/>
      <c r="D735" s="84"/>
      <c r="E735" s="69"/>
      <c r="F735" s="69"/>
      <c r="G735" s="76"/>
      <c r="H735" s="76"/>
      <c r="I735" s="33"/>
      <c r="J735" s="33"/>
      <c r="K735" s="33"/>
      <c r="L735" s="33"/>
      <c r="M735" s="33"/>
      <c r="N735" s="33"/>
      <c r="O735" s="33"/>
      <c r="P735" s="33"/>
      <c r="Q735" s="33"/>
      <c r="R735" s="33"/>
      <c r="S735" s="33"/>
      <c r="T735" s="33"/>
      <c r="U735" s="33"/>
      <c r="V735" s="33"/>
      <c r="W735" s="33"/>
      <c r="X735" s="33"/>
    </row>
    <row r="736" spans="1:24" ht="12.75" customHeight="1" x14ac:dyDescent="0.2">
      <c r="A736" s="33"/>
      <c r="B736" s="33"/>
      <c r="C736" s="84"/>
      <c r="D736" s="84"/>
      <c r="E736" s="69"/>
      <c r="F736" s="69"/>
      <c r="G736" s="76"/>
      <c r="H736" s="76"/>
      <c r="I736" s="33"/>
      <c r="J736" s="33"/>
      <c r="K736" s="33"/>
      <c r="L736" s="33"/>
      <c r="M736" s="33"/>
      <c r="N736" s="33"/>
      <c r="O736" s="33"/>
      <c r="P736" s="33"/>
      <c r="Q736" s="33"/>
      <c r="R736" s="33"/>
      <c r="S736" s="33"/>
      <c r="T736" s="33"/>
      <c r="U736" s="33"/>
      <c r="V736" s="33"/>
      <c r="W736" s="33"/>
      <c r="X736" s="33"/>
    </row>
    <row r="737" spans="1:24" ht="12.75" customHeight="1" x14ac:dyDescent="0.2">
      <c r="A737" s="33"/>
      <c r="B737" s="33"/>
      <c r="C737" s="84"/>
      <c r="D737" s="84"/>
      <c r="E737" s="69"/>
      <c r="F737" s="69"/>
      <c r="G737" s="76"/>
      <c r="H737" s="76"/>
      <c r="I737" s="33"/>
      <c r="J737" s="33"/>
      <c r="K737" s="33"/>
      <c r="L737" s="33"/>
      <c r="M737" s="33"/>
      <c r="N737" s="33"/>
      <c r="O737" s="33"/>
      <c r="P737" s="33"/>
      <c r="Q737" s="33"/>
      <c r="R737" s="33"/>
      <c r="S737" s="33"/>
      <c r="T737" s="33"/>
      <c r="U737" s="33"/>
      <c r="V737" s="33"/>
      <c r="W737" s="33"/>
      <c r="X737" s="33"/>
    </row>
    <row r="738" spans="1:24" ht="12.75" customHeight="1" x14ac:dyDescent="0.2">
      <c r="A738" s="33"/>
      <c r="B738" s="33"/>
      <c r="C738" s="84"/>
      <c r="D738" s="84"/>
      <c r="E738" s="69"/>
      <c r="F738" s="69"/>
      <c r="G738" s="76"/>
      <c r="H738" s="76"/>
      <c r="I738" s="33"/>
      <c r="J738" s="33"/>
      <c r="K738" s="33"/>
      <c r="L738" s="33"/>
      <c r="M738" s="33"/>
      <c r="N738" s="33"/>
      <c r="O738" s="33"/>
      <c r="P738" s="33"/>
      <c r="Q738" s="33"/>
      <c r="R738" s="33"/>
      <c r="S738" s="33"/>
      <c r="T738" s="33"/>
      <c r="U738" s="33"/>
      <c r="V738" s="33"/>
      <c r="W738" s="33"/>
      <c r="X738" s="33"/>
    </row>
    <row r="739" spans="1:24" ht="12.75" customHeight="1" x14ac:dyDescent="0.2">
      <c r="A739" s="33"/>
      <c r="B739" s="33"/>
      <c r="C739" s="84"/>
      <c r="D739" s="84"/>
      <c r="E739" s="69"/>
      <c r="F739" s="69"/>
      <c r="G739" s="76"/>
      <c r="H739" s="76"/>
      <c r="I739" s="33"/>
      <c r="J739" s="33"/>
      <c r="K739" s="33"/>
      <c r="L739" s="33"/>
      <c r="M739" s="33"/>
      <c r="N739" s="33"/>
      <c r="O739" s="33"/>
      <c r="P739" s="33"/>
      <c r="Q739" s="33"/>
      <c r="R739" s="33"/>
      <c r="S739" s="33"/>
      <c r="T739" s="33"/>
      <c r="U739" s="33"/>
      <c r="V739" s="33"/>
      <c r="W739" s="33"/>
      <c r="X739" s="33"/>
    </row>
    <row r="740" spans="1:24" ht="12.75" customHeight="1" x14ac:dyDescent="0.2">
      <c r="A740" s="33"/>
      <c r="B740" s="33"/>
      <c r="C740" s="84"/>
      <c r="D740" s="84"/>
      <c r="E740" s="69"/>
      <c r="F740" s="69"/>
      <c r="G740" s="76"/>
      <c r="H740" s="76"/>
      <c r="I740" s="33"/>
      <c r="J740" s="33"/>
      <c r="K740" s="33"/>
      <c r="L740" s="33"/>
      <c r="M740" s="33"/>
      <c r="N740" s="33"/>
      <c r="O740" s="33"/>
      <c r="P740" s="33"/>
      <c r="Q740" s="33"/>
      <c r="R740" s="33"/>
      <c r="S740" s="33"/>
      <c r="T740" s="33"/>
      <c r="U740" s="33"/>
      <c r="V740" s="33"/>
      <c r="W740" s="33"/>
      <c r="X740" s="33"/>
    </row>
    <row r="741" spans="1:24" ht="12.75" customHeight="1" x14ac:dyDescent="0.2">
      <c r="A741" s="33"/>
      <c r="B741" s="33"/>
      <c r="C741" s="84"/>
      <c r="D741" s="84"/>
      <c r="E741" s="69"/>
      <c r="F741" s="69"/>
      <c r="G741" s="76"/>
      <c r="H741" s="76"/>
      <c r="I741" s="33"/>
      <c r="J741" s="33"/>
      <c r="K741" s="33"/>
      <c r="L741" s="33"/>
      <c r="M741" s="33"/>
      <c r="N741" s="33"/>
      <c r="O741" s="33"/>
      <c r="P741" s="33"/>
      <c r="Q741" s="33"/>
      <c r="R741" s="33"/>
      <c r="S741" s="33"/>
      <c r="T741" s="33"/>
      <c r="U741" s="33"/>
      <c r="V741" s="33"/>
      <c r="W741" s="33"/>
      <c r="X741" s="33"/>
    </row>
    <row r="742" spans="1:24" ht="12.75" customHeight="1" x14ac:dyDescent="0.2">
      <c r="A742" s="33"/>
      <c r="B742" s="33"/>
      <c r="C742" s="84"/>
      <c r="D742" s="84"/>
      <c r="E742" s="69"/>
      <c r="F742" s="69"/>
      <c r="G742" s="76"/>
      <c r="H742" s="76"/>
      <c r="I742" s="33"/>
      <c r="J742" s="33"/>
      <c r="K742" s="33"/>
      <c r="L742" s="33"/>
      <c r="M742" s="33"/>
      <c r="N742" s="33"/>
      <c r="O742" s="33"/>
      <c r="P742" s="33"/>
      <c r="Q742" s="33"/>
      <c r="R742" s="33"/>
      <c r="S742" s="33"/>
      <c r="T742" s="33"/>
      <c r="U742" s="33"/>
      <c r="V742" s="33"/>
      <c r="W742" s="33"/>
      <c r="X742" s="33"/>
    </row>
    <row r="743" spans="1:24" ht="12.75" customHeight="1" x14ac:dyDescent="0.2">
      <c r="A743" s="33"/>
      <c r="B743" s="33"/>
      <c r="C743" s="84"/>
      <c r="D743" s="84"/>
      <c r="E743" s="69"/>
      <c r="F743" s="69"/>
      <c r="G743" s="76"/>
      <c r="H743" s="76"/>
      <c r="I743" s="33"/>
      <c r="J743" s="33"/>
      <c r="K743" s="33"/>
      <c r="L743" s="33"/>
      <c r="M743" s="33"/>
      <c r="N743" s="33"/>
      <c r="O743" s="33"/>
      <c r="P743" s="33"/>
      <c r="Q743" s="33"/>
      <c r="R743" s="33"/>
      <c r="S743" s="33"/>
      <c r="T743" s="33"/>
      <c r="U743" s="33"/>
      <c r="V743" s="33"/>
      <c r="W743" s="33"/>
      <c r="X743" s="33"/>
    </row>
    <row r="744" spans="1:24" ht="12.75" customHeight="1" x14ac:dyDescent="0.2">
      <c r="A744" s="33"/>
      <c r="B744" s="33"/>
      <c r="C744" s="84"/>
      <c r="D744" s="84"/>
      <c r="E744" s="69"/>
      <c r="F744" s="69"/>
      <c r="G744" s="76"/>
      <c r="H744" s="76"/>
      <c r="I744" s="33"/>
      <c r="J744" s="33"/>
      <c r="K744" s="33"/>
      <c r="L744" s="33"/>
      <c r="M744" s="33"/>
      <c r="N744" s="33"/>
      <c r="O744" s="33"/>
      <c r="P744" s="33"/>
      <c r="Q744" s="33"/>
      <c r="R744" s="33"/>
      <c r="S744" s="33"/>
      <c r="T744" s="33"/>
      <c r="U744" s="33"/>
      <c r="V744" s="33"/>
      <c r="W744" s="33"/>
      <c r="X744" s="33"/>
    </row>
    <row r="745" spans="1:24" ht="12.75" customHeight="1" x14ac:dyDescent="0.2">
      <c r="A745" s="33"/>
      <c r="B745" s="33"/>
      <c r="C745" s="84"/>
      <c r="D745" s="84"/>
      <c r="E745" s="69"/>
      <c r="F745" s="69"/>
      <c r="G745" s="76"/>
      <c r="H745" s="76"/>
      <c r="I745" s="33"/>
      <c r="J745" s="33"/>
      <c r="K745" s="33"/>
      <c r="L745" s="33"/>
      <c r="M745" s="33"/>
      <c r="N745" s="33"/>
      <c r="O745" s="33"/>
      <c r="P745" s="33"/>
      <c r="Q745" s="33"/>
      <c r="R745" s="33"/>
      <c r="S745" s="33"/>
      <c r="T745" s="33"/>
      <c r="U745" s="33"/>
      <c r="V745" s="33"/>
      <c r="W745" s="33"/>
      <c r="X745" s="33"/>
    </row>
    <row r="746" spans="1:24" ht="12.75" customHeight="1" x14ac:dyDescent="0.2">
      <c r="A746" s="33"/>
      <c r="B746" s="33"/>
      <c r="C746" s="84"/>
      <c r="D746" s="84"/>
      <c r="E746" s="69"/>
      <c r="F746" s="69"/>
      <c r="G746" s="76"/>
      <c r="H746" s="76"/>
      <c r="I746" s="33"/>
      <c r="J746" s="33"/>
      <c r="K746" s="33"/>
      <c r="L746" s="33"/>
      <c r="M746" s="33"/>
      <c r="N746" s="33"/>
      <c r="O746" s="33"/>
      <c r="P746" s="33"/>
      <c r="Q746" s="33"/>
      <c r="R746" s="33"/>
      <c r="S746" s="33"/>
      <c r="T746" s="33"/>
      <c r="U746" s="33"/>
      <c r="V746" s="33"/>
      <c r="W746" s="33"/>
      <c r="X746" s="33"/>
    </row>
    <row r="747" spans="1:24" ht="12.75" customHeight="1" x14ac:dyDescent="0.2">
      <c r="A747" s="33"/>
      <c r="B747" s="33"/>
      <c r="C747" s="84"/>
      <c r="D747" s="84"/>
      <c r="E747" s="69"/>
      <c r="F747" s="69"/>
      <c r="G747" s="76"/>
      <c r="H747" s="76"/>
      <c r="I747" s="33"/>
      <c r="J747" s="33"/>
      <c r="K747" s="33"/>
      <c r="L747" s="33"/>
      <c r="M747" s="33"/>
      <c r="N747" s="33"/>
      <c r="O747" s="33"/>
      <c r="P747" s="33"/>
      <c r="Q747" s="33"/>
      <c r="R747" s="33"/>
      <c r="S747" s="33"/>
      <c r="T747" s="33"/>
      <c r="U747" s="33"/>
      <c r="V747" s="33"/>
      <c r="W747" s="33"/>
      <c r="X747" s="33"/>
    </row>
    <row r="748" spans="1:24" ht="12.75" customHeight="1" x14ac:dyDescent="0.2">
      <c r="A748" s="33"/>
      <c r="B748" s="33"/>
      <c r="C748" s="84"/>
      <c r="D748" s="84"/>
      <c r="E748" s="69"/>
      <c r="F748" s="69"/>
      <c r="G748" s="76"/>
      <c r="H748" s="76"/>
      <c r="I748" s="33"/>
      <c r="J748" s="33"/>
      <c r="K748" s="33"/>
      <c r="L748" s="33"/>
      <c r="M748" s="33"/>
      <c r="N748" s="33"/>
      <c r="O748" s="33"/>
      <c r="P748" s="33"/>
      <c r="Q748" s="33"/>
      <c r="R748" s="33"/>
      <c r="S748" s="33"/>
      <c r="T748" s="33"/>
      <c r="U748" s="33"/>
      <c r="V748" s="33"/>
      <c r="W748" s="33"/>
      <c r="X748" s="33"/>
    </row>
    <row r="749" spans="1:24" ht="12.75" customHeight="1" x14ac:dyDescent="0.2">
      <c r="A749" s="33"/>
      <c r="B749" s="33"/>
      <c r="C749" s="84"/>
      <c r="D749" s="84"/>
      <c r="E749" s="69"/>
      <c r="F749" s="69"/>
      <c r="G749" s="76"/>
      <c r="H749" s="76"/>
      <c r="I749" s="33"/>
      <c r="J749" s="33"/>
      <c r="K749" s="33"/>
      <c r="L749" s="33"/>
      <c r="M749" s="33"/>
      <c r="N749" s="33"/>
      <c r="O749" s="33"/>
      <c r="P749" s="33"/>
      <c r="Q749" s="33"/>
      <c r="R749" s="33"/>
      <c r="S749" s="33"/>
      <c r="T749" s="33"/>
      <c r="U749" s="33"/>
      <c r="V749" s="33"/>
      <c r="W749" s="33"/>
      <c r="X749" s="33"/>
    </row>
    <row r="750" spans="1:24" ht="12.75" customHeight="1" x14ac:dyDescent="0.2">
      <c r="A750" s="33"/>
      <c r="B750" s="33"/>
      <c r="C750" s="84"/>
      <c r="D750" s="84"/>
      <c r="E750" s="69"/>
      <c r="F750" s="69"/>
      <c r="G750" s="76"/>
      <c r="H750" s="76"/>
      <c r="I750" s="33"/>
      <c r="J750" s="33"/>
      <c r="K750" s="33"/>
      <c r="L750" s="33"/>
      <c r="M750" s="33"/>
      <c r="N750" s="33"/>
      <c r="O750" s="33"/>
      <c r="P750" s="33"/>
      <c r="Q750" s="33"/>
      <c r="R750" s="33"/>
      <c r="S750" s="33"/>
      <c r="T750" s="33"/>
      <c r="U750" s="33"/>
      <c r="V750" s="33"/>
      <c r="W750" s="33"/>
      <c r="X750" s="33"/>
    </row>
    <row r="751" spans="1:24" ht="12.75" customHeight="1" x14ac:dyDescent="0.2">
      <c r="A751" s="33"/>
      <c r="B751" s="33"/>
      <c r="C751" s="84"/>
      <c r="D751" s="84"/>
      <c r="E751" s="69"/>
      <c r="F751" s="69"/>
      <c r="G751" s="76"/>
      <c r="H751" s="76"/>
      <c r="I751" s="33"/>
      <c r="J751" s="33"/>
      <c r="K751" s="33"/>
      <c r="L751" s="33"/>
      <c r="M751" s="33"/>
      <c r="N751" s="33"/>
      <c r="O751" s="33"/>
      <c r="P751" s="33"/>
      <c r="Q751" s="33"/>
      <c r="R751" s="33"/>
      <c r="S751" s="33"/>
      <c r="T751" s="33"/>
      <c r="U751" s="33"/>
      <c r="V751" s="33"/>
      <c r="W751" s="33"/>
      <c r="X751" s="33"/>
    </row>
    <row r="752" spans="1:24" ht="12.75" customHeight="1" x14ac:dyDescent="0.2">
      <c r="A752" s="33"/>
      <c r="B752" s="33"/>
      <c r="C752" s="84"/>
      <c r="D752" s="84"/>
      <c r="E752" s="69"/>
      <c r="F752" s="69"/>
      <c r="G752" s="76"/>
      <c r="H752" s="76"/>
      <c r="I752" s="33"/>
      <c r="J752" s="33"/>
      <c r="K752" s="33"/>
      <c r="L752" s="33"/>
      <c r="M752" s="33"/>
      <c r="N752" s="33"/>
      <c r="O752" s="33"/>
      <c r="P752" s="33"/>
      <c r="Q752" s="33"/>
      <c r="R752" s="33"/>
      <c r="S752" s="33"/>
      <c r="T752" s="33"/>
      <c r="U752" s="33"/>
      <c r="V752" s="33"/>
      <c r="W752" s="33"/>
      <c r="X752" s="33"/>
    </row>
    <row r="753" spans="1:24" ht="12.75" customHeight="1" x14ac:dyDescent="0.2">
      <c r="A753" s="33"/>
      <c r="B753" s="33"/>
      <c r="C753" s="84"/>
      <c r="D753" s="84"/>
      <c r="E753" s="69"/>
      <c r="F753" s="69"/>
      <c r="G753" s="76"/>
      <c r="H753" s="76"/>
      <c r="I753" s="33"/>
      <c r="J753" s="33"/>
      <c r="K753" s="33"/>
      <c r="L753" s="33"/>
      <c r="M753" s="33"/>
      <c r="N753" s="33"/>
      <c r="O753" s="33"/>
      <c r="P753" s="33"/>
      <c r="Q753" s="33"/>
      <c r="R753" s="33"/>
      <c r="S753" s="33"/>
      <c r="T753" s="33"/>
      <c r="U753" s="33"/>
      <c r="V753" s="33"/>
      <c r="W753" s="33"/>
      <c r="X753" s="33"/>
    </row>
    <row r="754" spans="1:24" ht="12.75" customHeight="1" x14ac:dyDescent="0.2">
      <c r="A754" s="33"/>
      <c r="B754" s="33"/>
      <c r="C754" s="84"/>
      <c r="D754" s="84"/>
      <c r="E754" s="69"/>
      <c r="F754" s="69"/>
      <c r="G754" s="76"/>
      <c r="H754" s="76"/>
      <c r="I754" s="33"/>
      <c r="J754" s="33"/>
      <c r="K754" s="33"/>
      <c r="L754" s="33"/>
      <c r="M754" s="33"/>
      <c r="N754" s="33"/>
      <c r="O754" s="33"/>
      <c r="P754" s="33"/>
      <c r="Q754" s="33"/>
      <c r="R754" s="33"/>
      <c r="S754" s="33"/>
      <c r="T754" s="33"/>
      <c r="U754" s="33"/>
      <c r="V754" s="33"/>
      <c r="W754" s="33"/>
      <c r="X754" s="33"/>
    </row>
    <row r="755" spans="1:24" ht="12.75" customHeight="1" x14ac:dyDescent="0.2">
      <c r="A755" s="33"/>
      <c r="B755" s="33"/>
      <c r="C755" s="84"/>
      <c r="D755" s="84"/>
      <c r="E755" s="69"/>
      <c r="F755" s="69"/>
      <c r="G755" s="76"/>
      <c r="H755" s="76"/>
      <c r="I755" s="33"/>
      <c r="J755" s="33"/>
      <c r="K755" s="33"/>
      <c r="L755" s="33"/>
      <c r="M755" s="33"/>
      <c r="N755" s="33"/>
      <c r="O755" s="33"/>
      <c r="P755" s="33"/>
      <c r="Q755" s="33"/>
      <c r="R755" s="33"/>
      <c r="S755" s="33"/>
      <c r="T755" s="33"/>
      <c r="U755" s="33"/>
      <c r="V755" s="33"/>
      <c r="W755" s="33"/>
      <c r="X755" s="33"/>
    </row>
    <row r="756" spans="1:24" ht="12.75" customHeight="1" x14ac:dyDescent="0.2">
      <c r="A756" s="33"/>
      <c r="B756" s="33"/>
      <c r="C756" s="84"/>
      <c r="D756" s="84"/>
      <c r="E756" s="69"/>
      <c r="F756" s="69"/>
      <c r="G756" s="76"/>
      <c r="H756" s="76"/>
      <c r="I756" s="33"/>
      <c r="J756" s="33"/>
      <c r="K756" s="33"/>
      <c r="L756" s="33"/>
      <c r="M756" s="33"/>
      <c r="N756" s="33"/>
      <c r="O756" s="33"/>
      <c r="P756" s="33"/>
      <c r="Q756" s="33"/>
      <c r="R756" s="33"/>
      <c r="S756" s="33"/>
      <c r="T756" s="33"/>
      <c r="U756" s="33"/>
      <c r="V756" s="33"/>
      <c r="W756" s="33"/>
      <c r="X756" s="33"/>
    </row>
    <row r="757" spans="1:24" ht="12.75" customHeight="1" x14ac:dyDescent="0.2">
      <c r="A757" s="33"/>
      <c r="B757" s="33"/>
      <c r="C757" s="84"/>
      <c r="D757" s="84"/>
      <c r="E757" s="69"/>
      <c r="F757" s="69"/>
      <c r="G757" s="76"/>
      <c r="H757" s="76"/>
      <c r="I757" s="33"/>
      <c r="J757" s="33"/>
      <c r="K757" s="33"/>
      <c r="L757" s="33"/>
      <c r="M757" s="33"/>
      <c r="N757" s="33"/>
      <c r="O757" s="33"/>
      <c r="P757" s="33"/>
      <c r="Q757" s="33"/>
      <c r="R757" s="33"/>
      <c r="S757" s="33"/>
      <c r="T757" s="33"/>
      <c r="U757" s="33"/>
      <c r="V757" s="33"/>
      <c r="W757" s="33"/>
      <c r="X757" s="33"/>
    </row>
    <row r="758" spans="1:24" ht="12.75" customHeight="1" x14ac:dyDescent="0.2">
      <c r="A758" s="33"/>
      <c r="B758" s="33"/>
      <c r="C758" s="84"/>
      <c r="D758" s="84"/>
      <c r="E758" s="69"/>
      <c r="F758" s="69"/>
      <c r="G758" s="76"/>
      <c r="H758" s="76"/>
      <c r="I758" s="33"/>
      <c r="J758" s="33"/>
      <c r="K758" s="33"/>
      <c r="L758" s="33"/>
      <c r="M758" s="33"/>
      <c r="N758" s="33"/>
      <c r="O758" s="33"/>
      <c r="P758" s="33"/>
      <c r="Q758" s="33"/>
      <c r="R758" s="33"/>
      <c r="S758" s="33"/>
      <c r="T758" s="33"/>
      <c r="U758" s="33"/>
      <c r="V758" s="33"/>
      <c r="W758" s="33"/>
      <c r="X758" s="33"/>
    </row>
    <row r="759" spans="1:24" ht="12.75" customHeight="1" x14ac:dyDescent="0.2">
      <c r="A759" s="33"/>
      <c r="B759" s="33"/>
      <c r="C759" s="84"/>
      <c r="D759" s="84"/>
      <c r="E759" s="69"/>
      <c r="F759" s="69"/>
      <c r="G759" s="76"/>
      <c r="H759" s="76"/>
      <c r="I759" s="33"/>
      <c r="J759" s="33"/>
      <c r="K759" s="33"/>
      <c r="L759" s="33"/>
      <c r="M759" s="33"/>
      <c r="N759" s="33"/>
      <c r="O759" s="33"/>
      <c r="P759" s="33"/>
      <c r="Q759" s="33"/>
      <c r="R759" s="33"/>
      <c r="S759" s="33"/>
      <c r="T759" s="33"/>
      <c r="U759" s="33"/>
      <c r="V759" s="33"/>
      <c r="W759" s="33"/>
      <c r="X759" s="33"/>
    </row>
    <row r="760" spans="1:24" ht="12.75" customHeight="1" x14ac:dyDescent="0.2">
      <c r="A760" s="33"/>
      <c r="B760" s="33"/>
      <c r="C760" s="84"/>
      <c r="D760" s="84"/>
      <c r="E760" s="69"/>
      <c r="F760" s="69"/>
      <c r="G760" s="76"/>
      <c r="H760" s="76"/>
      <c r="I760" s="33"/>
      <c r="J760" s="33"/>
      <c r="K760" s="33"/>
      <c r="L760" s="33"/>
      <c r="M760" s="33"/>
      <c r="N760" s="33"/>
      <c r="O760" s="33"/>
      <c r="P760" s="33"/>
      <c r="Q760" s="33"/>
      <c r="R760" s="33"/>
      <c r="S760" s="33"/>
      <c r="T760" s="33"/>
      <c r="U760" s="33"/>
      <c r="V760" s="33"/>
      <c r="W760" s="33"/>
      <c r="X760" s="33"/>
    </row>
    <row r="761" spans="1:24" ht="12.75" customHeight="1" x14ac:dyDescent="0.2">
      <c r="A761" s="33"/>
      <c r="B761" s="33"/>
      <c r="C761" s="84"/>
      <c r="D761" s="84"/>
      <c r="E761" s="69"/>
      <c r="F761" s="69"/>
      <c r="G761" s="76"/>
      <c r="H761" s="76"/>
      <c r="I761" s="33"/>
      <c r="J761" s="33"/>
      <c r="K761" s="33"/>
      <c r="L761" s="33"/>
      <c r="M761" s="33"/>
      <c r="N761" s="33"/>
      <c r="O761" s="33"/>
      <c r="P761" s="33"/>
      <c r="Q761" s="33"/>
      <c r="R761" s="33"/>
      <c r="S761" s="33"/>
      <c r="T761" s="33"/>
      <c r="U761" s="33"/>
      <c r="V761" s="33"/>
      <c r="W761" s="33"/>
      <c r="X761" s="33"/>
    </row>
    <row r="762" spans="1:24" ht="12.75" customHeight="1" x14ac:dyDescent="0.2">
      <c r="A762" s="33"/>
      <c r="B762" s="33"/>
      <c r="C762" s="84"/>
      <c r="D762" s="84"/>
      <c r="E762" s="69"/>
      <c r="F762" s="69"/>
      <c r="G762" s="76"/>
      <c r="H762" s="76"/>
      <c r="I762" s="33"/>
      <c r="J762" s="33"/>
      <c r="K762" s="33"/>
      <c r="L762" s="33"/>
      <c r="M762" s="33"/>
      <c r="N762" s="33"/>
      <c r="O762" s="33"/>
      <c r="P762" s="33"/>
      <c r="Q762" s="33"/>
      <c r="R762" s="33"/>
      <c r="S762" s="33"/>
      <c r="T762" s="33"/>
      <c r="U762" s="33"/>
      <c r="V762" s="33"/>
      <c r="W762" s="33"/>
      <c r="X762" s="33"/>
    </row>
    <row r="763" spans="1:24" ht="12.75" customHeight="1" x14ac:dyDescent="0.2">
      <c r="A763" s="33"/>
      <c r="B763" s="33"/>
      <c r="C763" s="84"/>
      <c r="D763" s="84"/>
      <c r="E763" s="69"/>
      <c r="F763" s="69"/>
      <c r="G763" s="76"/>
      <c r="H763" s="76"/>
      <c r="I763" s="33"/>
      <c r="J763" s="33"/>
      <c r="K763" s="33"/>
      <c r="L763" s="33"/>
      <c r="M763" s="33"/>
      <c r="N763" s="33"/>
      <c r="O763" s="33"/>
      <c r="P763" s="33"/>
      <c r="Q763" s="33"/>
      <c r="R763" s="33"/>
      <c r="S763" s="33"/>
      <c r="T763" s="33"/>
      <c r="U763" s="33"/>
      <c r="V763" s="33"/>
      <c r="W763" s="33"/>
      <c r="X763" s="33"/>
    </row>
    <row r="764" spans="1:24" ht="12.75" customHeight="1" x14ac:dyDescent="0.2">
      <c r="A764" s="33"/>
      <c r="B764" s="33"/>
      <c r="C764" s="84"/>
      <c r="D764" s="84"/>
      <c r="E764" s="69"/>
      <c r="F764" s="69"/>
      <c r="G764" s="76"/>
      <c r="H764" s="76"/>
      <c r="I764" s="33"/>
      <c r="J764" s="33"/>
      <c r="K764" s="33"/>
      <c r="L764" s="33"/>
      <c r="M764" s="33"/>
      <c r="N764" s="33"/>
      <c r="O764" s="33"/>
      <c r="P764" s="33"/>
      <c r="Q764" s="33"/>
      <c r="R764" s="33"/>
      <c r="S764" s="33"/>
      <c r="T764" s="33"/>
      <c r="U764" s="33"/>
      <c r="V764" s="33"/>
      <c r="W764" s="33"/>
      <c r="X764" s="33"/>
    </row>
    <row r="765" spans="1:24" ht="12.75" customHeight="1" x14ac:dyDescent="0.2">
      <c r="A765" s="33"/>
      <c r="B765" s="33"/>
      <c r="C765" s="84"/>
      <c r="D765" s="84"/>
      <c r="E765" s="69"/>
      <c r="F765" s="69"/>
      <c r="G765" s="76"/>
      <c r="H765" s="76"/>
      <c r="I765" s="33"/>
      <c r="J765" s="33"/>
      <c r="K765" s="33"/>
      <c r="L765" s="33"/>
      <c r="M765" s="33"/>
      <c r="N765" s="33"/>
      <c r="O765" s="33"/>
      <c r="P765" s="33"/>
      <c r="Q765" s="33"/>
      <c r="R765" s="33"/>
      <c r="S765" s="33"/>
      <c r="T765" s="33"/>
      <c r="U765" s="33"/>
      <c r="V765" s="33"/>
      <c r="W765" s="33"/>
      <c r="X765" s="33"/>
    </row>
    <row r="766" spans="1:24" ht="12.75" customHeight="1" x14ac:dyDescent="0.2">
      <c r="A766" s="33"/>
      <c r="B766" s="33"/>
      <c r="C766" s="84"/>
      <c r="D766" s="84"/>
      <c r="E766" s="69"/>
      <c r="F766" s="69"/>
      <c r="G766" s="76"/>
      <c r="H766" s="76"/>
      <c r="I766" s="33"/>
      <c r="J766" s="33"/>
      <c r="K766" s="33"/>
      <c r="L766" s="33"/>
      <c r="M766" s="33"/>
      <c r="N766" s="33"/>
      <c r="O766" s="33"/>
      <c r="P766" s="33"/>
      <c r="Q766" s="33"/>
      <c r="R766" s="33"/>
      <c r="S766" s="33"/>
      <c r="T766" s="33"/>
      <c r="U766" s="33"/>
      <c r="V766" s="33"/>
      <c r="W766" s="33"/>
      <c r="X766" s="33"/>
    </row>
    <row r="767" spans="1:24" ht="12.75" customHeight="1" x14ac:dyDescent="0.2">
      <c r="A767" s="33"/>
      <c r="B767" s="33"/>
      <c r="C767" s="84"/>
      <c r="D767" s="84"/>
      <c r="E767" s="69"/>
      <c r="F767" s="69"/>
      <c r="G767" s="76"/>
      <c r="H767" s="76"/>
      <c r="I767" s="33"/>
      <c r="J767" s="33"/>
      <c r="K767" s="33"/>
      <c r="L767" s="33"/>
      <c r="M767" s="33"/>
      <c r="N767" s="33"/>
      <c r="O767" s="33"/>
      <c r="P767" s="33"/>
      <c r="Q767" s="33"/>
      <c r="R767" s="33"/>
      <c r="S767" s="33"/>
      <c r="T767" s="33"/>
      <c r="U767" s="33"/>
      <c r="V767" s="33"/>
      <c r="W767" s="33"/>
      <c r="X767" s="33"/>
    </row>
    <row r="768" spans="1:24" ht="12.75" customHeight="1" x14ac:dyDescent="0.2">
      <c r="A768" s="33"/>
      <c r="B768" s="33"/>
      <c r="C768" s="84"/>
      <c r="D768" s="84"/>
      <c r="E768" s="69"/>
      <c r="F768" s="69"/>
      <c r="G768" s="76"/>
      <c r="H768" s="76"/>
      <c r="I768" s="33"/>
      <c r="J768" s="33"/>
      <c r="K768" s="33"/>
      <c r="L768" s="33"/>
      <c r="M768" s="33"/>
      <c r="N768" s="33"/>
      <c r="O768" s="33"/>
      <c r="P768" s="33"/>
      <c r="Q768" s="33"/>
      <c r="R768" s="33"/>
      <c r="S768" s="33"/>
      <c r="T768" s="33"/>
      <c r="U768" s="33"/>
      <c r="V768" s="33"/>
      <c r="W768" s="33"/>
      <c r="X768" s="33"/>
    </row>
    <row r="769" spans="1:24" ht="12.75" customHeight="1" x14ac:dyDescent="0.2">
      <c r="A769" s="33"/>
      <c r="B769" s="33"/>
      <c r="C769" s="84"/>
      <c r="D769" s="84"/>
      <c r="E769" s="69"/>
      <c r="F769" s="69"/>
      <c r="G769" s="76"/>
      <c r="H769" s="76"/>
      <c r="I769" s="33"/>
      <c r="J769" s="33"/>
      <c r="K769" s="33"/>
      <c r="L769" s="33"/>
      <c r="M769" s="33"/>
      <c r="N769" s="33"/>
      <c r="O769" s="33"/>
      <c r="P769" s="33"/>
      <c r="Q769" s="33"/>
      <c r="R769" s="33"/>
      <c r="S769" s="33"/>
      <c r="T769" s="33"/>
      <c r="U769" s="33"/>
      <c r="V769" s="33"/>
      <c r="W769" s="33"/>
      <c r="X769" s="33"/>
    </row>
    <row r="770" spans="1:24" ht="12.75" customHeight="1" x14ac:dyDescent="0.2">
      <c r="A770" s="33"/>
      <c r="B770" s="33"/>
      <c r="C770" s="84"/>
      <c r="D770" s="84"/>
      <c r="E770" s="69"/>
      <c r="F770" s="69"/>
      <c r="G770" s="76"/>
      <c r="H770" s="76"/>
      <c r="I770" s="33"/>
      <c r="J770" s="33"/>
      <c r="K770" s="33"/>
      <c r="L770" s="33"/>
      <c r="M770" s="33"/>
      <c r="N770" s="33"/>
      <c r="O770" s="33"/>
      <c r="P770" s="33"/>
      <c r="Q770" s="33"/>
      <c r="R770" s="33"/>
      <c r="S770" s="33"/>
      <c r="T770" s="33"/>
      <c r="U770" s="33"/>
      <c r="V770" s="33"/>
      <c r="W770" s="33"/>
      <c r="X770" s="33"/>
    </row>
    <row r="771" spans="1:24" ht="12.75" customHeight="1" x14ac:dyDescent="0.2">
      <c r="A771" s="33"/>
      <c r="B771" s="33"/>
      <c r="C771" s="84"/>
      <c r="D771" s="84"/>
      <c r="E771" s="69"/>
      <c r="F771" s="69"/>
      <c r="G771" s="76"/>
      <c r="H771" s="76"/>
      <c r="I771" s="33"/>
      <c r="J771" s="33"/>
      <c r="K771" s="33"/>
      <c r="L771" s="33"/>
      <c r="M771" s="33"/>
      <c r="N771" s="33"/>
      <c r="O771" s="33"/>
      <c r="P771" s="33"/>
      <c r="Q771" s="33"/>
      <c r="R771" s="33"/>
      <c r="S771" s="33"/>
      <c r="T771" s="33"/>
      <c r="U771" s="33"/>
      <c r="V771" s="33"/>
      <c r="W771" s="33"/>
      <c r="X771" s="33"/>
    </row>
    <row r="772" spans="1:24" ht="12.75" customHeight="1" x14ac:dyDescent="0.2">
      <c r="A772" s="33"/>
      <c r="B772" s="33"/>
      <c r="C772" s="84"/>
      <c r="D772" s="84"/>
      <c r="E772" s="69"/>
      <c r="F772" s="69"/>
      <c r="G772" s="76"/>
      <c r="H772" s="76"/>
      <c r="I772" s="33"/>
      <c r="J772" s="33"/>
      <c r="K772" s="33"/>
      <c r="L772" s="33"/>
      <c r="M772" s="33"/>
      <c r="N772" s="33"/>
      <c r="O772" s="33"/>
      <c r="P772" s="33"/>
      <c r="Q772" s="33"/>
      <c r="R772" s="33"/>
      <c r="S772" s="33"/>
      <c r="T772" s="33"/>
      <c r="U772" s="33"/>
      <c r="V772" s="33"/>
      <c r="W772" s="33"/>
      <c r="X772" s="33"/>
    </row>
    <row r="773" spans="1:24" ht="12.75" customHeight="1" x14ac:dyDescent="0.2">
      <c r="A773" s="33"/>
      <c r="B773" s="33"/>
      <c r="C773" s="84"/>
      <c r="D773" s="84"/>
      <c r="E773" s="69"/>
      <c r="F773" s="69"/>
      <c r="G773" s="76"/>
      <c r="H773" s="76"/>
      <c r="I773" s="33"/>
      <c r="J773" s="33"/>
      <c r="K773" s="33"/>
      <c r="L773" s="33"/>
      <c r="M773" s="33"/>
      <c r="N773" s="33"/>
      <c r="O773" s="33"/>
      <c r="P773" s="33"/>
      <c r="Q773" s="33"/>
      <c r="R773" s="33"/>
      <c r="S773" s="33"/>
      <c r="T773" s="33"/>
      <c r="U773" s="33"/>
      <c r="V773" s="33"/>
      <c r="W773" s="33"/>
      <c r="X773" s="33"/>
    </row>
    <row r="774" spans="1:24" ht="12.75" customHeight="1" x14ac:dyDescent="0.2">
      <c r="A774" s="33"/>
      <c r="B774" s="33"/>
      <c r="C774" s="84"/>
      <c r="D774" s="84"/>
      <c r="E774" s="69"/>
      <c r="F774" s="69"/>
      <c r="G774" s="76"/>
      <c r="H774" s="76"/>
      <c r="I774" s="33"/>
      <c r="J774" s="33"/>
      <c r="K774" s="33"/>
      <c r="L774" s="33"/>
      <c r="M774" s="33"/>
      <c r="N774" s="33"/>
      <c r="O774" s="33"/>
      <c r="P774" s="33"/>
      <c r="Q774" s="33"/>
      <c r="R774" s="33"/>
      <c r="S774" s="33"/>
      <c r="T774" s="33"/>
      <c r="U774" s="33"/>
      <c r="V774" s="33"/>
      <c r="W774" s="33"/>
      <c r="X774" s="33"/>
    </row>
    <row r="775" spans="1:24" ht="12.75" customHeight="1" x14ac:dyDescent="0.2">
      <c r="A775" s="33"/>
      <c r="B775" s="33"/>
      <c r="C775" s="84"/>
      <c r="D775" s="84"/>
      <c r="E775" s="69"/>
      <c r="F775" s="69"/>
      <c r="G775" s="76"/>
      <c r="H775" s="76"/>
      <c r="I775" s="33"/>
      <c r="J775" s="33"/>
      <c r="K775" s="33"/>
      <c r="L775" s="33"/>
      <c r="M775" s="33"/>
      <c r="N775" s="33"/>
      <c r="O775" s="33"/>
      <c r="P775" s="33"/>
      <c r="Q775" s="33"/>
      <c r="R775" s="33"/>
      <c r="S775" s="33"/>
      <c r="T775" s="33"/>
      <c r="U775" s="33"/>
      <c r="V775" s="33"/>
      <c r="W775" s="33"/>
      <c r="X775" s="33"/>
    </row>
    <row r="776" spans="1:24" ht="12.75" customHeight="1" x14ac:dyDescent="0.2">
      <c r="A776" s="33"/>
      <c r="B776" s="33"/>
      <c r="C776" s="84"/>
      <c r="D776" s="84"/>
      <c r="E776" s="69"/>
      <c r="F776" s="69"/>
      <c r="G776" s="76"/>
      <c r="H776" s="76"/>
      <c r="I776" s="33"/>
      <c r="J776" s="33"/>
      <c r="K776" s="33"/>
      <c r="L776" s="33"/>
      <c r="M776" s="33"/>
      <c r="N776" s="33"/>
      <c r="O776" s="33"/>
      <c r="P776" s="33"/>
      <c r="Q776" s="33"/>
      <c r="R776" s="33"/>
      <c r="S776" s="33"/>
      <c r="T776" s="33"/>
      <c r="U776" s="33"/>
      <c r="V776" s="33"/>
      <c r="W776" s="33"/>
      <c r="X776" s="33"/>
    </row>
    <row r="777" spans="1:24" ht="12.75" customHeight="1" x14ac:dyDescent="0.2">
      <c r="A777" s="33"/>
      <c r="B777" s="33"/>
      <c r="C777" s="84"/>
      <c r="D777" s="84"/>
      <c r="E777" s="69"/>
      <c r="F777" s="69"/>
      <c r="G777" s="76"/>
      <c r="H777" s="76"/>
      <c r="I777" s="33"/>
      <c r="J777" s="33"/>
      <c r="K777" s="33"/>
      <c r="L777" s="33"/>
      <c r="M777" s="33"/>
      <c r="N777" s="33"/>
      <c r="O777" s="33"/>
      <c r="P777" s="33"/>
      <c r="Q777" s="33"/>
      <c r="R777" s="33"/>
      <c r="S777" s="33"/>
      <c r="T777" s="33"/>
      <c r="U777" s="33"/>
      <c r="V777" s="33"/>
      <c r="W777" s="33"/>
      <c r="X777" s="33"/>
    </row>
    <row r="778" spans="1:24" ht="12.75" customHeight="1" x14ac:dyDescent="0.2">
      <c r="A778" s="33"/>
      <c r="B778" s="33"/>
      <c r="C778" s="84"/>
      <c r="D778" s="84"/>
      <c r="E778" s="69"/>
      <c r="F778" s="69"/>
      <c r="G778" s="76"/>
      <c r="H778" s="76"/>
      <c r="I778" s="33"/>
      <c r="J778" s="33"/>
      <c r="K778" s="33"/>
      <c r="L778" s="33"/>
      <c r="M778" s="33"/>
      <c r="N778" s="33"/>
      <c r="O778" s="33"/>
      <c r="P778" s="33"/>
      <c r="Q778" s="33"/>
      <c r="R778" s="33"/>
      <c r="S778" s="33"/>
      <c r="T778" s="33"/>
      <c r="U778" s="33"/>
      <c r="V778" s="33"/>
      <c r="W778" s="33"/>
      <c r="X778" s="33"/>
    </row>
    <row r="779" spans="1:24" ht="12.75" customHeight="1" x14ac:dyDescent="0.2">
      <c r="A779" s="33"/>
      <c r="B779" s="33"/>
      <c r="C779" s="84"/>
      <c r="D779" s="84"/>
      <c r="E779" s="69"/>
      <c r="F779" s="69"/>
      <c r="G779" s="76"/>
      <c r="H779" s="76"/>
      <c r="I779" s="33"/>
      <c r="J779" s="33"/>
      <c r="K779" s="33"/>
      <c r="L779" s="33"/>
      <c r="M779" s="33"/>
      <c r="N779" s="33"/>
      <c r="O779" s="33"/>
      <c r="P779" s="33"/>
      <c r="Q779" s="33"/>
      <c r="R779" s="33"/>
      <c r="S779" s="33"/>
      <c r="T779" s="33"/>
      <c r="U779" s="33"/>
      <c r="V779" s="33"/>
      <c r="W779" s="33"/>
      <c r="X779" s="33"/>
    </row>
    <row r="780" spans="1:24" ht="12.75" customHeight="1" x14ac:dyDescent="0.2">
      <c r="A780" s="33"/>
      <c r="B780" s="33"/>
      <c r="C780" s="84"/>
      <c r="D780" s="84"/>
      <c r="E780" s="69"/>
      <c r="F780" s="69"/>
      <c r="G780" s="76"/>
      <c r="H780" s="76"/>
      <c r="I780" s="33"/>
      <c r="J780" s="33"/>
      <c r="K780" s="33"/>
      <c r="L780" s="33"/>
      <c r="M780" s="33"/>
      <c r="N780" s="33"/>
      <c r="O780" s="33"/>
      <c r="P780" s="33"/>
      <c r="Q780" s="33"/>
      <c r="R780" s="33"/>
      <c r="S780" s="33"/>
      <c r="T780" s="33"/>
      <c r="U780" s="33"/>
      <c r="V780" s="33"/>
      <c r="W780" s="33"/>
      <c r="X780" s="33"/>
    </row>
    <row r="781" spans="1:24" ht="12.75" customHeight="1" x14ac:dyDescent="0.2">
      <c r="A781" s="33"/>
      <c r="B781" s="33"/>
      <c r="C781" s="84"/>
      <c r="D781" s="84"/>
      <c r="E781" s="69"/>
      <c r="F781" s="69"/>
      <c r="G781" s="76"/>
      <c r="H781" s="76"/>
      <c r="I781" s="33"/>
      <c r="J781" s="33"/>
      <c r="K781" s="33"/>
      <c r="L781" s="33"/>
      <c r="M781" s="33"/>
      <c r="N781" s="33"/>
      <c r="O781" s="33"/>
      <c r="P781" s="33"/>
      <c r="Q781" s="33"/>
      <c r="R781" s="33"/>
      <c r="S781" s="33"/>
      <c r="T781" s="33"/>
      <c r="U781" s="33"/>
      <c r="V781" s="33"/>
      <c r="W781" s="33"/>
      <c r="X781" s="33"/>
    </row>
    <row r="782" spans="1:24" ht="12.75" customHeight="1" x14ac:dyDescent="0.2">
      <c r="A782" s="33"/>
      <c r="B782" s="33"/>
      <c r="C782" s="84"/>
      <c r="D782" s="84"/>
      <c r="E782" s="69"/>
      <c r="F782" s="69"/>
      <c r="G782" s="76"/>
      <c r="H782" s="76"/>
      <c r="I782" s="33"/>
      <c r="J782" s="33"/>
      <c r="K782" s="33"/>
      <c r="L782" s="33"/>
      <c r="M782" s="33"/>
      <c r="N782" s="33"/>
      <c r="O782" s="33"/>
      <c r="P782" s="33"/>
      <c r="Q782" s="33"/>
      <c r="R782" s="33"/>
      <c r="S782" s="33"/>
      <c r="T782" s="33"/>
      <c r="U782" s="33"/>
      <c r="V782" s="33"/>
      <c r="W782" s="33"/>
      <c r="X782" s="33"/>
    </row>
    <row r="783" spans="1:24" ht="12.75" customHeight="1" x14ac:dyDescent="0.2">
      <c r="A783" s="33"/>
      <c r="B783" s="33"/>
      <c r="C783" s="84"/>
      <c r="D783" s="84"/>
      <c r="E783" s="69"/>
      <c r="F783" s="69"/>
      <c r="G783" s="76"/>
      <c r="H783" s="76"/>
      <c r="I783" s="33"/>
      <c r="J783" s="33"/>
      <c r="K783" s="33"/>
      <c r="L783" s="33"/>
      <c r="M783" s="33"/>
      <c r="N783" s="33"/>
      <c r="O783" s="33"/>
      <c r="P783" s="33"/>
      <c r="Q783" s="33"/>
      <c r="R783" s="33"/>
      <c r="S783" s="33"/>
      <c r="T783" s="33"/>
      <c r="U783" s="33"/>
      <c r="V783" s="33"/>
      <c r="W783" s="33"/>
      <c r="X783" s="33"/>
    </row>
    <row r="784" spans="1:24" ht="12.75" customHeight="1" x14ac:dyDescent="0.2">
      <c r="A784" s="33"/>
      <c r="B784" s="33"/>
      <c r="C784" s="84"/>
      <c r="D784" s="84"/>
      <c r="E784" s="69"/>
      <c r="F784" s="69"/>
      <c r="G784" s="76"/>
      <c r="H784" s="76"/>
      <c r="I784" s="33"/>
      <c r="J784" s="33"/>
      <c r="K784" s="33"/>
      <c r="L784" s="33"/>
      <c r="M784" s="33"/>
      <c r="N784" s="33"/>
      <c r="O784" s="33"/>
      <c r="P784" s="33"/>
      <c r="Q784" s="33"/>
      <c r="R784" s="33"/>
      <c r="S784" s="33"/>
      <c r="T784" s="33"/>
      <c r="U784" s="33"/>
      <c r="V784" s="33"/>
      <c r="W784" s="33"/>
      <c r="X784" s="33"/>
    </row>
    <row r="785" spans="1:24" ht="12.75" customHeight="1" x14ac:dyDescent="0.2">
      <c r="A785" s="33"/>
      <c r="B785" s="33"/>
      <c r="C785" s="84"/>
      <c r="D785" s="84"/>
      <c r="E785" s="69"/>
      <c r="F785" s="69"/>
      <c r="G785" s="76"/>
      <c r="H785" s="76"/>
      <c r="I785" s="33"/>
      <c r="J785" s="33"/>
      <c r="K785" s="33"/>
      <c r="L785" s="33"/>
      <c r="M785" s="33"/>
      <c r="N785" s="33"/>
      <c r="O785" s="33"/>
      <c r="P785" s="33"/>
      <c r="Q785" s="33"/>
      <c r="R785" s="33"/>
      <c r="S785" s="33"/>
      <c r="T785" s="33"/>
      <c r="U785" s="33"/>
      <c r="V785" s="33"/>
      <c r="W785" s="33"/>
      <c r="X785" s="33"/>
    </row>
    <row r="786" spans="1:24" ht="12.75" customHeight="1" x14ac:dyDescent="0.2">
      <c r="A786" s="33"/>
      <c r="B786" s="33"/>
      <c r="C786" s="84"/>
      <c r="D786" s="84"/>
      <c r="E786" s="69"/>
      <c r="F786" s="69"/>
      <c r="G786" s="76"/>
      <c r="H786" s="76"/>
      <c r="I786" s="33"/>
      <c r="J786" s="33"/>
      <c r="K786" s="33"/>
      <c r="L786" s="33"/>
      <c r="M786" s="33"/>
      <c r="N786" s="33"/>
      <c r="O786" s="33"/>
      <c r="P786" s="33"/>
      <c r="Q786" s="33"/>
      <c r="R786" s="33"/>
      <c r="S786" s="33"/>
      <c r="T786" s="33"/>
      <c r="U786" s="33"/>
      <c r="V786" s="33"/>
      <c r="W786" s="33"/>
      <c r="X786" s="33"/>
    </row>
    <row r="787" spans="1:24" ht="12.75" customHeight="1" x14ac:dyDescent="0.2">
      <c r="A787" s="33"/>
      <c r="B787" s="33"/>
      <c r="C787" s="84"/>
      <c r="D787" s="84"/>
      <c r="E787" s="69"/>
      <c r="F787" s="69"/>
      <c r="G787" s="76"/>
      <c r="H787" s="76"/>
      <c r="I787" s="33"/>
      <c r="J787" s="33"/>
      <c r="K787" s="33"/>
      <c r="L787" s="33"/>
      <c r="M787" s="33"/>
      <c r="N787" s="33"/>
      <c r="O787" s="33"/>
      <c r="P787" s="33"/>
      <c r="Q787" s="33"/>
      <c r="R787" s="33"/>
      <c r="S787" s="33"/>
      <c r="T787" s="33"/>
      <c r="U787" s="33"/>
      <c r="V787" s="33"/>
      <c r="W787" s="33"/>
      <c r="X787" s="33"/>
    </row>
    <row r="788" spans="1:24" ht="12.75" customHeight="1" x14ac:dyDescent="0.2">
      <c r="A788" s="33"/>
      <c r="B788" s="33"/>
      <c r="C788" s="84"/>
      <c r="D788" s="84"/>
      <c r="E788" s="69"/>
      <c r="F788" s="69"/>
      <c r="G788" s="76"/>
      <c r="H788" s="76"/>
      <c r="I788" s="33"/>
      <c r="J788" s="33"/>
      <c r="K788" s="33"/>
      <c r="L788" s="33"/>
      <c r="M788" s="33"/>
      <c r="N788" s="33"/>
      <c r="O788" s="33"/>
      <c r="P788" s="33"/>
      <c r="Q788" s="33"/>
      <c r="R788" s="33"/>
      <c r="S788" s="33"/>
      <c r="T788" s="33"/>
      <c r="U788" s="33"/>
      <c r="V788" s="33"/>
      <c r="W788" s="33"/>
      <c r="X788" s="33"/>
    </row>
    <row r="789" spans="1:24" ht="12.75" customHeight="1" x14ac:dyDescent="0.2">
      <c r="A789" s="33"/>
      <c r="B789" s="33"/>
      <c r="C789" s="84"/>
      <c r="D789" s="84"/>
      <c r="E789" s="69"/>
      <c r="F789" s="69"/>
      <c r="G789" s="76"/>
      <c r="H789" s="76"/>
      <c r="I789" s="33"/>
      <c r="J789" s="33"/>
      <c r="K789" s="33"/>
      <c r="L789" s="33"/>
      <c r="M789" s="33"/>
      <c r="N789" s="33"/>
      <c r="O789" s="33"/>
      <c r="P789" s="33"/>
      <c r="Q789" s="33"/>
      <c r="R789" s="33"/>
      <c r="S789" s="33"/>
      <c r="T789" s="33"/>
      <c r="U789" s="33"/>
      <c r="V789" s="33"/>
      <c r="W789" s="33"/>
      <c r="X789" s="33"/>
    </row>
    <row r="790" spans="1:24" ht="12.75" customHeight="1" x14ac:dyDescent="0.2">
      <c r="A790" s="33"/>
      <c r="B790" s="33"/>
      <c r="C790" s="84"/>
      <c r="D790" s="84"/>
      <c r="E790" s="69"/>
      <c r="F790" s="69"/>
      <c r="G790" s="76"/>
      <c r="H790" s="76"/>
      <c r="I790" s="33"/>
      <c r="J790" s="33"/>
      <c r="K790" s="33"/>
      <c r="L790" s="33"/>
      <c r="M790" s="33"/>
      <c r="N790" s="33"/>
      <c r="O790" s="33"/>
      <c r="P790" s="33"/>
      <c r="Q790" s="33"/>
      <c r="R790" s="33"/>
      <c r="S790" s="33"/>
      <c r="T790" s="33"/>
      <c r="U790" s="33"/>
      <c r="V790" s="33"/>
      <c r="W790" s="33"/>
      <c r="X790" s="33"/>
    </row>
    <row r="791" spans="1:24" ht="12.75" customHeight="1" x14ac:dyDescent="0.2">
      <c r="A791" s="33"/>
      <c r="B791" s="33"/>
      <c r="C791" s="84"/>
      <c r="D791" s="84"/>
      <c r="E791" s="69"/>
      <c r="F791" s="69"/>
      <c r="G791" s="76"/>
      <c r="H791" s="76"/>
      <c r="I791" s="33"/>
      <c r="J791" s="33"/>
      <c r="K791" s="33"/>
      <c r="L791" s="33"/>
      <c r="M791" s="33"/>
      <c r="N791" s="33"/>
      <c r="O791" s="33"/>
      <c r="P791" s="33"/>
      <c r="Q791" s="33"/>
      <c r="R791" s="33"/>
      <c r="S791" s="33"/>
      <c r="T791" s="33"/>
      <c r="U791" s="33"/>
      <c r="V791" s="33"/>
      <c r="W791" s="33"/>
      <c r="X791" s="33"/>
    </row>
    <row r="792" spans="1:24" ht="12.75" customHeight="1" x14ac:dyDescent="0.2">
      <c r="A792" s="33"/>
      <c r="B792" s="33"/>
      <c r="C792" s="84"/>
      <c r="D792" s="84"/>
      <c r="E792" s="69"/>
      <c r="F792" s="69"/>
      <c r="G792" s="76"/>
      <c r="H792" s="76"/>
      <c r="I792" s="33"/>
      <c r="J792" s="33"/>
      <c r="K792" s="33"/>
      <c r="L792" s="33"/>
      <c r="M792" s="33"/>
      <c r="N792" s="33"/>
      <c r="O792" s="33"/>
      <c r="P792" s="33"/>
      <c r="Q792" s="33"/>
      <c r="R792" s="33"/>
      <c r="S792" s="33"/>
      <c r="T792" s="33"/>
      <c r="U792" s="33"/>
      <c r="V792" s="33"/>
      <c r="W792" s="33"/>
      <c r="X792" s="33"/>
    </row>
    <row r="793" spans="1:24" ht="12.75" customHeight="1" x14ac:dyDescent="0.2">
      <c r="A793" s="33"/>
      <c r="B793" s="33"/>
      <c r="C793" s="84"/>
      <c r="D793" s="84"/>
      <c r="E793" s="69"/>
      <c r="F793" s="69"/>
      <c r="G793" s="76"/>
      <c r="H793" s="76"/>
      <c r="I793" s="33"/>
      <c r="J793" s="33"/>
      <c r="K793" s="33"/>
      <c r="L793" s="33"/>
      <c r="M793" s="33"/>
      <c r="N793" s="33"/>
      <c r="O793" s="33"/>
      <c r="P793" s="33"/>
      <c r="Q793" s="33"/>
      <c r="R793" s="33"/>
      <c r="S793" s="33"/>
      <c r="T793" s="33"/>
      <c r="U793" s="33"/>
      <c r="V793" s="33"/>
      <c r="W793" s="33"/>
      <c r="X793" s="33"/>
    </row>
    <row r="794" spans="1:24" ht="12.75" customHeight="1" x14ac:dyDescent="0.2">
      <c r="A794" s="33"/>
      <c r="B794" s="33"/>
      <c r="C794" s="84"/>
      <c r="D794" s="84"/>
      <c r="E794" s="69"/>
      <c r="F794" s="69"/>
      <c r="G794" s="76"/>
      <c r="H794" s="76"/>
      <c r="I794" s="33"/>
      <c r="J794" s="33"/>
      <c r="K794" s="33"/>
      <c r="L794" s="33"/>
      <c r="M794" s="33"/>
      <c r="N794" s="33"/>
      <c r="O794" s="33"/>
      <c r="P794" s="33"/>
      <c r="Q794" s="33"/>
      <c r="R794" s="33"/>
      <c r="S794" s="33"/>
      <c r="T794" s="33"/>
      <c r="U794" s="33"/>
      <c r="V794" s="33"/>
      <c r="W794" s="33"/>
      <c r="X794" s="33"/>
    </row>
    <row r="795" spans="1:24" ht="12.75" customHeight="1" x14ac:dyDescent="0.2">
      <c r="A795" s="33"/>
      <c r="B795" s="33"/>
      <c r="C795" s="84"/>
      <c r="D795" s="84"/>
      <c r="E795" s="69"/>
      <c r="F795" s="69"/>
      <c r="G795" s="76"/>
      <c r="H795" s="76"/>
      <c r="I795" s="33"/>
      <c r="J795" s="33"/>
      <c r="K795" s="33"/>
      <c r="L795" s="33"/>
      <c r="M795" s="33"/>
      <c r="N795" s="33"/>
      <c r="O795" s="33"/>
      <c r="P795" s="33"/>
      <c r="Q795" s="33"/>
      <c r="R795" s="33"/>
      <c r="S795" s="33"/>
      <c r="T795" s="33"/>
      <c r="U795" s="33"/>
      <c r="V795" s="33"/>
      <c r="W795" s="33"/>
      <c r="X795" s="33"/>
    </row>
    <row r="796" spans="1:24" ht="12.75" customHeight="1" x14ac:dyDescent="0.2">
      <c r="A796" s="33"/>
      <c r="B796" s="33"/>
      <c r="C796" s="84"/>
      <c r="D796" s="84"/>
      <c r="E796" s="69"/>
      <c r="F796" s="69"/>
      <c r="G796" s="76"/>
      <c r="H796" s="76"/>
      <c r="I796" s="33"/>
      <c r="J796" s="33"/>
      <c r="K796" s="33"/>
      <c r="L796" s="33"/>
      <c r="M796" s="33"/>
      <c r="N796" s="33"/>
      <c r="O796" s="33"/>
      <c r="P796" s="33"/>
      <c r="Q796" s="33"/>
      <c r="R796" s="33"/>
      <c r="S796" s="33"/>
      <c r="T796" s="33"/>
      <c r="U796" s="33"/>
      <c r="V796" s="33"/>
      <c r="W796" s="33"/>
      <c r="X796" s="33"/>
    </row>
    <row r="797" spans="1:24" ht="12.75" customHeight="1" x14ac:dyDescent="0.2">
      <c r="A797" s="33"/>
      <c r="B797" s="33"/>
      <c r="C797" s="84"/>
      <c r="D797" s="84"/>
      <c r="E797" s="69"/>
      <c r="F797" s="69"/>
      <c r="G797" s="76"/>
      <c r="H797" s="76"/>
      <c r="I797" s="33"/>
      <c r="J797" s="33"/>
      <c r="K797" s="33"/>
      <c r="L797" s="33"/>
      <c r="M797" s="33"/>
      <c r="N797" s="33"/>
      <c r="O797" s="33"/>
      <c r="P797" s="33"/>
      <c r="Q797" s="33"/>
      <c r="R797" s="33"/>
      <c r="S797" s="33"/>
      <c r="T797" s="33"/>
      <c r="U797" s="33"/>
      <c r="V797" s="33"/>
      <c r="W797" s="33"/>
      <c r="X797" s="33"/>
    </row>
    <row r="798" spans="1:24" ht="12.75" customHeight="1" x14ac:dyDescent="0.2">
      <c r="A798" s="33"/>
      <c r="B798" s="33"/>
      <c r="C798" s="84"/>
      <c r="D798" s="84"/>
      <c r="E798" s="69"/>
      <c r="F798" s="69"/>
      <c r="G798" s="76"/>
      <c r="H798" s="76"/>
      <c r="I798" s="33"/>
      <c r="J798" s="33"/>
      <c r="K798" s="33"/>
      <c r="L798" s="33"/>
      <c r="M798" s="33"/>
      <c r="N798" s="33"/>
      <c r="O798" s="33"/>
      <c r="P798" s="33"/>
      <c r="Q798" s="33"/>
      <c r="R798" s="33"/>
      <c r="S798" s="33"/>
      <c r="T798" s="33"/>
      <c r="U798" s="33"/>
      <c r="V798" s="33"/>
      <c r="W798" s="33"/>
      <c r="X798" s="33"/>
    </row>
    <row r="799" spans="1:24" ht="12.75" customHeight="1" x14ac:dyDescent="0.2">
      <c r="A799" s="33"/>
      <c r="B799" s="33"/>
      <c r="C799" s="84"/>
      <c r="D799" s="84"/>
      <c r="E799" s="69"/>
      <c r="F799" s="69"/>
      <c r="G799" s="76"/>
      <c r="H799" s="76"/>
      <c r="I799" s="33"/>
      <c r="J799" s="33"/>
      <c r="K799" s="33"/>
      <c r="L799" s="33"/>
      <c r="M799" s="33"/>
      <c r="N799" s="33"/>
      <c r="O799" s="33"/>
      <c r="P799" s="33"/>
      <c r="Q799" s="33"/>
      <c r="R799" s="33"/>
      <c r="S799" s="33"/>
      <c r="T799" s="33"/>
      <c r="U799" s="33"/>
      <c r="V799" s="33"/>
      <c r="W799" s="33"/>
      <c r="X799" s="33"/>
    </row>
    <row r="800" spans="1:24" ht="12.75" customHeight="1" x14ac:dyDescent="0.2">
      <c r="A800" s="33"/>
      <c r="B800" s="33"/>
      <c r="C800" s="84"/>
      <c r="D800" s="84"/>
      <c r="E800" s="69"/>
      <c r="F800" s="69"/>
      <c r="G800" s="76"/>
      <c r="H800" s="76"/>
      <c r="I800" s="33"/>
      <c r="J800" s="33"/>
      <c r="K800" s="33"/>
      <c r="L800" s="33"/>
      <c r="M800" s="33"/>
      <c r="N800" s="33"/>
      <c r="O800" s="33"/>
      <c r="P800" s="33"/>
      <c r="Q800" s="33"/>
      <c r="R800" s="33"/>
      <c r="S800" s="33"/>
      <c r="T800" s="33"/>
      <c r="U800" s="33"/>
      <c r="V800" s="33"/>
      <c r="W800" s="33"/>
      <c r="X800" s="33"/>
    </row>
    <row r="801" spans="1:24" ht="12.75" customHeight="1" x14ac:dyDescent="0.2">
      <c r="A801" s="33"/>
      <c r="B801" s="33"/>
      <c r="C801" s="84"/>
      <c r="D801" s="84"/>
      <c r="E801" s="69"/>
      <c r="F801" s="69"/>
      <c r="G801" s="76"/>
      <c r="H801" s="76"/>
      <c r="I801" s="33"/>
      <c r="J801" s="33"/>
      <c r="K801" s="33"/>
      <c r="L801" s="33"/>
      <c r="M801" s="33"/>
      <c r="N801" s="33"/>
      <c r="O801" s="33"/>
      <c r="P801" s="33"/>
      <c r="Q801" s="33"/>
      <c r="R801" s="33"/>
      <c r="S801" s="33"/>
      <c r="T801" s="33"/>
      <c r="U801" s="33"/>
      <c r="V801" s="33"/>
      <c r="W801" s="33"/>
      <c r="X801" s="33"/>
    </row>
    <row r="802" spans="1:24" ht="12.75" customHeight="1" x14ac:dyDescent="0.2">
      <c r="A802" s="33"/>
      <c r="B802" s="33"/>
      <c r="C802" s="84"/>
      <c r="D802" s="84"/>
      <c r="E802" s="69"/>
      <c r="F802" s="69"/>
      <c r="G802" s="76"/>
      <c r="H802" s="76"/>
      <c r="I802" s="33"/>
      <c r="J802" s="33"/>
      <c r="K802" s="33"/>
      <c r="L802" s="33"/>
      <c r="M802" s="33"/>
      <c r="N802" s="33"/>
      <c r="O802" s="33"/>
      <c r="P802" s="33"/>
      <c r="Q802" s="33"/>
      <c r="R802" s="33"/>
      <c r="S802" s="33"/>
      <c r="T802" s="33"/>
      <c r="U802" s="33"/>
      <c r="V802" s="33"/>
      <c r="W802" s="33"/>
      <c r="X802" s="33"/>
    </row>
    <row r="803" spans="1:24" ht="12.75" customHeight="1" x14ac:dyDescent="0.2">
      <c r="A803" s="33"/>
      <c r="B803" s="33"/>
      <c r="C803" s="84"/>
      <c r="D803" s="84"/>
      <c r="E803" s="69"/>
      <c r="F803" s="69"/>
      <c r="G803" s="76"/>
      <c r="H803" s="76"/>
      <c r="I803" s="33"/>
      <c r="J803" s="33"/>
      <c r="K803" s="33"/>
      <c r="L803" s="33"/>
      <c r="M803" s="33"/>
      <c r="N803" s="33"/>
      <c r="O803" s="33"/>
      <c r="P803" s="33"/>
      <c r="Q803" s="33"/>
      <c r="R803" s="33"/>
      <c r="S803" s="33"/>
      <c r="T803" s="33"/>
      <c r="U803" s="33"/>
      <c r="V803" s="33"/>
      <c r="W803" s="33"/>
      <c r="X803" s="33"/>
    </row>
    <row r="804" spans="1:24" ht="12.75" customHeight="1" x14ac:dyDescent="0.2">
      <c r="A804" s="33"/>
      <c r="B804" s="33"/>
      <c r="C804" s="84"/>
      <c r="D804" s="84"/>
      <c r="E804" s="69"/>
      <c r="F804" s="69"/>
      <c r="G804" s="76"/>
      <c r="H804" s="76"/>
      <c r="I804" s="33"/>
      <c r="J804" s="33"/>
      <c r="K804" s="33"/>
      <c r="L804" s="33"/>
      <c r="M804" s="33"/>
      <c r="N804" s="33"/>
      <c r="O804" s="33"/>
      <c r="P804" s="33"/>
      <c r="Q804" s="33"/>
      <c r="R804" s="33"/>
      <c r="S804" s="33"/>
      <c r="T804" s="33"/>
      <c r="U804" s="33"/>
      <c r="V804" s="33"/>
      <c r="W804" s="33"/>
      <c r="X804" s="33"/>
    </row>
    <row r="805" spans="1:24" ht="12.75" customHeight="1" x14ac:dyDescent="0.2">
      <c r="A805" s="33"/>
      <c r="B805" s="33"/>
      <c r="C805" s="84"/>
      <c r="D805" s="84"/>
      <c r="E805" s="69"/>
      <c r="F805" s="69"/>
      <c r="G805" s="76"/>
      <c r="H805" s="76"/>
      <c r="I805" s="33"/>
      <c r="J805" s="33"/>
      <c r="K805" s="33"/>
      <c r="L805" s="33"/>
      <c r="M805" s="33"/>
      <c r="N805" s="33"/>
      <c r="O805" s="33"/>
      <c r="P805" s="33"/>
      <c r="Q805" s="33"/>
      <c r="R805" s="33"/>
      <c r="S805" s="33"/>
      <c r="T805" s="33"/>
      <c r="U805" s="33"/>
      <c r="V805" s="33"/>
      <c r="W805" s="33"/>
      <c r="X805" s="33"/>
    </row>
    <row r="806" spans="1:24" ht="12.75" customHeight="1" x14ac:dyDescent="0.2">
      <c r="A806" s="33"/>
      <c r="B806" s="33"/>
      <c r="C806" s="84"/>
      <c r="D806" s="84"/>
      <c r="E806" s="69"/>
      <c r="F806" s="69"/>
      <c r="G806" s="76"/>
      <c r="H806" s="76"/>
      <c r="I806" s="33"/>
      <c r="J806" s="33"/>
      <c r="K806" s="33"/>
      <c r="L806" s="33"/>
      <c r="M806" s="33"/>
      <c r="N806" s="33"/>
      <c r="O806" s="33"/>
      <c r="P806" s="33"/>
      <c r="Q806" s="33"/>
      <c r="R806" s="33"/>
      <c r="S806" s="33"/>
      <c r="T806" s="33"/>
      <c r="U806" s="33"/>
      <c r="V806" s="33"/>
      <c r="W806" s="33"/>
      <c r="X806" s="33"/>
    </row>
    <row r="807" spans="1:24" ht="12.75" customHeight="1" x14ac:dyDescent="0.2">
      <c r="A807" s="33"/>
      <c r="B807" s="33"/>
      <c r="C807" s="84"/>
      <c r="D807" s="84"/>
      <c r="E807" s="69"/>
      <c r="F807" s="69"/>
      <c r="G807" s="76"/>
      <c r="H807" s="76"/>
      <c r="I807" s="33"/>
      <c r="J807" s="33"/>
      <c r="K807" s="33"/>
      <c r="L807" s="33"/>
      <c r="M807" s="33"/>
      <c r="N807" s="33"/>
      <c r="O807" s="33"/>
      <c r="P807" s="33"/>
      <c r="Q807" s="33"/>
      <c r="R807" s="33"/>
      <c r="S807" s="33"/>
      <c r="T807" s="33"/>
      <c r="U807" s="33"/>
      <c r="V807" s="33"/>
      <c r="W807" s="33"/>
      <c r="X807" s="33"/>
    </row>
    <row r="808" spans="1:24" ht="12.75" customHeight="1" x14ac:dyDescent="0.2">
      <c r="A808" s="33"/>
      <c r="B808" s="33"/>
      <c r="C808" s="84"/>
      <c r="D808" s="84"/>
      <c r="E808" s="69"/>
      <c r="F808" s="69"/>
      <c r="G808" s="76"/>
      <c r="H808" s="76"/>
      <c r="I808" s="33"/>
      <c r="J808" s="33"/>
      <c r="K808" s="33"/>
      <c r="L808" s="33"/>
      <c r="M808" s="33"/>
      <c r="N808" s="33"/>
      <c r="O808" s="33"/>
      <c r="P808" s="33"/>
      <c r="Q808" s="33"/>
      <c r="R808" s="33"/>
      <c r="S808" s="33"/>
      <c r="T808" s="33"/>
      <c r="U808" s="33"/>
      <c r="V808" s="33"/>
      <c r="W808" s="33"/>
      <c r="X808" s="33"/>
    </row>
    <row r="809" spans="1:24" ht="12.75" customHeight="1" x14ac:dyDescent="0.2">
      <c r="A809" s="33"/>
      <c r="B809" s="33"/>
      <c r="C809" s="84"/>
      <c r="D809" s="84"/>
      <c r="E809" s="69"/>
      <c r="F809" s="69"/>
      <c r="G809" s="76"/>
      <c r="H809" s="76"/>
      <c r="I809" s="33"/>
      <c r="J809" s="33"/>
      <c r="K809" s="33"/>
      <c r="L809" s="33"/>
      <c r="M809" s="33"/>
      <c r="N809" s="33"/>
      <c r="O809" s="33"/>
      <c r="P809" s="33"/>
      <c r="Q809" s="33"/>
      <c r="R809" s="33"/>
      <c r="S809" s="33"/>
      <c r="T809" s="33"/>
      <c r="U809" s="33"/>
      <c r="V809" s="33"/>
      <c r="W809" s="33"/>
      <c r="X809" s="33"/>
    </row>
    <row r="810" spans="1:24" ht="12.75" customHeight="1" x14ac:dyDescent="0.2">
      <c r="A810" s="33"/>
      <c r="B810" s="33"/>
      <c r="C810" s="84"/>
      <c r="D810" s="84"/>
      <c r="E810" s="69"/>
      <c r="F810" s="69"/>
      <c r="G810" s="76"/>
      <c r="H810" s="76"/>
      <c r="I810" s="33"/>
      <c r="J810" s="33"/>
      <c r="K810" s="33"/>
      <c r="L810" s="33"/>
      <c r="M810" s="33"/>
      <c r="N810" s="33"/>
      <c r="O810" s="33"/>
      <c r="P810" s="33"/>
      <c r="Q810" s="33"/>
      <c r="R810" s="33"/>
      <c r="S810" s="33"/>
      <c r="T810" s="33"/>
      <c r="U810" s="33"/>
      <c r="V810" s="33"/>
      <c r="W810" s="33"/>
      <c r="X810" s="33"/>
    </row>
    <row r="811" spans="1:24" ht="12.75" customHeight="1" x14ac:dyDescent="0.2">
      <c r="A811" s="33"/>
      <c r="B811" s="33"/>
      <c r="C811" s="84"/>
      <c r="D811" s="84"/>
      <c r="E811" s="69"/>
      <c r="F811" s="69"/>
      <c r="G811" s="76"/>
      <c r="H811" s="76"/>
      <c r="I811" s="33"/>
      <c r="J811" s="33"/>
      <c r="K811" s="33"/>
      <c r="L811" s="33"/>
      <c r="M811" s="33"/>
      <c r="N811" s="33"/>
      <c r="O811" s="33"/>
      <c r="P811" s="33"/>
      <c r="Q811" s="33"/>
      <c r="R811" s="33"/>
      <c r="S811" s="33"/>
      <c r="T811" s="33"/>
      <c r="U811" s="33"/>
      <c r="V811" s="33"/>
      <c r="W811" s="33"/>
      <c r="X811" s="33"/>
    </row>
    <row r="812" spans="1:24" ht="12.75" customHeight="1" x14ac:dyDescent="0.2">
      <c r="A812" s="33"/>
      <c r="B812" s="33"/>
      <c r="C812" s="84"/>
      <c r="D812" s="84"/>
      <c r="E812" s="69"/>
      <c r="F812" s="69"/>
      <c r="G812" s="76"/>
      <c r="H812" s="76"/>
      <c r="I812" s="33"/>
      <c r="J812" s="33"/>
      <c r="K812" s="33"/>
      <c r="L812" s="33"/>
      <c r="M812" s="33"/>
      <c r="N812" s="33"/>
      <c r="O812" s="33"/>
      <c r="P812" s="33"/>
      <c r="Q812" s="33"/>
      <c r="R812" s="33"/>
      <c r="S812" s="33"/>
      <c r="T812" s="33"/>
      <c r="U812" s="33"/>
      <c r="V812" s="33"/>
      <c r="W812" s="33"/>
      <c r="X812" s="33"/>
    </row>
    <row r="813" spans="1:24" ht="12.75" customHeight="1" x14ac:dyDescent="0.2">
      <c r="A813" s="33"/>
      <c r="B813" s="33"/>
      <c r="C813" s="84"/>
      <c r="D813" s="84"/>
      <c r="E813" s="69"/>
      <c r="F813" s="69"/>
      <c r="G813" s="76"/>
      <c r="H813" s="76"/>
      <c r="I813" s="33"/>
      <c r="J813" s="33"/>
      <c r="K813" s="33"/>
      <c r="L813" s="33"/>
      <c r="M813" s="33"/>
      <c r="N813" s="33"/>
      <c r="O813" s="33"/>
      <c r="P813" s="33"/>
      <c r="Q813" s="33"/>
      <c r="R813" s="33"/>
      <c r="S813" s="33"/>
      <c r="T813" s="33"/>
      <c r="U813" s="33"/>
      <c r="V813" s="33"/>
      <c r="W813" s="33"/>
      <c r="X813" s="33"/>
    </row>
    <row r="814" spans="1:24" ht="12.75" customHeight="1" x14ac:dyDescent="0.2">
      <c r="A814" s="33"/>
      <c r="B814" s="33"/>
      <c r="C814" s="84"/>
      <c r="D814" s="84"/>
      <c r="E814" s="69"/>
      <c r="F814" s="69"/>
      <c r="G814" s="76"/>
      <c r="H814" s="76"/>
      <c r="I814" s="33"/>
      <c r="J814" s="33"/>
      <c r="K814" s="33"/>
      <c r="L814" s="33"/>
      <c r="M814" s="33"/>
      <c r="N814" s="33"/>
      <c r="O814" s="33"/>
      <c r="P814" s="33"/>
      <c r="Q814" s="33"/>
      <c r="R814" s="33"/>
      <c r="S814" s="33"/>
      <c r="T814" s="33"/>
      <c r="U814" s="33"/>
      <c r="V814" s="33"/>
      <c r="W814" s="33"/>
      <c r="X814" s="33"/>
    </row>
    <row r="815" spans="1:24" ht="12.75" customHeight="1" x14ac:dyDescent="0.2">
      <c r="A815" s="33"/>
      <c r="B815" s="33"/>
      <c r="C815" s="84"/>
      <c r="D815" s="84"/>
      <c r="E815" s="69"/>
      <c r="F815" s="69"/>
      <c r="G815" s="76"/>
      <c r="H815" s="76"/>
      <c r="I815" s="33"/>
      <c r="J815" s="33"/>
      <c r="K815" s="33"/>
      <c r="L815" s="33"/>
      <c r="M815" s="33"/>
      <c r="N815" s="33"/>
      <c r="O815" s="33"/>
      <c r="P815" s="33"/>
      <c r="Q815" s="33"/>
      <c r="R815" s="33"/>
      <c r="S815" s="33"/>
      <c r="T815" s="33"/>
      <c r="U815" s="33"/>
      <c r="V815" s="33"/>
      <c r="W815" s="33"/>
      <c r="X815" s="33"/>
    </row>
    <row r="816" spans="1:24" ht="12.75" customHeight="1" x14ac:dyDescent="0.2">
      <c r="A816" s="33"/>
      <c r="B816" s="33"/>
      <c r="C816" s="84"/>
      <c r="D816" s="84"/>
      <c r="E816" s="69"/>
      <c r="F816" s="69"/>
      <c r="G816" s="76"/>
      <c r="H816" s="76"/>
      <c r="I816" s="33"/>
      <c r="J816" s="33"/>
      <c r="K816" s="33"/>
      <c r="L816" s="33"/>
      <c r="M816" s="33"/>
      <c r="N816" s="33"/>
      <c r="O816" s="33"/>
      <c r="P816" s="33"/>
      <c r="Q816" s="33"/>
      <c r="R816" s="33"/>
      <c r="S816" s="33"/>
      <c r="T816" s="33"/>
      <c r="U816" s="33"/>
      <c r="V816" s="33"/>
      <c r="W816" s="33"/>
      <c r="X816" s="33"/>
    </row>
    <row r="817" spans="1:24" ht="12.75" customHeight="1" x14ac:dyDescent="0.2">
      <c r="A817" s="33"/>
      <c r="B817" s="33"/>
      <c r="C817" s="84"/>
      <c r="D817" s="84"/>
      <c r="E817" s="69"/>
      <c r="F817" s="69"/>
      <c r="G817" s="76"/>
      <c r="H817" s="76"/>
      <c r="I817" s="33"/>
      <c r="J817" s="33"/>
      <c r="K817" s="33"/>
      <c r="L817" s="33"/>
      <c r="M817" s="33"/>
      <c r="N817" s="33"/>
      <c r="O817" s="33"/>
      <c r="P817" s="33"/>
      <c r="Q817" s="33"/>
      <c r="R817" s="33"/>
      <c r="S817" s="33"/>
      <c r="T817" s="33"/>
      <c r="U817" s="33"/>
      <c r="V817" s="33"/>
      <c r="W817" s="33"/>
      <c r="X817" s="33"/>
    </row>
    <row r="818" spans="1:24" ht="12.75" customHeight="1" x14ac:dyDescent="0.2">
      <c r="A818" s="33"/>
      <c r="B818" s="33"/>
      <c r="C818" s="84"/>
      <c r="D818" s="84"/>
      <c r="E818" s="69"/>
      <c r="F818" s="69"/>
      <c r="G818" s="76"/>
      <c r="H818" s="76"/>
      <c r="I818" s="33"/>
      <c r="J818" s="33"/>
      <c r="K818" s="33"/>
      <c r="L818" s="33"/>
      <c r="M818" s="33"/>
      <c r="N818" s="33"/>
      <c r="O818" s="33"/>
      <c r="P818" s="33"/>
      <c r="Q818" s="33"/>
      <c r="R818" s="33"/>
      <c r="S818" s="33"/>
      <c r="T818" s="33"/>
      <c r="U818" s="33"/>
      <c r="V818" s="33"/>
      <c r="W818" s="33"/>
      <c r="X818" s="33"/>
    </row>
    <row r="819" spans="1:24" ht="12.75" customHeight="1" x14ac:dyDescent="0.2">
      <c r="A819" s="33"/>
      <c r="B819" s="33"/>
      <c r="C819" s="84"/>
      <c r="D819" s="84"/>
      <c r="E819" s="69"/>
      <c r="F819" s="69"/>
      <c r="G819" s="76"/>
      <c r="H819" s="76"/>
      <c r="I819" s="33"/>
      <c r="J819" s="33"/>
      <c r="K819" s="33"/>
      <c r="L819" s="33"/>
      <c r="M819" s="33"/>
      <c r="N819" s="33"/>
      <c r="O819" s="33"/>
      <c r="P819" s="33"/>
      <c r="Q819" s="33"/>
      <c r="R819" s="33"/>
      <c r="S819" s="33"/>
      <c r="T819" s="33"/>
      <c r="U819" s="33"/>
      <c r="V819" s="33"/>
      <c r="W819" s="33"/>
      <c r="X819" s="33"/>
    </row>
    <row r="820" spans="1:24" ht="12.75" customHeight="1" x14ac:dyDescent="0.2">
      <c r="A820" s="33"/>
      <c r="B820" s="33"/>
      <c r="C820" s="84"/>
      <c r="D820" s="84"/>
      <c r="E820" s="69"/>
      <c r="F820" s="69"/>
      <c r="G820" s="76"/>
      <c r="H820" s="76"/>
      <c r="I820" s="33"/>
      <c r="J820" s="33"/>
      <c r="K820" s="33"/>
      <c r="L820" s="33"/>
      <c r="M820" s="33"/>
      <c r="N820" s="33"/>
      <c r="O820" s="33"/>
      <c r="P820" s="33"/>
      <c r="Q820" s="33"/>
      <c r="R820" s="33"/>
      <c r="S820" s="33"/>
      <c r="T820" s="33"/>
      <c r="U820" s="33"/>
      <c r="V820" s="33"/>
      <c r="W820" s="33"/>
      <c r="X820" s="33"/>
    </row>
    <row r="821" spans="1:24" ht="12.75" customHeight="1" x14ac:dyDescent="0.2">
      <c r="A821" s="33"/>
      <c r="B821" s="33"/>
      <c r="C821" s="84"/>
      <c r="D821" s="84"/>
      <c r="E821" s="69"/>
      <c r="F821" s="69"/>
      <c r="G821" s="76"/>
      <c r="H821" s="76"/>
      <c r="I821" s="33"/>
      <c r="J821" s="33"/>
      <c r="K821" s="33"/>
      <c r="L821" s="33"/>
      <c r="M821" s="33"/>
      <c r="N821" s="33"/>
      <c r="O821" s="33"/>
      <c r="P821" s="33"/>
      <c r="Q821" s="33"/>
      <c r="R821" s="33"/>
      <c r="S821" s="33"/>
      <c r="T821" s="33"/>
      <c r="U821" s="33"/>
      <c r="V821" s="33"/>
      <c r="W821" s="33"/>
      <c r="X821" s="33"/>
    </row>
    <row r="822" spans="1:24" ht="12.75" customHeight="1" x14ac:dyDescent="0.2">
      <c r="A822" s="33"/>
      <c r="B822" s="33"/>
      <c r="C822" s="84"/>
      <c r="D822" s="84"/>
      <c r="E822" s="69"/>
      <c r="F822" s="69"/>
      <c r="G822" s="76"/>
      <c r="H822" s="76"/>
      <c r="I822" s="33"/>
      <c r="J822" s="33"/>
      <c r="K822" s="33"/>
      <c r="L822" s="33"/>
      <c r="M822" s="33"/>
      <c r="N822" s="33"/>
      <c r="O822" s="33"/>
      <c r="P822" s="33"/>
      <c r="Q822" s="33"/>
      <c r="R822" s="33"/>
      <c r="S822" s="33"/>
      <c r="T822" s="33"/>
      <c r="U822" s="33"/>
      <c r="V822" s="33"/>
      <c r="W822" s="33"/>
      <c r="X822" s="33"/>
    </row>
    <row r="823" spans="1:24" ht="12.75" customHeight="1" x14ac:dyDescent="0.2">
      <c r="A823" s="33"/>
      <c r="B823" s="33"/>
      <c r="C823" s="84"/>
      <c r="D823" s="84"/>
      <c r="E823" s="69"/>
      <c r="F823" s="69"/>
      <c r="G823" s="76"/>
      <c r="H823" s="76"/>
      <c r="I823" s="33"/>
      <c r="J823" s="33"/>
      <c r="K823" s="33"/>
      <c r="L823" s="33"/>
      <c r="M823" s="33"/>
      <c r="N823" s="33"/>
      <c r="O823" s="33"/>
      <c r="P823" s="33"/>
      <c r="Q823" s="33"/>
      <c r="R823" s="33"/>
      <c r="S823" s="33"/>
      <c r="T823" s="33"/>
      <c r="U823" s="33"/>
      <c r="V823" s="33"/>
      <c r="W823" s="33"/>
      <c r="X823" s="33"/>
    </row>
    <row r="824" spans="1:24" ht="12.75" customHeight="1" x14ac:dyDescent="0.2">
      <c r="A824" s="33"/>
      <c r="B824" s="33"/>
      <c r="C824" s="84"/>
      <c r="D824" s="84"/>
      <c r="E824" s="69"/>
      <c r="F824" s="69"/>
      <c r="G824" s="76"/>
      <c r="H824" s="76"/>
      <c r="I824" s="33"/>
      <c r="J824" s="33"/>
      <c r="K824" s="33"/>
      <c r="L824" s="33"/>
      <c r="M824" s="33"/>
      <c r="N824" s="33"/>
      <c r="O824" s="33"/>
      <c r="P824" s="33"/>
      <c r="Q824" s="33"/>
      <c r="R824" s="33"/>
      <c r="S824" s="33"/>
      <c r="T824" s="33"/>
      <c r="U824" s="33"/>
      <c r="V824" s="33"/>
      <c r="W824" s="33"/>
      <c r="X824" s="33"/>
    </row>
    <row r="825" spans="1:24" ht="12.75" customHeight="1" x14ac:dyDescent="0.2">
      <c r="A825" s="33"/>
      <c r="B825" s="33"/>
      <c r="C825" s="84"/>
      <c r="D825" s="84"/>
      <c r="E825" s="69"/>
      <c r="F825" s="69"/>
      <c r="G825" s="76"/>
      <c r="H825" s="76"/>
      <c r="I825" s="33"/>
      <c r="J825" s="33"/>
      <c r="K825" s="33"/>
      <c r="L825" s="33"/>
      <c r="M825" s="33"/>
      <c r="N825" s="33"/>
      <c r="O825" s="33"/>
      <c r="P825" s="33"/>
      <c r="Q825" s="33"/>
      <c r="R825" s="33"/>
      <c r="S825" s="33"/>
      <c r="T825" s="33"/>
      <c r="U825" s="33"/>
      <c r="V825" s="33"/>
      <c r="W825" s="33"/>
      <c r="X825" s="33"/>
    </row>
    <row r="826" spans="1:24" ht="12.75" customHeight="1" x14ac:dyDescent="0.2">
      <c r="A826" s="33"/>
      <c r="B826" s="33"/>
      <c r="C826" s="84"/>
      <c r="D826" s="84"/>
      <c r="E826" s="69"/>
      <c r="F826" s="69"/>
      <c r="G826" s="76"/>
      <c r="H826" s="76"/>
      <c r="I826" s="33"/>
      <c r="J826" s="33"/>
      <c r="K826" s="33"/>
      <c r="L826" s="33"/>
      <c r="M826" s="33"/>
      <c r="N826" s="33"/>
      <c r="O826" s="33"/>
      <c r="P826" s="33"/>
      <c r="Q826" s="33"/>
      <c r="R826" s="33"/>
      <c r="S826" s="33"/>
      <c r="T826" s="33"/>
      <c r="U826" s="33"/>
      <c r="V826" s="33"/>
      <c r="W826" s="33"/>
      <c r="X826" s="33"/>
    </row>
    <row r="827" spans="1:24" ht="12.75" customHeight="1" x14ac:dyDescent="0.2">
      <c r="A827" s="33"/>
      <c r="B827" s="33"/>
      <c r="C827" s="84"/>
      <c r="D827" s="84"/>
      <c r="E827" s="69"/>
      <c r="F827" s="69"/>
      <c r="G827" s="76"/>
      <c r="H827" s="76"/>
      <c r="I827" s="33"/>
      <c r="J827" s="33"/>
      <c r="K827" s="33"/>
      <c r="L827" s="33"/>
      <c r="M827" s="33"/>
      <c r="N827" s="33"/>
      <c r="O827" s="33"/>
      <c r="P827" s="33"/>
      <c r="Q827" s="33"/>
      <c r="R827" s="33"/>
      <c r="S827" s="33"/>
      <c r="T827" s="33"/>
      <c r="U827" s="33"/>
      <c r="V827" s="33"/>
      <c r="W827" s="33"/>
      <c r="X827" s="33"/>
    </row>
    <row r="828" spans="1:24" ht="12.75" customHeight="1" x14ac:dyDescent="0.2">
      <c r="A828" s="33"/>
      <c r="B828" s="33"/>
      <c r="C828" s="84"/>
      <c r="D828" s="84"/>
      <c r="E828" s="69"/>
      <c r="F828" s="69"/>
      <c r="G828" s="76"/>
      <c r="H828" s="76"/>
      <c r="I828" s="33"/>
      <c r="J828" s="33"/>
      <c r="K828" s="33"/>
      <c r="L828" s="33"/>
      <c r="M828" s="33"/>
      <c r="N828" s="33"/>
      <c r="O828" s="33"/>
      <c r="P828" s="33"/>
      <c r="Q828" s="33"/>
      <c r="R828" s="33"/>
      <c r="S828" s="33"/>
      <c r="T828" s="33"/>
      <c r="U828" s="33"/>
      <c r="V828" s="33"/>
      <c r="W828" s="33"/>
      <c r="X828" s="33"/>
    </row>
    <row r="829" spans="1:24" ht="12.75" customHeight="1" x14ac:dyDescent="0.2">
      <c r="A829" s="33"/>
      <c r="B829" s="33"/>
      <c r="C829" s="84"/>
      <c r="D829" s="84"/>
      <c r="E829" s="69"/>
      <c r="F829" s="69"/>
      <c r="G829" s="76"/>
      <c r="H829" s="76"/>
      <c r="I829" s="33"/>
      <c r="J829" s="33"/>
      <c r="K829" s="33"/>
      <c r="L829" s="33"/>
      <c r="M829" s="33"/>
      <c r="N829" s="33"/>
      <c r="O829" s="33"/>
      <c r="P829" s="33"/>
      <c r="Q829" s="33"/>
      <c r="R829" s="33"/>
      <c r="S829" s="33"/>
      <c r="T829" s="33"/>
      <c r="U829" s="33"/>
      <c r="V829" s="33"/>
      <c r="W829" s="33"/>
      <c r="X829" s="33"/>
    </row>
    <row r="830" spans="1:24" ht="12.75" customHeight="1" x14ac:dyDescent="0.2">
      <c r="A830" s="33"/>
      <c r="B830" s="33"/>
      <c r="C830" s="84"/>
      <c r="D830" s="84"/>
      <c r="E830" s="69"/>
      <c r="F830" s="69"/>
      <c r="G830" s="76"/>
      <c r="H830" s="76"/>
      <c r="I830" s="33"/>
      <c r="J830" s="33"/>
      <c r="K830" s="33"/>
      <c r="L830" s="33"/>
      <c r="M830" s="33"/>
      <c r="N830" s="33"/>
      <c r="O830" s="33"/>
      <c r="P830" s="33"/>
      <c r="Q830" s="33"/>
      <c r="R830" s="33"/>
      <c r="S830" s="33"/>
      <c r="T830" s="33"/>
      <c r="U830" s="33"/>
      <c r="V830" s="33"/>
      <c r="W830" s="33"/>
      <c r="X830" s="33"/>
    </row>
    <row r="831" spans="1:24" ht="12.75" customHeight="1" x14ac:dyDescent="0.2">
      <c r="A831" s="33"/>
      <c r="B831" s="33"/>
      <c r="C831" s="84"/>
      <c r="D831" s="84"/>
      <c r="E831" s="69"/>
      <c r="F831" s="69"/>
      <c r="G831" s="76"/>
      <c r="H831" s="76"/>
      <c r="I831" s="33"/>
      <c r="J831" s="33"/>
      <c r="K831" s="33"/>
      <c r="L831" s="33"/>
      <c r="M831" s="33"/>
      <c r="N831" s="33"/>
      <c r="O831" s="33"/>
      <c r="P831" s="33"/>
      <c r="Q831" s="33"/>
      <c r="R831" s="33"/>
      <c r="S831" s="33"/>
      <c r="T831" s="33"/>
      <c r="U831" s="33"/>
      <c r="V831" s="33"/>
      <c r="W831" s="33"/>
      <c r="X831" s="33"/>
    </row>
    <row r="832" spans="1:24" ht="12.75" customHeight="1" x14ac:dyDescent="0.2">
      <c r="A832" s="33"/>
      <c r="B832" s="33"/>
      <c r="C832" s="84"/>
      <c r="D832" s="84"/>
      <c r="E832" s="69"/>
      <c r="F832" s="69"/>
      <c r="G832" s="76"/>
      <c r="H832" s="76"/>
      <c r="I832" s="33"/>
      <c r="J832" s="33"/>
      <c r="K832" s="33"/>
      <c r="L832" s="33"/>
      <c r="M832" s="33"/>
      <c r="N832" s="33"/>
      <c r="O832" s="33"/>
      <c r="P832" s="33"/>
      <c r="Q832" s="33"/>
      <c r="R832" s="33"/>
      <c r="S832" s="33"/>
      <c r="T832" s="33"/>
      <c r="U832" s="33"/>
      <c r="V832" s="33"/>
      <c r="W832" s="33"/>
      <c r="X832" s="33"/>
    </row>
    <row r="833" spans="1:24" ht="12.75" customHeight="1" x14ac:dyDescent="0.2">
      <c r="A833" s="33"/>
      <c r="B833" s="33"/>
      <c r="C833" s="84"/>
      <c r="D833" s="84"/>
      <c r="E833" s="69"/>
      <c r="F833" s="69"/>
      <c r="G833" s="76"/>
      <c r="H833" s="76"/>
      <c r="I833" s="33"/>
      <c r="J833" s="33"/>
      <c r="K833" s="33"/>
      <c r="L833" s="33"/>
      <c r="M833" s="33"/>
      <c r="N833" s="33"/>
      <c r="O833" s="33"/>
      <c r="P833" s="33"/>
      <c r="Q833" s="33"/>
      <c r="R833" s="33"/>
      <c r="S833" s="33"/>
      <c r="T833" s="33"/>
      <c r="U833" s="33"/>
      <c r="V833" s="33"/>
      <c r="W833" s="33"/>
      <c r="X833" s="33"/>
    </row>
    <row r="834" spans="1:24" ht="12.75" customHeight="1" x14ac:dyDescent="0.2">
      <c r="A834" s="33"/>
      <c r="B834" s="33"/>
      <c r="C834" s="84"/>
      <c r="D834" s="84"/>
      <c r="E834" s="69"/>
      <c r="F834" s="69"/>
      <c r="G834" s="76"/>
      <c r="H834" s="76"/>
      <c r="I834" s="33"/>
      <c r="J834" s="33"/>
      <c r="K834" s="33"/>
      <c r="L834" s="33"/>
      <c r="M834" s="33"/>
      <c r="N834" s="33"/>
      <c r="O834" s="33"/>
      <c r="P834" s="33"/>
      <c r="Q834" s="33"/>
      <c r="R834" s="33"/>
      <c r="S834" s="33"/>
      <c r="T834" s="33"/>
      <c r="U834" s="33"/>
      <c r="V834" s="33"/>
      <c r="W834" s="33"/>
      <c r="X834" s="33"/>
    </row>
    <row r="835" spans="1:24" ht="12.75" customHeight="1" x14ac:dyDescent="0.2">
      <c r="A835" s="33"/>
      <c r="B835" s="33"/>
      <c r="C835" s="84"/>
      <c r="D835" s="84"/>
      <c r="E835" s="69"/>
      <c r="F835" s="69"/>
      <c r="G835" s="76"/>
      <c r="H835" s="76"/>
      <c r="I835" s="33"/>
      <c r="J835" s="33"/>
      <c r="K835" s="33"/>
      <c r="L835" s="33"/>
      <c r="M835" s="33"/>
      <c r="N835" s="33"/>
      <c r="O835" s="33"/>
      <c r="P835" s="33"/>
      <c r="Q835" s="33"/>
      <c r="R835" s="33"/>
      <c r="S835" s="33"/>
      <c r="T835" s="33"/>
      <c r="U835" s="33"/>
      <c r="V835" s="33"/>
      <c r="W835" s="33"/>
      <c r="X835" s="33"/>
    </row>
    <row r="836" spans="1:24" ht="12.75" customHeight="1" x14ac:dyDescent="0.2">
      <c r="A836" s="33"/>
      <c r="B836" s="33"/>
      <c r="C836" s="84"/>
      <c r="D836" s="84"/>
      <c r="E836" s="69"/>
      <c r="F836" s="69"/>
      <c r="G836" s="76"/>
      <c r="H836" s="76"/>
      <c r="I836" s="33"/>
      <c r="J836" s="33"/>
      <c r="K836" s="33"/>
      <c r="L836" s="33"/>
      <c r="M836" s="33"/>
      <c r="N836" s="33"/>
      <c r="O836" s="33"/>
      <c r="P836" s="33"/>
      <c r="Q836" s="33"/>
      <c r="R836" s="33"/>
      <c r="S836" s="33"/>
      <c r="T836" s="33"/>
      <c r="U836" s="33"/>
      <c r="V836" s="33"/>
      <c r="W836" s="33"/>
      <c r="X836" s="33"/>
    </row>
    <row r="837" spans="1:24" ht="12.75" customHeight="1" x14ac:dyDescent="0.2">
      <c r="A837" s="33"/>
      <c r="B837" s="33"/>
      <c r="C837" s="84"/>
      <c r="D837" s="84"/>
      <c r="E837" s="69"/>
      <c r="F837" s="69"/>
      <c r="G837" s="76"/>
      <c r="H837" s="76"/>
      <c r="I837" s="33"/>
      <c r="J837" s="33"/>
      <c r="K837" s="33"/>
      <c r="L837" s="33"/>
      <c r="M837" s="33"/>
      <c r="N837" s="33"/>
      <c r="O837" s="33"/>
      <c r="P837" s="33"/>
      <c r="Q837" s="33"/>
      <c r="R837" s="33"/>
      <c r="S837" s="33"/>
      <c r="T837" s="33"/>
      <c r="U837" s="33"/>
      <c r="V837" s="33"/>
      <c r="W837" s="33"/>
      <c r="X837" s="33"/>
    </row>
    <row r="838" spans="1:24" ht="12.75" customHeight="1" x14ac:dyDescent="0.2">
      <c r="A838" s="33"/>
      <c r="B838" s="33"/>
      <c r="C838" s="84"/>
      <c r="D838" s="84"/>
      <c r="E838" s="69"/>
      <c r="F838" s="69"/>
      <c r="G838" s="76"/>
      <c r="H838" s="76"/>
      <c r="I838" s="33"/>
      <c r="J838" s="33"/>
      <c r="K838" s="33"/>
      <c r="L838" s="33"/>
      <c r="M838" s="33"/>
      <c r="N838" s="33"/>
      <c r="O838" s="33"/>
      <c r="P838" s="33"/>
      <c r="Q838" s="33"/>
      <c r="R838" s="33"/>
      <c r="S838" s="33"/>
      <c r="T838" s="33"/>
      <c r="U838" s="33"/>
      <c r="V838" s="33"/>
      <c r="W838" s="33"/>
      <c r="X838" s="33"/>
    </row>
    <row r="839" spans="1:24" ht="12.75" customHeight="1" x14ac:dyDescent="0.2">
      <c r="A839" s="33"/>
      <c r="B839" s="33"/>
      <c r="C839" s="84"/>
      <c r="D839" s="84"/>
      <c r="E839" s="69"/>
      <c r="F839" s="69"/>
      <c r="G839" s="76"/>
      <c r="H839" s="76"/>
      <c r="I839" s="33"/>
      <c r="J839" s="33"/>
      <c r="K839" s="33"/>
      <c r="L839" s="33"/>
      <c r="M839" s="33"/>
      <c r="N839" s="33"/>
      <c r="O839" s="33"/>
      <c r="P839" s="33"/>
      <c r="Q839" s="33"/>
      <c r="R839" s="33"/>
      <c r="S839" s="33"/>
      <c r="T839" s="33"/>
      <c r="U839" s="33"/>
      <c r="V839" s="33"/>
      <c r="W839" s="33"/>
      <c r="X839" s="33"/>
    </row>
    <row r="840" spans="1:24" ht="12.75" customHeight="1" x14ac:dyDescent="0.2">
      <c r="A840" s="33"/>
      <c r="B840" s="33"/>
      <c r="C840" s="84"/>
      <c r="D840" s="84"/>
      <c r="E840" s="69"/>
      <c r="F840" s="69"/>
      <c r="G840" s="76"/>
      <c r="H840" s="76"/>
      <c r="I840" s="33"/>
      <c r="J840" s="33"/>
      <c r="K840" s="33"/>
      <c r="L840" s="33"/>
      <c r="M840" s="33"/>
      <c r="N840" s="33"/>
      <c r="O840" s="33"/>
      <c r="P840" s="33"/>
      <c r="Q840" s="33"/>
      <c r="R840" s="33"/>
      <c r="S840" s="33"/>
      <c r="T840" s="33"/>
      <c r="U840" s="33"/>
      <c r="V840" s="33"/>
      <c r="W840" s="33"/>
      <c r="X840" s="33"/>
    </row>
    <row r="841" spans="1:24" ht="12.75" customHeight="1" x14ac:dyDescent="0.2">
      <c r="A841" s="33"/>
      <c r="B841" s="33"/>
      <c r="C841" s="84"/>
      <c r="D841" s="84"/>
      <c r="E841" s="69"/>
      <c r="F841" s="69"/>
      <c r="G841" s="76"/>
      <c r="H841" s="76"/>
      <c r="I841" s="33"/>
      <c r="J841" s="33"/>
      <c r="K841" s="33"/>
      <c r="L841" s="33"/>
      <c r="M841" s="33"/>
      <c r="N841" s="33"/>
      <c r="O841" s="33"/>
      <c r="P841" s="33"/>
      <c r="Q841" s="33"/>
      <c r="R841" s="33"/>
      <c r="S841" s="33"/>
      <c r="T841" s="33"/>
      <c r="U841" s="33"/>
      <c r="V841" s="33"/>
      <c r="W841" s="33"/>
      <c r="X841" s="33"/>
    </row>
    <row r="842" spans="1:24" ht="12.75" customHeight="1" x14ac:dyDescent="0.2">
      <c r="A842" s="33"/>
      <c r="B842" s="33"/>
      <c r="C842" s="84"/>
      <c r="D842" s="84"/>
      <c r="E842" s="69"/>
      <c r="F842" s="69"/>
      <c r="G842" s="76"/>
      <c r="H842" s="76"/>
      <c r="I842" s="33"/>
      <c r="J842" s="33"/>
      <c r="K842" s="33"/>
      <c r="L842" s="33"/>
      <c r="M842" s="33"/>
      <c r="N842" s="33"/>
      <c r="O842" s="33"/>
      <c r="P842" s="33"/>
      <c r="Q842" s="33"/>
      <c r="R842" s="33"/>
      <c r="S842" s="33"/>
      <c r="T842" s="33"/>
      <c r="U842" s="33"/>
      <c r="V842" s="33"/>
      <c r="W842" s="33"/>
      <c r="X842" s="33"/>
    </row>
    <row r="843" spans="1:24" ht="12.75" customHeight="1" x14ac:dyDescent="0.2">
      <c r="A843" s="33"/>
      <c r="B843" s="33"/>
      <c r="C843" s="84"/>
      <c r="D843" s="84"/>
      <c r="E843" s="69"/>
      <c r="F843" s="69"/>
      <c r="G843" s="76"/>
      <c r="H843" s="76"/>
      <c r="I843" s="33"/>
      <c r="J843" s="33"/>
      <c r="K843" s="33"/>
      <c r="L843" s="33"/>
      <c r="M843" s="33"/>
      <c r="N843" s="33"/>
      <c r="O843" s="33"/>
      <c r="P843" s="33"/>
      <c r="Q843" s="33"/>
      <c r="R843" s="33"/>
      <c r="S843" s="33"/>
      <c r="T843" s="33"/>
      <c r="U843" s="33"/>
      <c r="V843" s="33"/>
      <c r="W843" s="33"/>
      <c r="X843" s="33"/>
    </row>
    <row r="844" spans="1:24" ht="12.75" customHeight="1" x14ac:dyDescent="0.2">
      <c r="A844" s="33"/>
      <c r="B844" s="33"/>
      <c r="C844" s="84"/>
      <c r="D844" s="84"/>
      <c r="E844" s="69"/>
      <c r="F844" s="69"/>
      <c r="G844" s="76"/>
      <c r="H844" s="76"/>
      <c r="I844" s="33"/>
      <c r="J844" s="33"/>
      <c r="K844" s="33"/>
      <c r="L844" s="33"/>
      <c r="M844" s="33"/>
      <c r="N844" s="33"/>
      <c r="O844" s="33"/>
      <c r="P844" s="33"/>
      <c r="Q844" s="33"/>
      <c r="R844" s="33"/>
      <c r="S844" s="33"/>
      <c r="T844" s="33"/>
      <c r="U844" s="33"/>
      <c r="V844" s="33"/>
      <c r="W844" s="33"/>
      <c r="X844" s="33"/>
    </row>
    <row r="845" spans="1:24" ht="12.75" customHeight="1" x14ac:dyDescent="0.2">
      <c r="A845" s="33"/>
      <c r="B845" s="33"/>
      <c r="C845" s="84"/>
      <c r="D845" s="84"/>
      <c r="E845" s="69"/>
      <c r="F845" s="69"/>
      <c r="G845" s="76"/>
      <c r="H845" s="76"/>
      <c r="I845" s="33"/>
      <c r="J845" s="33"/>
      <c r="K845" s="33"/>
      <c r="L845" s="33"/>
      <c r="M845" s="33"/>
      <c r="N845" s="33"/>
      <c r="O845" s="33"/>
      <c r="P845" s="33"/>
      <c r="Q845" s="33"/>
      <c r="R845" s="33"/>
      <c r="S845" s="33"/>
      <c r="T845" s="33"/>
      <c r="U845" s="33"/>
      <c r="V845" s="33"/>
      <c r="W845" s="33"/>
      <c r="X845" s="33"/>
    </row>
    <row r="846" spans="1:24" ht="12.75" customHeight="1" x14ac:dyDescent="0.2">
      <c r="A846" s="33"/>
      <c r="B846" s="33"/>
      <c r="C846" s="84"/>
      <c r="D846" s="84"/>
      <c r="E846" s="69"/>
      <c r="F846" s="69"/>
      <c r="G846" s="76"/>
      <c r="H846" s="76"/>
      <c r="I846" s="33"/>
      <c r="J846" s="33"/>
      <c r="K846" s="33"/>
      <c r="L846" s="33"/>
      <c r="M846" s="33"/>
      <c r="N846" s="33"/>
      <c r="O846" s="33"/>
      <c r="P846" s="33"/>
      <c r="Q846" s="33"/>
      <c r="R846" s="33"/>
      <c r="S846" s="33"/>
      <c r="T846" s="33"/>
      <c r="U846" s="33"/>
      <c r="V846" s="33"/>
      <c r="W846" s="33"/>
      <c r="X846" s="33"/>
    </row>
    <row r="847" spans="1:24" ht="12.75" customHeight="1" x14ac:dyDescent="0.2">
      <c r="A847" s="33"/>
      <c r="B847" s="33"/>
      <c r="C847" s="84"/>
      <c r="D847" s="84"/>
      <c r="E847" s="69"/>
      <c r="F847" s="69"/>
      <c r="G847" s="76"/>
      <c r="H847" s="76"/>
      <c r="I847" s="33"/>
      <c r="J847" s="33"/>
      <c r="K847" s="33"/>
      <c r="L847" s="33"/>
      <c r="M847" s="33"/>
      <c r="N847" s="33"/>
      <c r="O847" s="33"/>
      <c r="P847" s="33"/>
      <c r="Q847" s="33"/>
      <c r="R847" s="33"/>
      <c r="S847" s="33"/>
      <c r="T847" s="33"/>
      <c r="U847" s="33"/>
      <c r="V847" s="33"/>
      <c r="W847" s="33"/>
      <c r="X847" s="33"/>
    </row>
    <row r="848" spans="1:24" ht="12.75" customHeight="1" x14ac:dyDescent="0.2">
      <c r="A848" s="33"/>
      <c r="B848" s="33"/>
      <c r="C848" s="84"/>
      <c r="D848" s="84"/>
      <c r="E848" s="69"/>
      <c r="F848" s="69"/>
      <c r="G848" s="76"/>
      <c r="H848" s="76"/>
      <c r="I848" s="33"/>
      <c r="J848" s="33"/>
      <c r="K848" s="33"/>
      <c r="L848" s="33"/>
      <c r="M848" s="33"/>
      <c r="N848" s="33"/>
      <c r="O848" s="33"/>
      <c r="P848" s="33"/>
      <c r="Q848" s="33"/>
      <c r="R848" s="33"/>
      <c r="S848" s="33"/>
      <c r="T848" s="33"/>
      <c r="U848" s="33"/>
      <c r="V848" s="33"/>
      <c r="W848" s="33"/>
      <c r="X848" s="33"/>
    </row>
    <row r="849" spans="1:24" ht="12.75" customHeight="1" x14ac:dyDescent="0.2">
      <c r="A849" s="33"/>
      <c r="B849" s="33"/>
      <c r="C849" s="84"/>
      <c r="D849" s="84"/>
      <c r="E849" s="69"/>
      <c r="F849" s="69"/>
      <c r="G849" s="76"/>
      <c r="H849" s="76"/>
      <c r="I849" s="33"/>
      <c r="J849" s="33"/>
      <c r="K849" s="33"/>
      <c r="L849" s="33"/>
      <c r="M849" s="33"/>
      <c r="N849" s="33"/>
      <c r="O849" s="33"/>
      <c r="P849" s="33"/>
      <c r="Q849" s="33"/>
      <c r="R849" s="33"/>
      <c r="S849" s="33"/>
      <c r="T849" s="33"/>
      <c r="U849" s="33"/>
      <c r="V849" s="33"/>
      <c r="W849" s="33"/>
      <c r="X849" s="33"/>
    </row>
    <row r="850" spans="1:24" ht="12.75" customHeight="1" x14ac:dyDescent="0.2">
      <c r="A850" s="33"/>
      <c r="B850" s="33"/>
      <c r="C850" s="84"/>
      <c r="D850" s="84"/>
      <c r="E850" s="69"/>
      <c r="F850" s="69"/>
      <c r="G850" s="76"/>
      <c r="H850" s="76"/>
      <c r="I850" s="33"/>
      <c r="J850" s="33"/>
      <c r="K850" s="33"/>
      <c r="L850" s="33"/>
      <c r="M850" s="33"/>
      <c r="N850" s="33"/>
      <c r="O850" s="33"/>
      <c r="P850" s="33"/>
      <c r="Q850" s="33"/>
      <c r="R850" s="33"/>
      <c r="S850" s="33"/>
      <c r="T850" s="33"/>
      <c r="U850" s="33"/>
      <c r="V850" s="33"/>
      <c r="W850" s="33"/>
      <c r="X850" s="33"/>
    </row>
    <row r="851" spans="1:24" ht="12.75" customHeight="1" x14ac:dyDescent="0.2">
      <c r="A851" s="33"/>
      <c r="B851" s="33"/>
      <c r="C851" s="84"/>
      <c r="D851" s="84"/>
      <c r="E851" s="69"/>
      <c r="F851" s="69"/>
      <c r="G851" s="76"/>
      <c r="H851" s="76"/>
      <c r="I851" s="33"/>
      <c r="J851" s="33"/>
      <c r="K851" s="33"/>
      <c r="L851" s="33"/>
      <c r="M851" s="33"/>
      <c r="N851" s="33"/>
      <c r="O851" s="33"/>
      <c r="P851" s="33"/>
      <c r="Q851" s="33"/>
      <c r="R851" s="33"/>
      <c r="S851" s="33"/>
      <c r="T851" s="33"/>
      <c r="U851" s="33"/>
      <c r="V851" s="33"/>
      <c r="W851" s="33"/>
      <c r="X851" s="33"/>
    </row>
    <row r="852" spans="1:24" ht="12.75" customHeight="1" x14ac:dyDescent="0.2">
      <c r="A852" s="33"/>
      <c r="B852" s="33"/>
      <c r="C852" s="84"/>
      <c r="D852" s="84"/>
      <c r="E852" s="69"/>
      <c r="F852" s="69"/>
      <c r="G852" s="76"/>
      <c r="H852" s="76"/>
      <c r="I852" s="33"/>
      <c r="J852" s="33"/>
      <c r="K852" s="33"/>
      <c r="L852" s="33"/>
      <c r="M852" s="33"/>
      <c r="N852" s="33"/>
      <c r="O852" s="33"/>
      <c r="P852" s="33"/>
      <c r="Q852" s="33"/>
      <c r="R852" s="33"/>
      <c r="S852" s="33"/>
      <c r="T852" s="33"/>
      <c r="U852" s="33"/>
      <c r="V852" s="33"/>
      <c r="W852" s="33"/>
      <c r="X852" s="33"/>
    </row>
    <row r="853" spans="1:24" ht="12.75" customHeight="1" x14ac:dyDescent="0.2">
      <c r="A853" s="33"/>
      <c r="B853" s="33"/>
      <c r="C853" s="84"/>
      <c r="D853" s="84"/>
      <c r="E853" s="69"/>
      <c r="F853" s="69"/>
      <c r="G853" s="76"/>
      <c r="H853" s="76"/>
      <c r="I853" s="33"/>
      <c r="J853" s="33"/>
      <c r="K853" s="33"/>
      <c r="L853" s="33"/>
      <c r="M853" s="33"/>
      <c r="N853" s="33"/>
      <c r="O853" s="33"/>
      <c r="P853" s="33"/>
      <c r="Q853" s="33"/>
      <c r="R853" s="33"/>
      <c r="S853" s="33"/>
      <c r="T853" s="33"/>
      <c r="U853" s="33"/>
      <c r="V853" s="33"/>
      <c r="W853" s="33"/>
      <c r="X853" s="33"/>
    </row>
    <row r="854" spans="1:24" ht="12.75" customHeight="1" x14ac:dyDescent="0.2">
      <c r="A854" s="33"/>
      <c r="B854" s="33"/>
      <c r="C854" s="84"/>
      <c r="D854" s="84"/>
      <c r="E854" s="69"/>
      <c r="F854" s="69"/>
      <c r="G854" s="76"/>
      <c r="H854" s="76"/>
      <c r="I854" s="33"/>
      <c r="J854" s="33"/>
      <c r="K854" s="33"/>
      <c r="L854" s="33"/>
      <c r="M854" s="33"/>
      <c r="N854" s="33"/>
      <c r="O854" s="33"/>
      <c r="P854" s="33"/>
      <c r="Q854" s="33"/>
      <c r="R854" s="33"/>
      <c r="S854" s="33"/>
      <c r="T854" s="33"/>
      <c r="U854" s="33"/>
      <c r="V854" s="33"/>
      <c r="W854" s="33"/>
      <c r="X854" s="33"/>
    </row>
    <row r="855" spans="1:24" ht="12.75" customHeight="1" x14ac:dyDescent="0.2">
      <c r="A855" s="33"/>
      <c r="B855" s="33"/>
      <c r="C855" s="84"/>
      <c r="D855" s="84"/>
      <c r="E855" s="69"/>
      <c r="F855" s="69"/>
      <c r="G855" s="76"/>
      <c r="H855" s="76"/>
      <c r="I855" s="33"/>
      <c r="J855" s="33"/>
      <c r="K855" s="33"/>
      <c r="L855" s="33"/>
      <c r="M855" s="33"/>
      <c r="N855" s="33"/>
      <c r="O855" s="33"/>
      <c r="P855" s="33"/>
      <c r="Q855" s="33"/>
      <c r="R855" s="33"/>
      <c r="S855" s="33"/>
      <c r="T855" s="33"/>
      <c r="U855" s="33"/>
      <c r="V855" s="33"/>
      <c r="W855" s="33"/>
      <c r="X855" s="33"/>
    </row>
    <row r="856" spans="1:24" ht="12.75" customHeight="1" x14ac:dyDescent="0.2">
      <c r="A856" s="33"/>
      <c r="B856" s="33"/>
      <c r="C856" s="84"/>
      <c r="D856" s="84"/>
      <c r="E856" s="69"/>
      <c r="F856" s="69"/>
      <c r="G856" s="76"/>
      <c r="H856" s="76"/>
      <c r="I856" s="33"/>
      <c r="J856" s="33"/>
      <c r="K856" s="33"/>
      <c r="L856" s="33"/>
      <c r="M856" s="33"/>
      <c r="N856" s="33"/>
      <c r="O856" s="33"/>
      <c r="P856" s="33"/>
      <c r="Q856" s="33"/>
      <c r="R856" s="33"/>
      <c r="S856" s="33"/>
      <c r="T856" s="33"/>
      <c r="U856" s="33"/>
      <c r="V856" s="33"/>
      <c r="W856" s="33"/>
      <c r="X856" s="33"/>
    </row>
    <row r="857" spans="1:24" ht="12.75" customHeight="1" x14ac:dyDescent="0.2">
      <c r="A857" s="33"/>
      <c r="B857" s="33"/>
      <c r="C857" s="84"/>
      <c r="D857" s="84"/>
      <c r="E857" s="69"/>
      <c r="F857" s="69"/>
      <c r="G857" s="76"/>
      <c r="H857" s="76"/>
      <c r="I857" s="33"/>
      <c r="J857" s="33"/>
      <c r="K857" s="33"/>
      <c r="L857" s="33"/>
      <c r="M857" s="33"/>
      <c r="N857" s="33"/>
      <c r="O857" s="33"/>
      <c r="P857" s="33"/>
      <c r="Q857" s="33"/>
      <c r="R857" s="33"/>
      <c r="S857" s="33"/>
      <c r="T857" s="33"/>
      <c r="U857" s="33"/>
      <c r="V857" s="33"/>
      <c r="W857" s="33"/>
      <c r="X857" s="33"/>
    </row>
    <row r="858" spans="1:24" ht="12.75" customHeight="1" x14ac:dyDescent="0.2">
      <c r="A858" s="33"/>
      <c r="B858" s="33"/>
      <c r="C858" s="84"/>
      <c r="D858" s="84"/>
      <c r="E858" s="69"/>
      <c r="F858" s="69"/>
      <c r="G858" s="76"/>
      <c r="H858" s="76"/>
      <c r="I858" s="33"/>
      <c r="J858" s="33"/>
      <c r="K858" s="33"/>
      <c r="L858" s="33"/>
      <c r="M858" s="33"/>
      <c r="N858" s="33"/>
      <c r="O858" s="33"/>
      <c r="P858" s="33"/>
      <c r="Q858" s="33"/>
      <c r="R858" s="33"/>
      <c r="S858" s="33"/>
      <c r="T858" s="33"/>
      <c r="U858" s="33"/>
      <c r="V858" s="33"/>
      <c r="W858" s="33"/>
      <c r="X858" s="33"/>
    </row>
    <row r="859" spans="1:24" ht="12.75" customHeight="1" x14ac:dyDescent="0.2">
      <c r="A859" s="33"/>
      <c r="B859" s="33"/>
      <c r="C859" s="84"/>
      <c r="D859" s="84"/>
      <c r="E859" s="69"/>
      <c r="F859" s="69"/>
      <c r="G859" s="76"/>
      <c r="H859" s="76"/>
      <c r="I859" s="33"/>
      <c r="J859" s="33"/>
      <c r="K859" s="33"/>
      <c r="L859" s="33"/>
      <c r="M859" s="33"/>
      <c r="N859" s="33"/>
      <c r="O859" s="33"/>
      <c r="P859" s="33"/>
      <c r="Q859" s="33"/>
      <c r="R859" s="33"/>
      <c r="S859" s="33"/>
      <c r="T859" s="33"/>
      <c r="U859" s="33"/>
      <c r="V859" s="33"/>
      <c r="W859" s="33"/>
      <c r="X859" s="33"/>
    </row>
    <row r="860" spans="1:24" ht="12.75" customHeight="1" x14ac:dyDescent="0.2">
      <c r="A860" s="33"/>
      <c r="B860" s="33"/>
      <c r="C860" s="84"/>
      <c r="D860" s="84"/>
      <c r="E860" s="69"/>
      <c r="F860" s="69"/>
      <c r="G860" s="76"/>
      <c r="H860" s="76"/>
      <c r="I860" s="33"/>
      <c r="J860" s="33"/>
      <c r="K860" s="33"/>
      <c r="L860" s="33"/>
      <c r="M860" s="33"/>
      <c r="N860" s="33"/>
      <c r="O860" s="33"/>
      <c r="P860" s="33"/>
      <c r="Q860" s="33"/>
      <c r="R860" s="33"/>
      <c r="S860" s="33"/>
      <c r="T860" s="33"/>
      <c r="U860" s="33"/>
      <c r="V860" s="33"/>
      <c r="W860" s="33"/>
      <c r="X860" s="33"/>
    </row>
    <row r="861" spans="1:24" ht="12.75" customHeight="1" x14ac:dyDescent="0.2">
      <c r="A861" s="33"/>
      <c r="B861" s="33"/>
      <c r="C861" s="84"/>
      <c r="D861" s="84"/>
      <c r="E861" s="69"/>
      <c r="F861" s="69"/>
      <c r="G861" s="76"/>
      <c r="H861" s="76"/>
      <c r="I861" s="33"/>
      <c r="J861" s="33"/>
      <c r="K861" s="33"/>
      <c r="L861" s="33"/>
      <c r="M861" s="33"/>
      <c r="N861" s="33"/>
      <c r="O861" s="33"/>
      <c r="P861" s="33"/>
      <c r="Q861" s="33"/>
      <c r="R861" s="33"/>
      <c r="S861" s="33"/>
      <c r="T861" s="33"/>
      <c r="U861" s="33"/>
      <c r="V861" s="33"/>
      <c r="W861" s="33"/>
      <c r="X861" s="33"/>
    </row>
    <row r="862" spans="1:24" ht="12.75" customHeight="1" x14ac:dyDescent="0.2">
      <c r="A862" s="33"/>
      <c r="B862" s="33"/>
      <c r="C862" s="84"/>
      <c r="D862" s="84"/>
      <c r="E862" s="69"/>
      <c r="F862" s="69"/>
      <c r="G862" s="76"/>
      <c r="H862" s="76"/>
      <c r="I862" s="33"/>
      <c r="J862" s="33"/>
      <c r="K862" s="33"/>
      <c r="L862" s="33"/>
      <c r="M862" s="33"/>
      <c r="N862" s="33"/>
      <c r="O862" s="33"/>
      <c r="P862" s="33"/>
      <c r="Q862" s="33"/>
      <c r="R862" s="33"/>
      <c r="S862" s="33"/>
      <c r="T862" s="33"/>
      <c r="U862" s="33"/>
      <c r="V862" s="33"/>
      <c r="W862" s="33"/>
      <c r="X862" s="33"/>
    </row>
    <row r="863" spans="1:24" ht="12.75" customHeight="1" x14ac:dyDescent="0.2">
      <c r="A863" s="33"/>
      <c r="B863" s="33"/>
      <c r="C863" s="84"/>
      <c r="D863" s="84"/>
      <c r="E863" s="69"/>
      <c r="F863" s="69"/>
      <c r="G863" s="76"/>
      <c r="H863" s="76"/>
      <c r="I863" s="33"/>
      <c r="J863" s="33"/>
      <c r="K863" s="33"/>
      <c r="L863" s="33"/>
      <c r="M863" s="33"/>
      <c r="N863" s="33"/>
      <c r="O863" s="33"/>
      <c r="P863" s="33"/>
      <c r="Q863" s="33"/>
      <c r="R863" s="33"/>
      <c r="S863" s="33"/>
      <c r="T863" s="33"/>
      <c r="U863" s="33"/>
      <c r="V863" s="33"/>
      <c r="W863" s="33"/>
      <c r="X863" s="33"/>
    </row>
    <row r="864" spans="1:24" ht="12.75" customHeight="1" x14ac:dyDescent="0.2">
      <c r="A864" s="33"/>
      <c r="B864" s="33"/>
      <c r="C864" s="84"/>
      <c r="D864" s="84"/>
      <c r="E864" s="69"/>
      <c r="F864" s="69"/>
      <c r="G864" s="76"/>
      <c r="H864" s="76"/>
      <c r="I864" s="33"/>
      <c r="J864" s="33"/>
      <c r="K864" s="33"/>
      <c r="L864" s="33"/>
      <c r="M864" s="33"/>
      <c r="N864" s="33"/>
      <c r="O864" s="33"/>
      <c r="P864" s="33"/>
      <c r="Q864" s="33"/>
      <c r="R864" s="33"/>
      <c r="S864" s="33"/>
      <c r="T864" s="33"/>
      <c r="U864" s="33"/>
      <c r="V864" s="33"/>
      <c r="W864" s="33"/>
      <c r="X864" s="33"/>
    </row>
    <row r="865" spans="1:24" ht="12.75" customHeight="1" x14ac:dyDescent="0.2">
      <c r="A865" s="33"/>
      <c r="B865" s="33"/>
      <c r="C865" s="84"/>
      <c r="D865" s="84"/>
      <c r="E865" s="69"/>
      <c r="F865" s="69"/>
      <c r="G865" s="76"/>
      <c r="H865" s="76"/>
      <c r="I865" s="33"/>
      <c r="J865" s="33"/>
      <c r="K865" s="33"/>
      <c r="L865" s="33"/>
      <c r="M865" s="33"/>
      <c r="N865" s="33"/>
      <c r="O865" s="33"/>
      <c r="P865" s="33"/>
      <c r="Q865" s="33"/>
      <c r="R865" s="33"/>
      <c r="S865" s="33"/>
      <c r="T865" s="33"/>
      <c r="U865" s="33"/>
      <c r="V865" s="33"/>
      <c r="W865" s="33"/>
      <c r="X865" s="33"/>
    </row>
    <row r="866" spans="1:24" ht="12.75" customHeight="1" x14ac:dyDescent="0.2">
      <c r="A866" s="33"/>
      <c r="B866" s="33"/>
      <c r="C866" s="84"/>
      <c r="D866" s="84"/>
      <c r="E866" s="69"/>
      <c r="F866" s="69"/>
      <c r="G866" s="76"/>
      <c r="H866" s="76"/>
      <c r="I866" s="33"/>
      <c r="J866" s="33"/>
      <c r="K866" s="33"/>
      <c r="L866" s="33"/>
      <c r="M866" s="33"/>
      <c r="N866" s="33"/>
      <c r="O866" s="33"/>
      <c r="P866" s="33"/>
      <c r="Q866" s="33"/>
      <c r="R866" s="33"/>
      <c r="S866" s="33"/>
      <c r="T866" s="33"/>
      <c r="U866" s="33"/>
      <c r="V866" s="33"/>
      <c r="W866" s="33"/>
      <c r="X866" s="33"/>
    </row>
    <row r="867" spans="1:24" ht="12.75" customHeight="1" x14ac:dyDescent="0.2">
      <c r="A867" s="33"/>
      <c r="B867" s="33"/>
      <c r="C867" s="84"/>
      <c r="D867" s="84"/>
      <c r="E867" s="69"/>
      <c r="F867" s="69"/>
      <c r="G867" s="76"/>
      <c r="H867" s="76"/>
      <c r="I867" s="33"/>
      <c r="J867" s="33"/>
      <c r="K867" s="33"/>
      <c r="L867" s="33"/>
      <c r="M867" s="33"/>
      <c r="N867" s="33"/>
      <c r="O867" s="33"/>
      <c r="P867" s="33"/>
      <c r="Q867" s="33"/>
      <c r="R867" s="33"/>
      <c r="S867" s="33"/>
      <c r="T867" s="33"/>
      <c r="U867" s="33"/>
      <c r="V867" s="33"/>
      <c r="W867" s="33"/>
      <c r="X867" s="33"/>
    </row>
    <row r="868" spans="1:24" ht="12.75" customHeight="1" x14ac:dyDescent="0.2">
      <c r="A868" s="33"/>
      <c r="B868" s="33"/>
      <c r="C868" s="84"/>
      <c r="D868" s="84"/>
      <c r="E868" s="69"/>
      <c r="F868" s="69"/>
      <c r="G868" s="76"/>
      <c r="H868" s="76"/>
      <c r="I868" s="33"/>
      <c r="J868" s="33"/>
      <c r="K868" s="33"/>
      <c r="L868" s="33"/>
      <c r="M868" s="33"/>
      <c r="N868" s="33"/>
      <c r="O868" s="33"/>
      <c r="P868" s="33"/>
      <c r="Q868" s="33"/>
      <c r="R868" s="33"/>
      <c r="S868" s="33"/>
      <c r="T868" s="33"/>
      <c r="U868" s="33"/>
      <c r="V868" s="33"/>
      <c r="W868" s="33"/>
      <c r="X868" s="33"/>
    </row>
    <row r="869" spans="1:24" ht="12.75" customHeight="1" x14ac:dyDescent="0.2">
      <c r="A869" s="33"/>
      <c r="B869" s="33"/>
      <c r="C869" s="84"/>
      <c r="D869" s="84"/>
      <c r="E869" s="69"/>
      <c r="F869" s="69"/>
      <c r="G869" s="76"/>
      <c r="H869" s="76"/>
      <c r="I869" s="33"/>
      <c r="J869" s="33"/>
      <c r="K869" s="33"/>
      <c r="L869" s="33"/>
      <c r="M869" s="33"/>
      <c r="N869" s="33"/>
      <c r="O869" s="33"/>
      <c r="P869" s="33"/>
      <c r="Q869" s="33"/>
      <c r="R869" s="33"/>
      <c r="S869" s="33"/>
      <c r="T869" s="33"/>
      <c r="U869" s="33"/>
      <c r="V869" s="33"/>
      <c r="W869" s="33"/>
      <c r="X869" s="33"/>
    </row>
    <row r="870" spans="1:24" ht="12.75" customHeight="1" x14ac:dyDescent="0.2">
      <c r="A870" s="33"/>
      <c r="B870" s="33"/>
      <c r="C870" s="84"/>
      <c r="D870" s="84"/>
      <c r="E870" s="69"/>
      <c r="F870" s="69"/>
      <c r="G870" s="76"/>
      <c r="H870" s="76"/>
      <c r="I870" s="33"/>
      <c r="J870" s="33"/>
      <c r="K870" s="33"/>
      <c r="L870" s="33"/>
      <c r="M870" s="33"/>
      <c r="N870" s="33"/>
      <c r="O870" s="33"/>
      <c r="P870" s="33"/>
      <c r="Q870" s="33"/>
      <c r="R870" s="33"/>
      <c r="S870" s="33"/>
      <c r="T870" s="33"/>
      <c r="U870" s="33"/>
      <c r="V870" s="33"/>
      <c r="W870" s="33"/>
      <c r="X870" s="33"/>
    </row>
    <row r="871" spans="1:24" ht="12.75" customHeight="1" x14ac:dyDescent="0.2">
      <c r="A871" s="33"/>
      <c r="B871" s="33"/>
      <c r="C871" s="84"/>
      <c r="D871" s="84"/>
      <c r="E871" s="69"/>
      <c r="F871" s="69"/>
      <c r="G871" s="76"/>
      <c r="H871" s="76"/>
      <c r="I871" s="33"/>
      <c r="J871" s="33"/>
      <c r="K871" s="33"/>
      <c r="L871" s="33"/>
      <c r="M871" s="33"/>
      <c r="N871" s="33"/>
      <c r="O871" s="33"/>
      <c r="P871" s="33"/>
      <c r="Q871" s="33"/>
      <c r="R871" s="33"/>
      <c r="S871" s="33"/>
      <c r="T871" s="33"/>
      <c r="U871" s="33"/>
      <c r="V871" s="33"/>
      <c r="W871" s="33"/>
      <c r="X871" s="33"/>
    </row>
    <row r="872" spans="1:24" ht="12.75" customHeight="1" x14ac:dyDescent="0.2">
      <c r="A872" s="33"/>
      <c r="B872" s="33"/>
      <c r="C872" s="84"/>
      <c r="D872" s="84"/>
      <c r="E872" s="69"/>
      <c r="F872" s="69"/>
      <c r="G872" s="76"/>
      <c r="H872" s="76"/>
      <c r="I872" s="33"/>
      <c r="J872" s="33"/>
      <c r="K872" s="33"/>
      <c r="L872" s="33"/>
      <c r="M872" s="33"/>
      <c r="N872" s="33"/>
      <c r="O872" s="33"/>
      <c r="P872" s="33"/>
      <c r="Q872" s="33"/>
      <c r="R872" s="33"/>
      <c r="S872" s="33"/>
      <c r="T872" s="33"/>
      <c r="U872" s="33"/>
      <c r="V872" s="33"/>
      <c r="W872" s="33"/>
      <c r="X872" s="33"/>
    </row>
    <row r="873" spans="1:24" ht="12.75" customHeight="1" x14ac:dyDescent="0.2">
      <c r="A873" s="33"/>
      <c r="B873" s="33"/>
      <c r="C873" s="84"/>
      <c r="D873" s="84"/>
      <c r="E873" s="69"/>
      <c r="F873" s="69"/>
      <c r="G873" s="76"/>
      <c r="H873" s="76"/>
      <c r="I873" s="33"/>
      <c r="J873" s="33"/>
      <c r="K873" s="33"/>
      <c r="L873" s="33"/>
      <c r="M873" s="33"/>
      <c r="N873" s="33"/>
      <c r="O873" s="33"/>
      <c r="P873" s="33"/>
      <c r="Q873" s="33"/>
      <c r="R873" s="33"/>
      <c r="S873" s="33"/>
      <c r="T873" s="33"/>
      <c r="U873" s="33"/>
      <c r="V873" s="33"/>
      <c r="W873" s="33"/>
      <c r="X873" s="33"/>
    </row>
    <row r="874" spans="1:24" ht="12.75" customHeight="1" x14ac:dyDescent="0.2">
      <c r="A874" s="33"/>
      <c r="B874" s="33"/>
      <c r="C874" s="84"/>
      <c r="D874" s="84"/>
      <c r="E874" s="69"/>
      <c r="F874" s="69"/>
      <c r="G874" s="76"/>
      <c r="H874" s="76"/>
      <c r="I874" s="33"/>
      <c r="J874" s="33"/>
      <c r="K874" s="33"/>
      <c r="L874" s="33"/>
      <c r="M874" s="33"/>
      <c r="N874" s="33"/>
      <c r="O874" s="33"/>
      <c r="P874" s="33"/>
      <c r="Q874" s="33"/>
      <c r="R874" s="33"/>
      <c r="S874" s="33"/>
      <c r="T874" s="33"/>
      <c r="U874" s="33"/>
      <c r="V874" s="33"/>
      <c r="W874" s="33"/>
      <c r="X874" s="33"/>
    </row>
    <row r="875" spans="1:24" ht="12.75" customHeight="1" x14ac:dyDescent="0.2">
      <c r="A875" s="33"/>
      <c r="B875" s="33"/>
      <c r="C875" s="84"/>
      <c r="D875" s="84"/>
      <c r="E875" s="69"/>
      <c r="F875" s="69"/>
      <c r="G875" s="76"/>
      <c r="H875" s="76"/>
      <c r="I875" s="33"/>
      <c r="J875" s="33"/>
      <c r="K875" s="33"/>
      <c r="L875" s="33"/>
      <c r="M875" s="33"/>
      <c r="N875" s="33"/>
      <c r="O875" s="33"/>
      <c r="P875" s="33"/>
      <c r="Q875" s="33"/>
      <c r="R875" s="33"/>
      <c r="S875" s="33"/>
      <c r="T875" s="33"/>
      <c r="U875" s="33"/>
      <c r="V875" s="33"/>
      <c r="W875" s="33"/>
      <c r="X875" s="33"/>
    </row>
    <row r="876" spans="1:24" ht="12.75" customHeight="1" x14ac:dyDescent="0.2">
      <c r="A876" s="33"/>
      <c r="B876" s="33"/>
      <c r="C876" s="84"/>
      <c r="D876" s="84"/>
      <c r="E876" s="69"/>
      <c r="F876" s="69"/>
      <c r="G876" s="76"/>
      <c r="H876" s="76"/>
      <c r="I876" s="33"/>
      <c r="J876" s="33"/>
      <c r="K876" s="33"/>
      <c r="L876" s="33"/>
      <c r="M876" s="33"/>
      <c r="N876" s="33"/>
      <c r="O876" s="33"/>
      <c r="P876" s="33"/>
      <c r="Q876" s="33"/>
      <c r="R876" s="33"/>
      <c r="S876" s="33"/>
      <c r="T876" s="33"/>
      <c r="U876" s="33"/>
      <c r="V876" s="33"/>
      <c r="W876" s="33"/>
      <c r="X876" s="33"/>
    </row>
    <row r="877" spans="1:24" ht="12.75" customHeight="1" x14ac:dyDescent="0.2">
      <c r="A877" s="33"/>
      <c r="B877" s="33"/>
      <c r="C877" s="84"/>
      <c r="D877" s="84"/>
      <c r="E877" s="69"/>
      <c r="F877" s="69"/>
      <c r="G877" s="76"/>
      <c r="H877" s="76"/>
      <c r="I877" s="33"/>
      <c r="J877" s="33"/>
      <c r="K877" s="33"/>
      <c r="L877" s="33"/>
      <c r="M877" s="33"/>
      <c r="N877" s="33"/>
      <c r="O877" s="33"/>
      <c r="P877" s="33"/>
      <c r="Q877" s="33"/>
      <c r="R877" s="33"/>
      <c r="S877" s="33"/>
      <c r="T877" s="33"/>
      <c r="U877" s="33"/>
      <c r="V877" s="33"/>
      <c r="W877" s="33"/>
      <c r="X877" s="33"/>
    </row>
    <row r="878" spans="1:24" ht="12.75" customHeight="1" x14ac:dyDescent="0.2">
      <c r="A878" s="33"/>
      <c r="B878" s="33"/>
      <c r="C878" s="84"/>
      <c r="D878" s="84"/>
      <c r="E878" s="69"/>
      <c r="F878" s="69"/>
      <c r="G878" s="76"/>
      <c r="H878" s="76"/>
      <c r="I878" s="33"/>
      <c r="J878" s="33"/>
      <c r="K878" s="33"/>
      <c r="L878" s="33"/>
      <c r="M878" s="33"/>
      <c r="N878" s="33"/>
      <c r="O878" s="33"/>
      <c r="P878" s="33"/>
      <c r="Q878" s="33"/>
      <c r="R878" s="33"/>
      <c r="S878" s="33"/>
      <c r="T878" s="33"/>
      <c r="U878" s="33"/>
      <c r="V878" s="33"/>
      <c r="W878" s="33"/>
      <c r="X878" s="33"/>
    </row>
    <row r="879" spans="1:24" ht="12.75" customHeight="1" x14ac:dyDescent="0.2">
      <c r="A879" s="33"/>
      <c r="B879" s="33"/>
      <c r="C879" s="84"/>
      <c r="D879" s="84"/>
      <c r="E879" s="69"/>
      <c r="F879" s="69"/>
      <c r="G879" s="76"/>
      <c r="H879" s="76"/>
      <c r="I879" s="33"/>
      <c r="J879" s="33"/>
      <c r="K879" s="33"/>
      <c r="L879" s="33"/>
      <c r="M879" s="33"/>
      <c r="N879" s="33"/>
      <c r="O879" s="33"/>
      <c r="P879" s="33"/>
      <c r="Q879" s="33"/>
      <c r="R879" s="33"/>
      <c r="S879" s="33"/>
      <c r="T879" s="33"/>
      <c r="U879" s="33"/>
      <c r="V879" s="33"/>
      <c r="W879" s="33"/>
      <c r="X879" s="33"/>
    </row>
    <row r="880" spans="1:24" ht="12.75" customHeight="1" x14ac:dyDescent="0.2">
      <c r="A880" s="33"/>
      <c r="B880" s="33"/>
      <c r="C880" s="84"/>
      <c r="D880" s="84"/>
      <c r="E880" s="69"/>
      <c r="F880" s="69"/>
      <c r="G880" s="76"/>
      <c r="H880" s="76"/>
      <c r="I880" s="33"/>
      <c r="J880" s="33"/>
      <c r="K880" s="33"/>
      <c r="L880" s="33"/>
      <c r="M880" s="33"/>
      <c r="N880" s="33"/>
      <c r="O880" s="33"/>
      <c r="P880" s="33"/>
      <c r="Q880" s="33"/>
      <c r="R880" s="33"/>
      <c r="S880" s="33"/>
      <c r="T880" s="33"/>
      <c r="U880" s="33"/>
      <c r="V880" s="33"/>
      <c r="W880" s="33"/>
      <c r="X880" s="33"/>
    </row>
    <row r="881" spans="1:24" ht="12.75" customHeight="1" x14ac:dyDescent="0.2">
      <c r="A881" s="33"/>
      <c r="B881" s="33"/>
      <c r="C881" s="84"/>
      <c r="D881" s="84"/>
      <c r="E881" s="69"/>
      <c r="F881" s="69"/>
      <c r="G881" s="76"/>
      <c r="H881" s="76"/>
      <c r="I881" s="33"/>
      <c r="J881" s="33"/>
      <c r="K881" s="33"/>
      <c r="L881" s="33"/>
      <c r="M881" s="33"/>
      <c r="N881" s="33"/>
      <c r="O881" s="33"/>
      <c r="P881" s="33"/>
      <c r="Q881" s="33"/>
      <c r="R881" s="33"/>
      <c r="S881" s="33"/>
      <c r="T881" s="33"/>
      <c r="U881" s="33"/>
      <c r="V881" s="33"/>
      <c r="W881" s="33"/>
      <c r="X881" s="33"/>
    </row>
    <row r="882" spans="1:24" ht="12.75" customHeight="1" x14ac:dyDescent="0.2">
      <c r="A882" s="33"/>
      <c r="B882" s="33"/>
      <c r="C882" s="84"/>
      <c r="D882" s="84"/>
      <c r="E882" s="69"/>
      <c r="F882" s="69"/>
      <c r="G882" s="76"/>
      <c r="H882" s="76"/>
      <c r="I882" s="33"/>
      <c r="J882" s="33"/>
      <c r="K882" s="33"/>
      <c r="L882" s="33"/>
      <c r="M882" s="33"/>
      <c r="N882" s="33"/>
      <c r="O882" s="33"/>
      <c r="P882" s="33"/>
      <c r="Q882" s="33"/>
      <c r="R882" s="33"/>
      <c r="S882" s="33"/>
      <c r="T882" s="33"/>
      <c r="U882" s="33"/>
      <c r="V882" s="33"/>
      <c r="W882" s="33"/>
      <c r="X882" s="33"/>
    </row>
    <row r="883" spans="1:24" ht="12.75" customHeight="1" x14ac:dyDescent="0.2">
      <c r="A883" s="33"/>
      <c r="B883" s="33"/>
      <c r="C883" s="84"/>
      <c r="D883" s="84"/>
      <c r="E883" s="69"/>
      <c r="F883" s="69"/>
      <c r="G883" s="76"/>
      <c r="H883" s="76"/>
      <c r="I883" s="33"/>
      <c r="J883" s="33"/>
      <c r="K883" s="33"/>
      <c r="L883" s="33"/>
      <c r="M883" s="33"/>
      <c r="N883" s="33"/>
      <c r="O883" s="33"/>
      <c r="P883" s="33"/>
      <c r="Q883" s="33"/>
      <c r="R883" s="33"/>
      <c r="S883" s="33"/>
      <c r="T883" s="33"/>
      <c r="U883" s="33"/>
      <c r="V883" s="33"/>
      <c r="W883" s="33"/>
      <c r="X883" s="33"/>
    </row>
    <row r="884" spans="1:24" ht="12.75" customHeight="1" x14ac:dyDescent="0.2">
      <c r="A884" s="33"/>
      <c r="B884" s="33"/>
      <c r="C884" s="84"/>
      <c r="D884" s="84"/>
      <c r="E884" s="69"/>
      <c r="F884" s="69"/>
      <c r="G884" s="76"/>
      <c r="H884" s="76"/>
      <c r="I884" s="33"/>
      <c r="J884" s="33"/>
      <c r="K884" s="33"/>
      <c r="L884" s="33"/>
      <c r="M884" s="33"/>
      <c r="N884" s="33"/>
      <c r="O884" s="33"/>
      <c r="P884" s="33"/>
      <c r="Q884" s="33"/>
      <c r="R884" s="33"/>
      <c r="S884" s="33"/>
      <c r="T884" s="33"/>
      <c r="U884" s="33"/>
      <c r="V884" s="33"/>
      <c r="W884" s="33"/>
      <c r="X884" s="33"/>
    </row>
    <row r="885" spans="1:24" ht="12.75" customHeight="1" x14ac:dyDescent="0.2">
      <c r="A885" s="33"/>
      <c r="B885" s="33"/>
      <c r="C885" s="84"/>
      <c r="D885" s="84"/>
      <c r="E885" s="69"/>
      <c r="F885" s="69"/>
      <c r="G885" s="76"/>
      <c r="H885" s="76"/>
      <c r="I885" s="33"/>
      <c r="J885" s="33"/>
      <c r="K885" s="33"/>
      <c r="L885" s="33"/>
      <c r="M885" s="33"/>
      <c r="N885" s="33"/>
      <c r="O885" s="33"/>
      <c r="P885" s="33"/>
      <c r="Q885" s="33"/>
      <c r="R885" s="33"/>
      <c r="S885" s="33"/>
      <c r="T885" s="33"/>
      <c r="U885" s="33"/>
      <c r="V885" s="33"/>
      <c r="W885" s="33"/>
      <c r="X885" s="33"/>
    </row>
    <row r="886" spans="1:24" ht="12.75" customHeight="1" x14ac:dyDescent="0.2">
      <c r="A886" s="33"/>
      <c r="B886" s="33"/>
      <c r="C886" s="84"/>
      <c r="D886" s="84"/>
      <c r="E886" s="69"/>
      <c r="F886" s="69"/>
      <c r="G886" s="76"/>
      <c r="H886" s="76"/>
      <c r="I886" s="33"/>
      <c r="J886" s="33"/>
      <c r="K886" s="33"/>
      <c r="L886" s="33"/>
      <c r="M886" s="33"/>
      <c r="N886" s="33"/>
      <c r="O886" s="33"/>
      <c r="P886" s="33"/>
      <c r="Q886" s="33"/>
      <c r="R886" s="33"/>
      <c r="S886" s="33"/>
      <c r="T886" s="33"/>
      <c r="U886" s="33"/>
      <c r="V886" s="33"/>
      <c r="W886" s="33"/>
      <c r="X886" s="33"/>
    </row>
    <row r="887" spans="1:24" ht="12.75" customHeight="1" x14ac:dyDescent="0.2">
      <c r="A887" s="33"/>
      <c r="B887" s="33"/>
      <c r="C887" s="84"/>
      <c r="D887" s="84"/>
      <c r="E887" s="69"/>
      <c r="F887" s="69"/>
      <c r="G887" s="76"/>
      <c r="H887" s="76"/>
      <c r="I887" s="33"/>
      <c r="J887" s="33"/>
      <c r="K887" s="33"/>
      <c r="L887" s="33"/>
      <c r="M887" s="33"/>
      <c r="N887" s="33"/>
      <c r="O887" s="33"/>
      <c r="P887" s="33"/>
      <c r="Q887" s="33"/>
      <c r="R887" s="33"/>
      <c r="S887" s="33"/>
      <c r="T887" s="33"/>
      <c r="U887" s="33"/>
      <c r="V887" s="33"/>
      <c r="W887" s="33"/>
      <c r="X887" s="33"/>
    </row>
    <row r="888" spans="1:24" ht="12.75" customHeight="1" x14ac:dyDescent="0.2">
      <c r="A888" s="33"/>
      <c r="B888" s="33"/>
      <c r="C888" s="84"/>
      <c r="D888" s="84"/>
      <c r="E888" s="69"/>
      <c r="F888" s="69"/>
      <c r="G888" s="76"/>
      <c r="H888" s="76"/>
      <c r="I888" s="33"/>
      <c r="J888" s="33"/>
      <c r="K888" s="33"/>
      <c r="L888" s="33"/>
      <c r="M888" s="33"/>
      <c r="N888" s="33"/>
      <c r="O888" s="33"/>
      <c r="P888" s="33"/>
      <c r="Q888" s="33"/>
      <c r="R888" s="33"/>
      <c r="S888" s="33"/>
      <c r="T888" s="33"/>
      <c r="U888" s="33"/>
      <c r="V888" s="33"/>
      <c r="W888" s="33"/>
      <c r="X888" s="33"/>
    </row>
    <row r="889" spans="1:24" ht="12.75" customHeight="1" x14ac:dyDescent="0.2">
      <c r="A889" s="33"/>
      <c r="B889" s="33"/>
      <c r="C889" s="84"/>
      <c r="D889" s="84"/>
      <c r="E889" s="69"/>
      <c r="F889" s="69"/>
      <c r="G889" s="76"/>
      <c r="H889" s="76"/>
      <c r="I889" s="33"/>
      <c r="J889" s="33"/>
      <c r="K889" s="33"/>
      <c r="L889" s="33"/>
      <c r="M889" s="33"/>
      <c r="N889" s="33"/>
      <c r="O889" s="33"/>
      <c r="P889" s="33"/>
      <c r="Q889" s="33"/>
      <c r="R889" s="33"/>
      <c r="S889" s="33"/>
      <c r="T889" s="33"/>
      <c r="U889" s="33"/>
      <c r="V889" s="33"/>
      <c r="W889" s="33"/>
      <c r="X889" s="33"/>
    </row>
    <row r="890" spans="1:24" ht="12.75" customHeight="1" x14ac:dyDescent="0.2">
      <c r="A890" s="33"/>
      <c r="B890" s="33"/>
      <c r="C890" s="84"/>
      <c r="D890" s="84"/>
      <c r="E890" s="69"/>
      <c r="F890" s="69"/>
      <c r="G890" s="76"/>
      <c r="H890" s="76"/>
      <c r="I890" s="33"/>
      <c r="J890" s="33"/>
      <c r="K890" s="33"/>
      <c r="L890" s="33"/>
      <c r="M890" s="33"/>
      <c r="N890" s="33"/>
      <c r="O890" s="33"/>
      <c r="P890" s="33"/>
      <c r="Q890" s="33"/>
      <c r="R890" s="33"/>
      <c r="S890" s="33"/>
      <c r="T890" s="33"/>
      <c r="U890" s="33"/>
      <c r="V890" s="33"/>
      <c r="W890" s="33"/>
      <c r="X890" s="33"/>
    </row>
    <row r="891" spans="1:24" ht="12.75" customHeight="1" x14ac:dyDescent="0.2">
      <c r="A891" s="33"/>
      <c r="B891" s="33"/>
      <c r="C891" s="84"/>
      <c r="D891" s="84"/>
      <c r="E891" s="69"/>
      <c r="F891" s="69"/>
      <c r="G891" s="76"/>
      <c r="H891" s="76"/>
      <c r="I891" s="33"/>
      <c r="J891" s="33"/>
      <c r="K891" s="33"/>
      <c r="L891" s="33"/>
      <c r="M891" s="33"/>
      <c r="N891" s="33"/>
      <c r="O891" s="33"/>
      <c r="P891" s="33"/>
      <c r="Q891" s="33"/>
      <c r="R891" s="33"/>
      <c r="S891" s="33"/>
      <c r="T891" s="33"/>
      <c r="U891" s="33"/>
      <c r="V891" s="33"/>
      <c r="W891" s="33"/>
      <c r="X891" s="33"/>
    </row>
    <row r="892" spans="1:24" ht="12.75" customHeight="1" x14ac:dyDescent="0.2">
      <c r="A892" s="33"/>
      <c r="B892" s="33"/>
      <c r="C892" s="84"/>
      <c r="D892" s="84"/>
      <c r="E892" s="69"/>
      <c r="F892" s="69"/>
      <c r="G892" s="76"/>
      <c r="H892" s="76"/>
      <c r="I892" s="33"/>
      <c r="J892" s="33"/>
      <c r="K892" s="33"/>
      <c r="L892" s="33"/>
      <c r="M892" s="33"/>
      <c r="N892" s="33"/>
      <c r="O892" s="33"/>
      <c r="P892" s="33"/>
      <c r="Q892" s="33"/>
      <c r="R892" s="33"/>
      <c r="S892" s="33"/>
      <c r="T892" s="33"/>
      <c r="U892" s="33"/>
      <c r="V892" s="33"/>
      <c r="W892" s="33"/>
      <c r="X892" s="33"/>
    </row>
    <row r="893" spans="1:24" ht="12.75" customHeight="1" x14ac:dyDescent="0.2">
      <c r="A893" s="33"/>
      <c r="B893" s="33"/>
      <c r="C893" s="84"/>
      <c r="D893" s="84"/>
      <c r="E893" s="69"/>
      <c r="F893" s="69"/>
      <c r="G893" s="76"/>
      <c r="H893" s="76"/>
      <c r="I893" s="33"/>
      <c r="J893" s="33"/>
      <c r="K893" s="33"/>
      <c r="L893" s="33"/>
      <c r="M893" s="33"/>
      <c r="N893" s="33"/>
      <c r="O893" s="33"/>
      <c r="P893" s="33"/>
      <c r="Q893" s="33"/>
      <c r="R893" s="33"/>
      <c r="S893" s="33"/>
      <c r="T893" s="33"/>
      <c r="U893" s="33"/>
      <c r="V893" s="33"/>
      <c r="W893" s="33"/>
      <c r="X893" s="33"/>
    </row>
    <row r="894" spans="1:24" ht="12.75" customHeight="1" x14ac:dyDescent="0.2">
      <c r="A894" s="33"/>
      <c r="B894" s="33"/>
      <c r="C894" s="84"/>
      <c r="D894" s="84"/>
      <c r="E894" s="69"/>
      <c r="F894" s="69"/>
      <c r="G894" s="76"/>
      <c r="H894" s="76"/>
      <c r="I894" s="33"/>
      <c r="J894" s="33"/>
      <c r="K894" s="33"/>
      <c r="L894" s="33"/>
      <c r="M894" s="33"/>
      <c r="N894" s="33"/>
      <c r="O894" s="33"/>
      <c r="P894" s="33"/>
      <c r="Q894" s="33"/>
      <c r="R894" s="33"/>
      <c r="S894" s="33"/>
      <c r="T894" s="33"/>
      <c r="U894" s="33"/>
      <c r="V894" s="33"/>
      <c r="W894" s="33"/>
      <c r="X894" s="33"/>
    </row>
    <row r="895" spans="1:24" ht="12.75" customHeight="1" x14ac:dyDescent="0.2">
      <c r="A895" s="33"/>
      <c r="B895" s="33"/>
      <c r="C895" s="84"/>
      <c r="D895" s="84"/>
      <c r="E895" s="69"/>
      <c r="F895" s="69"/>
      <c r="G895" s="76"/>
      <c r="H895" s="76"/>
      <c r="I895" s="33"/>
      <c r="J895" s="33"/>
      <c r="K895" s="33"/>
      <c r="L895" s="33"/>
      <c r="M895" s="33"/>
      <c r="N895" s="33"/>
      <c r="O895" s="33"/>
      <c r="P895" s="33"/>
      <c r="Q895" s="33"/>
      <c r="R895" s="33"/>
      <c r="S895" s="33"/>
      <c r="T895" s="33"/>
      <c r="U895" s="33"/>
      <c r="V895" s="33"/>
      <c r="W895" s="33"/>
      <c r="X895" s="33"/>
    </row>
    <row r="896" spans="1:24" ht="12.75" customHeight="1" x14ac:dyDescent="0.2">
      <c r="A896" s="33"/>
      <c r="B896" s="33"/>
      <c r="C896" s="84"/>
      <c r="D896" s="84"/>
      <c r="E896" s="69"/>
      <c r="F896" s="69"/>
      <c r="G896" s="76"/>
      <c r="H896" s="76"/>
      <c r="I896" s="33"/>
      <c r="J896" s="33"/>
      <c r="K896" s="33"/>
      <c r="L896" s="33"/>
      <c r="M896" s="33"/>
      <c r="N896" s="33"/>
      <c r="O896" s="33"/>
      <c r="P896" s="33"/>
      <c r="Q896" s="33"/>
      <c r="R896" s="33"/>
      <c r="S896" s="33"/>
      <c r="T896" s="33"/>
      <c r="U896" s="33"/>
      <c r="V896" s="33"/>
      <c r="W896" s="33"/>
      <c r="X896" s="33"/>
    </row>
    <row r="897" spans="1:24" ht="12.75" customHeight="1" x14ac:dyDescent="0.2">
      <c r="A897" s="33"/>
      <c r="B897" s="33"/>
      <c r="C897" s="84"/>
      <c r="D897" s="84"/>
      <c r="E897" s="69"/>
      <c r="F897" s="69"/>
      <c r="G897" s="76"/>
      <c r="H897" s="76"/>
      <c r="I897" s="33"/>
      <c r="J897" s="33"/>
      <c r="K897" s="33"/>
      <c r="L897" s="33"/>
      <c r="M897" s="33"/>
      <c r="N897" s="33"/>
      <c r="O897" s="33"/>
      <c r="P897" s="33"/>
      <c r="Q897" s="33"/>
      <c r="R897" s="33"/>
      <c r="S897" s="33"/>
      <c r="T897" s="33"/>
      <c r="U897" s="33"/>
      <c r="V897" s="33"/>
      <c r="W897" s="33"/>
      <c r="X897" s="33"/>
    </row>
    <row r="898" spans="1:24" ht="12.75" customHeight="1" x14ac:dyDescent="0.2">
      <c r="A898" s="33"/>
      <c r="B898" s="33"/>
      <c r="C898" s="84"/>
      <c r="D898" s="84"/>
      <c r="E898" s="69"/>
      <c r="F898" s="69"/>
      <c r="G898" s="76"/>
      <c r="H898" s="76"/>
      <c r="I898" s="33"/>
      <c r="J898" s="33"/>
      <c r="K898" s="33"/>
      <c r="L898" s="33"/>
      <c r="M898" s="33"/>
      <c r="N898" s="33"/>
      <c r="O898" s="33"/>
      <c r="P898" s="33"/>
      <c r="Q898" s="33"/>
      <c r="R898" s="33"/>
      <c r="S898" s="33"/>
      <c r="T898" s="33"/>
      <c r="U898" s="33"/>
      <c r="V898" s="33"/>
      <c r="W898" s="33"/>
      <c r="X898" s="33"/>
    </row>
    <row r="899" spans="1:24" ht="12.75" customHeight="1" x14ac:dyDescent="0.2">
      <c r="A899" s="33"/>
      <c r="B899" s="33"/>
      <c r="C899" s="84"/>
      <c r="D899" s="84"/>
      <c r="E899" s="69"/>
      <c r="F899" s="69"/>
      <c r="G899" s="76"/>
      <c r="H899" s="76"/>
      <c r="I899" s="33"/>
      <c r="J899" s="33"/>
      <c r="K899" s="33"/>
      <c r="L899" s="33"/>
      <c r="M899" s="33"/>
      <c r="N899" s="33"/>
      <c r="O899" s="33"/>
      <c r="P899" s="33"/>
      <c r="Q899" s="33"/>
      <c r="R899" s="33"/>
      <c r="S899" s="33"/>
      <c r="T899" s="33"/>
      <c r="U899" s="33"/>
      <c r="V899" s="33"/>
      <c r="W899" s="33"/>
      <c r="X899" s="33"/>
    </row>
    <row r="900" spans="1:24" ht="12.75" customHeight="1" x14ac:dyDescent="0.2">
      <c r="A900" s="33"/>
      <c r="B900" s="33"/>
      <c r="C900" s="84"/>
      <c r="D900" s="84"/>
      <c r="E900" s="69"/>
      <c r="F900" s="69"/>
      <c r="G900" s="76"/>
      <c r="H900" s="76"/>
      <c r="I900" s="33"/>
      <c r="J900" s="33"/>
      <c r="K900" s="33"/>
      <c r="L900" s="33"/>
      <c r="M900" s="33"/>
      <c r="N900" s="33"/>
      <c r="O900" s="33"/>
      <c r="P900" s="33"/>
      <c r="Q900" s="33"/>
      <c r="R900" s="33"/>
      <c r="S900" s="33"/>
      <c r="T900" s="33"/>
      <c r="U900" s="33"/>
      <c r="V900" s="33"/>
      <c r="W900" s="33"/>
      <c r="X900" s="33"/>
    </row>
    <row r="901" spans="1:24" ht="12.75" customHeight="1" x14ac:dyDescent="0.2">
      <c r="A901" s="33"/>
      <c r="B901" s="33"/>
      <c r="C901" s="84"/>
      <c r="D901" s="84"/>
      <c r="E901" s="69"/>
      <c r="F901" s="69"/>
      <c r="G901" s="76"/>
      <c r="H901" s="76"/>
      <c r="I901" s="33"/>
      <c r="J901" s="33"/>
      <c r="K901" s="33"/>
      <c r="L901" s="33"/>
      <c r="M901" s="33"/>
      <c r="N901" s="33"/>
      <c r="O901" s="33"/>
      <c r="P901" s="33"/>
      <c r="Q901" s="33"/>
      <c r="R901" s="33"/>
      <c r="S901" s="33"/>
      <c r="T901" s="33"/>
      <c r="U901" s="33"/>
      <c r="V901" s="33"/>
      <c r="W901" s="33"/>
      <c r="X901" s="33"/>
    </row>
    <row r="902" spans="1:24" ht="12.75" customHeight="1" x14ac:dyDescent="0.2">
      <c r="A902" s="33"/>
      <c r="B902" s="33"/>
      <c r="C902" s="84"/>
      <c r="D902" s="84"/>
      <c r="E902" s="69"/>
      <c r="F902" s="69"/>
      <c r="G902" s="76"/>
      <c r="H902" s="76"/>
      <c r="I902" s="33"/>
      <c r="J902" s="33"/>
      <c r="K902" s="33"/>
      <c r="L902" s="33"/>
      <c r="M902" s="33"/>
      <c r="N902" s="33"/>
      <c r="O902" s="33"/>
      <c r="P902" s="33"/>
      <c r="Q902" s="33"/>
      <c r="R902" s="33"/>
      <c r="S902" s="33"/>
      <c r="T902" s="33"/>
      <c r="U902" s="33"/>
      <c r="V902" s="33"/>
      <c r="W902" s="33"/>
      <c r="X902" s="33"/>
    </row>
    <row r="903" spans="1:24" ht="12.75" customHeight="1" x14ac:dyDescent="0.2">
      <c r="A903" s="33"/>
      <c r="B903" s="33"/>
      <c r="C903" s="84"/>
      <c r="D903" s="84"/>
      <c r="E903" s="69"/>
      <c r="F903" s="69"/>
      <c r="G903" s="76"/>
      <c r="H903" s="76"/>
      <c r="I903" s="33"/>
      <c r="J903" s="33"/>
      <c r="K903" s="33"/>
      <c r="L903" s="33"/>
      <c r="M903" s="33"/>
      <c r="N903" s="33"/>
      <c r="O903" s="33"/>
      <c r="P903" s="33"/>
      <c r="Q903" s="33"/>
      <c r="R903" s="33"/>
      <c r="S903" s="33"/>
      <c r="T903" s="33"/>
      <c r="U903" s="33"/>
      <c r="V903" s="33"/>
      <c r="W903" s="33"/>
      <c r="X903" s="33"/>
    </row>
    <row r="904" spans="1:24" ht="12.75" customHeight="1" x14ac:dyDescent="0.2">
      <c r="A904" s="33"/>
      <c r="B904" s="33"/>
      <c r="C904" s="84"/>
      <c r="D904" s="84"/>
      <c r="E904" s="69"/>
      <c r="F904" s="69"/>
      <c r="G904" s="76"/>
      <c r="H904" s="76"/>
      <c r="I904" s="33"/>
      <c r="J904" s="33"/>
      <c r="K904" s="33"/>
      <c r="L904" s="33"/>
      <c r="M904" s="33"/>
      <c r="N904" s="33"/>
      <c r="O904" s="33"/>
      <c r="P904" s="33"/>
      <c r="Q904" s="33"/>
      <c r="R904" s="33"/>
      <c r="S904" s="33"/>
      <c r="T904" s="33"/>
      <c r="U904" s="33"/>
      <c r="V904" s="33"/>
      <c r="W904" s="33"/>
      <c r="X904" s="33"/>
    </row>
    <row r="905" spans="1:24" ht="12.75" customHeight="1" x14ac:dyDescent="0.2">
      <c r="A905" s="33"/>
      <c r="B905" s="33"/>
      <c r="C905" s="84"/>
      <c r="D905" s="84"/>
      <c r="E905" s="69"/>
      <c r="F905" s="69"/>
      <c r="G905" s="76"/>
      <c r="H905" s="76"/>
      <c r="I905" s="33"/>
      <c r="J905" s="33"/>
      <c r="K905" s="33"/>
      <c r="L905" s="33"/>
      <c r="M905" s="33"/>
      <c r="N905" s="33"/>
      <c r="O905" s="33"/>
      <c r="P905" s="33"/>
      <c r="Q905" s="33"/>
      <c r="R905" s="33"/>
      <c r="S905" s="33"/>
      <c r="T905" s="33"/>
      <c r="U905" s="33"/>
      <c r="V905" s="33"/>
      <c r="W905" s="33"/>
      <c r="X905" s="33"/>
    </row>
    <row r="906" spans="1:24" ht="12.75" customHeight="1" x14ac:dyDescent="0.2">
      <c r="A906" s="33"/>
      <c r="B906" s="33"/>
      <c r="C906" s="84"/>
      <c r="D906" s="84"/>
      <c r="E906" s="69"/>
      <c r="F906" s="69"/>
      <c r="G906" s="76"/>
      <c r="H906" s="76"/>
      <c r="I906" s="33"/>
      <c r="J906" s="33"/>
      <c r="K906" s="33"/>
      <c r="L906" s="33"/>
      <c r="M906" s="33"/>
      <c r="N906" s="33"/>
      <c r="O906" s="33"/>
      <c r="P906" s="33"/>
      <c r="Q906" s="33"/>
      <c r="R906" s="33"/>
      <c r="S906" s="33"/>
      <c r="T906" s="33"/>
      <c r="U906" s="33"/>
      <c r="V906" s="33"/>
      <c r="W906" s="33"/>
      <c r="X906" s="33"/>
    </row>
    <row r="907" spans="1:24" ht="12.75" customHeight="1" x14ac:dyDescent="0.2">
      <c r="A907" s="33"/>
      <c r="B907" s="33"/>
      <c r="C907" s="84"/>
      <c r="D907" s="84"/>
      <c r="E907" s="69"/>
      <c r="F907" s="69"/>
      <c r="G907" s="76"/>
      <c r="H907" s="76"/>
      <c r="I907" s="33"/>
      <c r="J907" s="33"/>
      <c r="K907" s="33"/>
      <c r="L907" s="33"/>
      <c r="M907" s="33"/>
      <c r="N907" s="33"/>
      <c r="O907" s="33"/>
      <c r="P907" s="33"/>
      <c r="Q907" s="33"/>
      <c r="R907" s="33"/>
      <c r="S907" s="33"/>
      <c r="T907" s="33"/>
      <c r="U907" s="33"/>
      <c r="V907" s="33"/>
      <c r="W907" s="33"/>
      <c r="X907" s="33"/>
    </row>
    <row r="908" spans="1:24" ht="12.75" customHeight="1" x14ac:dyDescent="0.2">
      <c r="A908" s="33"/>
      <c r="B908" s="33"/>
      <c r="C908" s="84"/>
      <c r="D908" s="84"/>
      <c r="E908" s="69"/>
      <c r="F908" s="69"/>
      <c r="G908" s="76"/>
      <c r="H908" s="76"/>
      <c r="I908" s="33"/>
      <c r="J908" s="33"/>
      <c r="K908" s="33"/>
      <c r="L908" s="33"/>
      <c r="M908" s="33"/>
      <c r="N908" s="33"/>
      <c r="O908" s="33"/>
      <c r="P908" s="33"/>
      <c r="Q908" s="33"/>
      <c r="R908" s="33"/>
      <c r="S908" s="33"/>
      <c r="T908" s="33"/>
      <c r="U908" s="33"/>
      <c r="V908" s="33"/>
      <c r="W908" s="33"/>
      <c r="X908" s="33"/>
    </row>
    <row r="909" spans="1:24" ht="12.75" customHeight="1" x14ac:dyDescent="0.2">
      <c r="A909" s="33"/>
      <c r="B909" s="33"/>
      <c r="C909" s="84"/>
      <c r="D909" s="84"/>
      <c r="E909" s="69"/>
      <c r="F909" s="69"/>
      <c r="G909" s="76"/>
      <c r="H909" s="76"/>
      <c r="I909" s="33"/>
      <c r="J909" s="33"/>
      <c r="K909" s="33"/>
      <c r="L909" s="33"/>
      <c r="M909" s="33"/>
      <c r="N909" s="33"/>
      <c r="O909" s="33"/>
      <c r="P909" s="33"/>
      <c r="Q909" s="33"/>
      <c r="R909" s="33"/>
      <c r="S909" s="33"/>
      <c r="T909" s="33"/>
      <c r="U909" s="33"/>
      <c r="V909" s="33"/>
      <c r="W909" s="33"/>
      <c r="X909" s="33"/>
    </row>
    <row r="910" spans="1:24" ht="12.75" customHeight="1" x14ac:dyDescent="0.2">
      <c r="A910" s="33"/>
      <c r="B910" s="33"/>
      <c r="C910" s="84"/>
      <c r="D910" s="84"/>
      <c r="E910" s="69"/>
      <c r="F910" s="69"/>
      <c r="G910" s="76"/>
      <c r="H910" s="76"/>
      <c r="I910" s="33"/>
      <c r="J910" s="33"/>
      <c r="K910" s="33"/>
      <c r="L910" s="33"/>
      <c r="M910" s="33"/>
      <c r="N910" s="33"/>
      <c r="O910" s="33"/>
      <c r="P910" s="33"/>
      <c r="Q910" s="33"/>
      <c r="R910" s="33"/>
      <c r="S910" s="33"/>
      <c r="T910" s="33"/>
      <c r="U910" s="33"/>
      <c r="V910" s="33"/>
      <c r="W910" s="33"/>
      <c r="X910" s="33"/>
    </row>
    <row r="911" spans="1:24" ht="12.75" customHeight="1" x14ac:dyDescent="0.2">
      <c r="A911" s="33"/>
      <c r="B911" s="33"/>
      <c r="C911" s="84"/>
      <c r="D911" s="84"/>
      <c r="E911" s="69"/>
      <c r="F911" s="69"/>
      <c r="G911" s="76"/>
      <c r="H911" s="76"/>
      <c r="I911" s="33"/>
      <c r="J911" s="33"/>
      <c r="K911" s="33"/>
      <c r="L911" s="33"/>
      <c r="M911" s="33"/>
      <c r="N911" s="33"/>
      <c r="O911" s="33"/>
      <c r="P911" s="33"/>
      <c r="Q911" s="33"/>
      <c r="R911" s="33"/>
      <c r="S911" s="33"/>
      <c r="T911" s="33"/>
      <c r="U911" s="33"/>
      <c r="V911" s="33"/>
      <c r="W911" s="33"/>
      <c r="X911" s="33"/>
    </row>
    <row r="912" spans="1:24" ht="12.75" customHeight="1" x14ac:dyDescent="0.2">
      <c r="A912" s="33"/>
      <c r="B912" s="33"/>
      <c r="C912" s="84"/>
      <c r="D912" s="84"/>
      <c r="E912" s="69"/>
      <c r="F912" s="69"/>
      <c r="G912" s="76"/>
      <c r="H912" s="76"/>
      <c r="I912" s="33"/>
      <c r="J912" s="33"/>
      <c r="K912" s="33"/>
      <c r="L912" s="33"/>
      <c r="M912" s="33"/>
      <c r="N912" s="33"/>
      <c r="O912" s="33"/>
      <c r="P912" s="33"/>
      <c r="Q912" s="33"/>
      <c r="R912" s="33"/>
      <c r="S912" s="33"/>
      <c r="T912" s="33"/>
      <c r="U912" s="33"/>
      <c r="V912" s="33"/>
      <c r="W912" s="33"/>
      <c r="X912" s="33"/>
    </row>
    <row r="913" spans="1:24" ht="12.75" customHeight="1" x14ac:dyDescent="0.2">
      <c r="A913" s="33"/>
      <c r="B913" s="33"/>
      <c r="C913" s="84"/>
      <c r="D913" s="84"/>
      <c r="E913" s="69"/>
      <c r="F913" s="69"/>
      <c r="G913" s="76"/>
      <c r="H913" s="76"/>
      <c r="I913" s="33"/>
      <c r="J913" s="33"/>
      <c r="K913" s="33"/>
      <c r="L913" s="33"/>
      <c r="M913" s="33"/>
      <c r="N913" s="33"/>
      <c r="O913" s="33"/>
      <c r="P913" s="33"/>
      <c r="Q913" s="33"/>
      <c r="R913" s="33"/>
      <c r="S913" s="33"/>
      <c r="T913" s="33"/>
      <c r="U913" s="33"/>
      <c r="V913" s="33"/>
      <c r="W913" s="33"/>
      <c r="X913" s="33"/>
    </row>
    <row r="914" spans="1:24" ht="12.75" customHeight="1" x14ac:dyDescent="0.2">
      <c r="A914" s="33"/>
      <c r="B914" s="33"/>
      <c r="C914" s="84"/>
      <c r="D914" s="84"/>
      <c r="E914" s="69"/>
      <c r="F914" s="69"/>
      <c r="G914" s="76"/>
      <c r="H914" s="76"/>
      <c r="I914" s="33"/>
      <c r="J914" s="33"/>
      <c r="K914" s="33"/>
      <c r="L914" s="33"/>
      <c r="M914" s="33"/>
      <c r="N914" s="33"/>
      <c r="O914" s="33"/>
      <c r="P914" s="33"/>
      <c r="Q914" s="33"/>
      <c r="R914" s="33"/>
      <c r="S914" s="33"/>
      <c r="T914" s="33"/>
      <c r="U914" s="33"/>
      <c r="V914" s="33"/>
      <c r="W914" s="33"/>
      <c r="X914" s="33"/>
    </row>
    <row r="915" spans="1:24" ht="12.75" customHeight="1" x14ac:dyDescent="0.2">
      <c r="A915" s="33"/>
      <c r="B915" s="33"/>
      <c r="C915" s="84"/>
      <c r="D915" s="84"/>
      <c r="E915" s="69"/>
      <c r="F915" s="69"/>
      <c r="G915" s="76"/>
      <c r="H915" s="76"/>
      <c r="I915" s="33"/>
      <c r="J915" s="33"/>
      <c r="K915" s="33"/>
      <c r="L915" s="33"/>
      <c r="M915" s="33"/>
      <c r="N915" s="33"/>
      <c r="O915" s="33"/>
      <c r="P915" s="33"/>
      <c r="Q915" s="33"/>
      <c r="R915" s="33"/>
      <c r="S915" s="33"/>
      <c r="T915" s="33"/>
      <c r="U915" s="33"/>
      <c r="V915" s="33"/>
      <c r="W915" s="33"/>
      <c r="X915" s="33"/>
    </row>
    <row r="916" spans="1:24" ht="12.75" customHeight="1" x14ac:dyDescent="0.2">
      <c r="A916" s="33"/>
      <c r="B916" s="33"/>
      <c r="C916" s="84"/>
      <c r="D916" s="84"/>
      <c r="E916" s="69"/>
      <c r="F916" s="69"/>
      <c r="G916" s="76"/>
      <c r="H916" s="76"/>
      <c r="I916" s="33"/>
      <c r="J916" s="33"/>
      <c r="K916" s="33"/>
      <c r="L916" s="33"/>
      <c r="M916" s="33"/>
      <c r="N916" s="33"/>
      <c r="O916" s="33"/>
      <c r="P916" s="33"/>
      <c r="Q916" s="33"/>
      <c r="R916" s="33"/>
      <c r="S916" s="33"/>
      <c r="T916" s="33"/>
      <c r="U916" s="33"/>
      <c r="V916" s="33"/>
      <c r="W916" s="33"/>
      <c r="X916" s="33"/>
    </row>
    <row r="917" spans="1:24" ht="12.75" customHeight="1" x14ac:dyDescent="0.2">
      <c r="A917" s="33"/>
      <c r="B917" s="33"/>
      <c r="C917" s="84"/>
      <c r="D917" s="84"/>
      <c r="E917" s="69"/>
      <c r="F917" s="69"/>
      <c r="G917" s="76"/>
      <c r="H917" s="76"/>
      <c r="I917" s="33"/>
      <c r="J917" s="33"/>
      <c r="K917" s="33"/>
      <c r="L917" s="33"/>
      <c r="M917" s="33"/>
      <c r="N917" s="33"/>
      <c r="O917" s="33"/>
      <c r="P917" s="33"/>
      <c r="Q917" s="33"/>
      <c r="R917" s="33"/>
      <c r="S917" s="33"/>
      <c r="T917" s="33"/>
      <c r="U917" s="33"/>
      <c r="V917" s="33"/>
      <c r="W917" s="33"/>
      <c r="X917" s="33"/>
    </row>
    <row r="918" spans="1:24" ht="12.75" customHeight="1" x14ac:dyDescent="0.2">
      <c r="A918" s="33"/>
      <c r="B918" s="33"/>
      <c r="C918" s="84"/>
      <c r="D918" s="84"/>
      <c r="E918" s="69"/>
      <c r="F918" s="69"/>
      <c r="G918" s="76"/>
      <c r="H918" s="76"/>
      <c r="I918" s="33"/>
      <c r="J918" s="33"/>
      <c r="K918" s="33"/>
      <c r="L918" s="33"/>
      <c r="M918" s="33"/>
      <c r="N918" s="33"/>
      <c r="O918" s="33"/>
      <c r="P918" s="33"/>
      <c r="Q918" s="33"/>
      <c r="R918" s="33"/>
      <c r="S918" s="33"/>
      <c r="T918" s="33"/>
      <c r="U918" s="33"/>
      <c r="V918" s="33"/>
      <c r="W918" s="33"/>
      <c r="X918" s="33"/>
    </row>
    <row r="919" spans="1:24" ht="12.75" customHeight="1" x14ac:dyDescent="0.2">
      <c r="A919" s="33"/>
      <c r="B919" s="33"/>
      <c r="C919" s="84"/>
      <c r="D919" s="84"/>
      <c r="E919" s="69"/>
      <c r="F919" s="69"/>
      <c r="G919" s="76"/>
      <c r="H919" s="76"/>
      <c r="I919" s="33"/>
      <c r="J919" s="33"/>
      <c r="K919" s="33"/>
      <c r="L919" s="33"/>
      <c r="M919" s="33"/>
      <c r="N919" s="33"/>
      <c r="O919" s="33"/>
      <c r="P919" s="33"/>
      <c r="Q919" s="33"/>
      <c r="R919" s="33"/>
      <c r="S919" s="33"/>
      <c r="T919" s="33"/>
      <c r="U919" s="33"/>
      <c r="V919" s="33"/>
      <c r="W919" s="33"/>
      <c r="X919" s="33"/>
    </row>
    <row r="920" spans="1:24" ht="12.75" customHeight="1" x14ac:dyDescent="0.2">
      <c r="A920" s="33"/>
      <c r="B920" s="33"/>
      <c r="C920" s="84"/>
      <c r="D920" s="84"/>
      <c r="E920" s="69"/>
      <c r="F920" s="69"/>
      <c r="G920" s="76"/>
      <c r="H920" s="76"/>
      <c r="I920" s="33"/>
      <c r="J920" s="33"/>
      <c r="K920" s="33"/>
      <c r="L920" s="33"/>
      <c r="M920" s="33"/>
      <c r="N920" s="33"/>
      <c r="O920" s="33"/>
      <c r="P920" s="33"/>
      <c r="Q920" s="33"/>
      <c r="R920" s="33"/>
      <c r="S920" s="33"/>
      <c r="T920" s="33"/>
      <c r="U920" s="33"/>
      <c r="V920" s="33"/>
      <c r="W920" s="33"/>
      <c r="X920" s="33"/>
    </row>
    <row r="921" spans="1:24" ht="12.75" customHeight="1" x14ac:dyDescent="0.2">
      <c r="A921" s="33"/>
      <c r="B921" s="33"/>
      <c r="C921" s="84"/>
      <c r="D921" s="84"/>
      <c r="E921" s="69"/>
      <c r="F921" s="69"/>
      <c r="G921" s="76"/>
      <c r="H921" s="76"/>
      <c r="I921" s="33"/>
      <c r="J921" s="33"/>
      <c r="K921" s="33"/>
      <c r="L921" s="33"/>
      <c r="M921" s="33"/>
      <c r="N921" s="33"/>
      <c r="O921" s="33"/>
      <c r="P921" s="33"/>
      <c r="Q921" s="33"/>
      <c r="R921" s="33"/>
      <c r="S921" s="33"/>
      <c r="T921" s="33"/>
      <c r="U921" s="33"/>
      <c r="V921" s="33"/>
      <c r="W921" s="33"/>
      <c r="X921" s="33"/>
    </row>
    <row r="922" spans="1:24" ht="12.75" customHeight="1" x14ac:dyDescent="0.2">
      <c r="A922" s="33"/>
      <c r="B922" s="33"/>
      <c r="C922" s="84"/>
      <c r="D922" s="84"/>
      <c r="E922" s="69"/>
      <c r="F922" s="69"/>
      <c r="G922" s="76"/>
      <c r="H922" s="76"/>
      <c r="I922" s="33"/>
      <c r="J922" s="33"/>
      <c r="K922" s="33"/>
      <c r="L922" s="33"/>
      <c r="M922" s="33"/>
      <c r="N922" s="33"/>
      <c r="O922" s="33"/>
      <c r="P922" s="33"/>
      <c r="Q922" s="33"/>
      <c r="R922" s="33"/>
      <c r="S922" s="33"/>
      <c r="T922" s="33"/>
      <c r="U922" s="33"/>
      <c r="V922" s="33"/>
      <c r="W922" s="33"/>
      <c r="X922" s="33"/>
    </row>
    <row r="923" spans="1:24" ht="12.75" customHeight="1" x14ac:dyDescent="0.2">
      <c r="A923" s="33"/>
      <c r="B923" s="33"/>
      <c r="C923" s="84"/>
      <c r="D923" s="84"/>
      <c r="E923" s="69"/>
      <c r="F923" s="69"/>
      <c r="G923" s="76"/>
      <c r="H923" s="76"/>
      <c r="I923" s="33"/>
      <c r="J923" s="33"/>
      <c r="K923" s="33"/>
      <c r="L923" s="33"/>
      <c r="M923" s="33"/>
      <c r="N923" s="33"/>
      <c r="O923" s="33"/>
      <c r="P923" s="33"/>
      <c r="Q923" s="33"/>
      <c r="R923" s="33"/>
      <c r="S923" s="33"/>
      <c r="T923" s="33"/>
      <c r="U923" s="33"/>
      <c r="V923" s="33"/>
      <c r="W923" s="33"/>
      <c r="X923" s="33"/>
    </row>
    <row r="924" spans="1:24" ht="12.75" customHeight="1" x14ac:dyDescent="0.2">
      <c r="A924" s="33"/>
      <c r="B924" s="33"/>
      <c r="C924" s="84"/>
      <c r="D924" s="84"/>
      <c r="E924" s="69"/>
      <c r="F924" s="69"/>
      <c r="G924" s="76"/>
      <c r="H924" s="76"/>
      <c r="I924" s="33"/>
      <c r="J924" s="33"/>
      <c r="K924" s="33"/>
      <c r="L924" s="33"/>
      <c r="M924" s="33"/>
      <c r="N924" s="33"/>
      <c r="O924" s="33"/>
      <c r="P924" s="33"/>
      <c r="Q924" s="33"/>
      <c r="R924" s="33"/>
      <c r="S924" s="33"/>
      <c r="T924" s="33"/>
      <c r="U924" s="33"/>
      <c r="V924" s="33"/>
      <c r="W924" s="33"/>
      <c r="X924" s="33"/>
    </row>
    <row r="925" spans="1:24" ht="12.75" customHeight="1" x14ac:dyDescent="0.2">
      <c r="A925" s="33"/>
      <c r="B925" s="33"/>
      <c r="C925" s="84"/>
      <c r="D925" s="84"/>
      <c r="E925" s="69"/>
      <c r="F925" s="69"/>
      <c r="G925" s="76"/>
      <c r="H925" s="76"/>
      <c r="I925" s="33"/>
      <c r="J925" s="33"/>
      <c r="K925" s="33"/>
      <c r="L925" s="33"/>
      <c r="M925" s="33"/>
      <c r="N925" s="33"/>
      <c r="O925" s="33"/>
      <c r="P925" s="33"/>
      <c r="Q925" s="33"/>
      <c r="R925" s="33"/>
      <c r="S925" s="33"/>
      <c r="T925" s="33"/>
      <c r="U925" s="33"/>
      <c r="V925" s="33"/>
      <c r="W925" s="33"/>
      <c r="X925" s="33"/>
    </row>
    <row r="926" spans="1:24" ht="12.75" customHeight="1" x14ac:dyDescent="0.2">
      <c r="A926" s="33"/>
      <c r="B926" s="33"/>
      <c r="C926" s="84"/>
      <c r="D926" s="84"/>
      <c r="E926" s="69"/>
      <c r="F926" s="69"/>
      <c r="G926" s="76"/>
      <c r="H926" s="76"/>
      <c r="I926" s="33"/>
      <c r="J926" s="33"/>
      <c r="K926" s="33"/>
      <c r="L926" s="33"/>
      <c r="M926" s="33"/>
      <c r="N926" s="33"/>
      <c r="O926" s="33"/>
      <c r="P926" s="33"/>
      <c r="Q926" s="33"/>
      <c r="R926" s="33"/>
      <c r="S926" s="33"/>
      <c r="T926" s="33"/>
      <c r="U926" s="33"/>
      <c r="V926" s="33"/>
      <c r="W926" s="33"/>
      <c r="X926" s="33"/>
    </row>
    <row r="927" spans="1:24" ht="12.75" customHeight="1" x14ac:dyDescent="0.2">
      <c r="A927" s="33"/>
      <c r="B927" s="33"/>
      <c r="C927" s="84"/>
      <c r="D927" s="84"/>
      <c r="E927" s="69"/>
      <c r="F927" s="69"/>
      <c r="G927" s="76"/>
      <c r="H927" s="76"/>
      <c r="I927" s="33"/>
      <c r="J927" s="33"/>
      <c r="K927" s="33"/>
      <c r="L927" s="33"/>
      <c r="M927" s="33"/>
      <c r="N927" s="33"/>
      <c r="O927" s="33"/>
      <c r="P927" s="33"/>
      <c r="Q927" s="33"/>
      <c r="R927" s="33"/>
      <c r="S927" s="33"/>
      <c r="T927" s="33"/>
      <c r="U927" s="33"/>
      <c r="V927" s="33"/>
      <c r="W927" s="33"/>
      <c r="X927" s="33"/>
    </row>
    <row r="928" spans="1:24" ht="12.75" customHeight="1" x14ac:dyDescent="0.2">
      <c r="A928" s="33"/>
      <c r="B928" s="33"/>
      <c r="C928" s="84"/>
      <c r="D928" s="84"/>
      <c r="E928" s="69"/>
      <c r="F928" s="69"/>
      <c r="G928" s="76"/>
      <c r="H928" s="76"/>
      <c r="I928" s="33"/>
      <c r="J928" s="33"/>
      <c r="K928" s="33"/>
      <c r="L928" s="33"/>
      <c r="M928" s="33"/>
      <c r="N928" s="33"/>
      <c r="O928" s="33"/>
      <c r="P928" s="33"/>
      <c r="Q928" s="33"/>
      <c r="R928" s="33"/>
      <c r="S928" s="33"/>
      <c r="T928" s="33"/>
      <c r="U928" s="33"/>
      <c r="V928" s="33"/>
      <c r="W928" s="33"/>
      <c r="X928" s="33"/>
    </row>
    <row r="929" spans="1:24" ht="12.75" customHeight="1" x14ac:dyDescent="0.2">
      <c r="A929" s="33"/>
      <c r="B929" s="33"/>
      <c r="C929" s="84"/>
      <c r="D929" s="84"/>
      <c r="E929" s="69"/>
      <c r="F929" s="69"/>
      <c r="G929" s="76"/>
      <c r="H929" s="76"/>
      <c r="I929" s="33"/>
      <c r="J929" s="33"/>
      <c r="K929" s="33"/>
      <c r="L929" s="33"/>
      <c r="M929" s="33"/>
      <c r="N929" s="33"/>
      <c r="O929" s="33"/>
      <c r="P929" s="33"/>
      <c r="Q929" s="33"/>
      <c r="R929" s="33"/>
      <c r="S929" s="33"/>
      <c r="T929" s="33"/>
      <c r="U929" s="33"/>
      <c r="V929" s="33"/>
      <c r="W929" s="33"/>
      <c r="X929" s="33"/>
    </row>
    <row r="930" spans="1:24" ht="12.75" customHeight="1" x14ac:dyDescent="0.2">
      <c r="A930" s="33"/>
      <c r="B930" s="33"/>
      <c r="C930" s="84"/>
      <c r="D930" s="84"/>
      <c r="E930" s="69"/>
      <c r="F930" s="69"/>
      <c r="G930" s="76"/>
      <c r="H930" s="76"/>
      <c r="I930" s="33"/>
      <c r="J930" s="33"/>
      <c r="K930" s="33"/>
      <c r="L930" s="33"/>
      <c r="M930" s="33"/>
      <c r="N930" s="33"/>
      <c r="O930" s="33"/>
      <c r="P930" s="33"/>
      <c r="Q930" s="33"/>
      <c r="R930" s="33"/>
      <c r="S930" s="33"/>
      <c r="T930" s="33"/>
      <c r="U930" s="33"/>
      <c r="V930" s="33"/>
      <c r="W930" s="33"/>
      <c r="X930" s="33"/>
    </row>
    <row r="931" spans="1:24" ht="12.75" customHeight="1" x14ac:dyDescent="0.2">
      <c r="A931" s="33"/>
      <c r="B931" s="33"/>
      <c r="C931" s="84"/>
      <c r="D931" s="84"/>
      <c r="E931" s="69"/>
      <c r="F931" s="69"/>
      <c r="G931" s="76"/>
      <c r="H931" s="76"/>
      <c r="I931" s="33"/>
      <c r="J931" s="33"/>
      <c r="K931" s="33"/>
      <c r="L931" s="33"/>
      <c r="M931" s="33"/>
      <c r="N931" s="33"/>
      <c r="O931" s="33"/>
      <c r="P931" s="33"/>
      <c r="Q931" s="33"/>
      <c r="R931" s="33"/>
      <c r="S931" s="33"/>
      <c r="T931" s="33"/>
      <c r="U931" s="33"/>
      <c r="V931" s="33"/>
      <c r="W931" s="33"/>
      <c r="X931" s="33"/>
    </row>
    <row r="932" spans="1:24" ht="12.75" customHeight="1" x14ac:dyDescent="0.2">
      <c r="A932" s="33"/>
      <c r="B932" s="33"/>
      <c r="C932" s="84"/>
      <c r="D932" s="84"/>
      <c r="E932" s="69"/>
      <c r="F932" s="69"/>
      <c r="G932" s="76"/>
      <c r="H932" s="76"/>
      <c r="I932" s="33"/>
      <c r="J932" s="33"/>
      <c r="K932" s="33"/>
      <c r="L932" s="33"/>
      <c r="M932" s="33"/>
      <c r="N932" s="33"/>
      <c r="O932" s="33"/>
      <c r="P932" s="33"/>
      <c r="Q932" s="33"/>
      <c r="R932" s="33"/>
      <c r="S932" s="33"/>
      <c r="T932" s="33"/>
      <c r="U932" s="33"/>
      <c r="V932" s="33"/>
      <c r="W932" s="33"/>
      <c r="X932" s="33"/>
    </row>
    <row r="933" spans="1:24" ht="12.75" customHeight="1" x14ac:dyDescent="0.2">
      <c r="A933" s="33"/>
      <c r="B933" s="33"/>
      <c r="C933" s="84"/>
      <c r="D933" s="84"/>
      <c r="E933" s="69"/>
      <c r="F933" s="69"/>
      <c r="G933" s="76"/>
      <c r="H933" s="76"/>
      <c r="I933" s="33"/>
      <c r="J933" s="33"/>
      <c r="K933" s="33"/>
      <c r="L933" s="33"/>
      <c r="M933" s="33"/>
      <c r="N933" s="33"/>
      <c r="O933" s="33"/>
      <c r="P933" s="33"/>
      <c r="Q933" s="33"/>
      <c r="R933" s="33"/>
      <c r="S933" s="33"/>
      <c r="T933" s="33"/>
      <c r="U933" s="33"/>
      <c r="V933" s="33"/>
      <c r="W933" s="33"/>
      <c r="X933" s="33"/>
    </row>
    <row r="934" spans="1:24" ht="12.75" customHeight="1" x14ac:dyDescent="0.2">
      <c r="A934" s="33"/>
      <c r="B934" s="33"/>
      <c r="C934" s="84"/>
      <c r="D934" s="84"/>
      <c r="E934" s="69"/>
      <c r="F934" s="69"/>
      <c r="G934" s="76"/>
      <c r="H934" s="76"/>
      <c r="I934" s="33"/>
      <c r="J934" s="33"/>
      <c r="K934" s="33"/>
      <c r="L934" s="33"/>
      <c r="M934" s="33"/>
      <c r="N934" s="33"/>
      <c r="O934" s="33"/>
      <c r="P934" s="33"/>
      <c r="Q934" s="33"/>
      <c r="R934" s="33"/>
      <c r="S934" s="33"/>
      <c r="T934" s="33"/>
      <c r="U934" s="33"/>
      <c r="V934" s="33"/>
      <c r="W934" s="33"/>
      <c r="X934" s="33"/>
    </row>
    <row r="935" spans="1:24" ht="12.75" customHeight="1" x14ac:dyDescent="0.2">
      <c r="A935" s="33"/>
      <c r="B935" s="33"/>
      <c r="C935" s="84"/>
      <c r="D935" s="84"/>
      <c r="E935" s="69"/>
      <c r="F935" s="69"/>
      <c r="G935" s="76"/>
      <c r="H935" s="76"/>
      <c r="I935" s="33"/>
      <c r="J935" s="33"/>
      <c r="K935" s="33"/>
      <c r="L935" s="33"/>
      <c r="M935" s="33"/>
      <c r="N935" s="33"/>
      <c r="O935" s="33"/>
      <c r="P935" s="33"/>
      <c r="Q935" s="33"/>
      <c r="R935" s="33"/>
      <c r="S935" s="33"/>
      <c r="T935" s="33"/>
      <c r="U935" s="33"/>
      <c r="V935" s="33"/>
      <c r="W935" s="33"/>
      <c r="X935" s="33"/>
    </row>
    <row r="936" spans="1:24" ht="12.75" customHeight="1" x14ac:dyDescent="0.2">
      <c r="A936" s="33"/>
      <c r="B936" s="33"/>
      <c r="C936" s="84"/>
      <c r="D936" s="84"/>
      <c r="E936" s="69"/>
      <c r="F936" s="69"/>
      <c r="G936" s="76"/>
      <c r="H936" s="76"/>
      <c r="I936" s="33"/>
      <c r="J936" s="33"/>
      <c r="K936" s="33"/>
      <c r="L936" s="33"/>
      <c r="M936" s="33"/>
      <c r="N936" s="33"/>
      <c r="O936" s="33"/>
      <c r="P936" s="33"/>
      <c r="Q936" s="33"/>
      <c r="R936" s="33"/>
      <c r="S936" s="33"/>
      <c r="T936" s="33"/>
      <c r="U936" s="33"/>
      <c r="V936" s="33"/>
      <c r="W936" s="33"/>
      <c r="X936" s="33"/>
    </row>
    <row r="937" spans="1:24" ht="12.75" customHeight="1" x14ac:dyDescent="0.2">
      <c r="A937" s="33"/>
      <c r="B937" s="33"/>
      <c r="C937" s="84"/>
      <c r="D937" s="84"/>
      <c r="E937" s="69"/>
      <c r="F937" s="69"/>
      <c r="G937" s="76"/>
      <c r="H937" s="76"/>
      <c r="I937" s="33"/>
      <c r="J937" s="33"/>
      <c r="K937" s="33"/>
      <c r="L937" s="33"/>
      <c r="M937" s="33"/>
      <c r="N937" s="33"/>
      <c r="O937" s="33"/>
      <c r="P937" s="33"/>
      <c r="Q937" s="33"/>
      <c r="R937" s="33"/>
      <c r="S937" s="33"/>
      <c r="T937" s="33"/>
      <c r="U937" s="33"/>
      <c r="V937" s="33"/>
      <c r="W937" s="33"/>
      <c r="X937" s="33"/>
    </row>
    <row r="938" spans="1:24" ht="12.75" customHeight="1" x14ac:dyDescent="0.2">
      <c r="A938" s="33"/>
      <c r="B938" s="33"/>
      <c r="C938" s="84"/>
      <c r="D938" s="84"/>
      <c r="E938" s="69"/>
      <c r="F938" s="69"/>
      <c r="G938" s="76"/>
      <c r="H938" s="76"/>
      <c r="I938" s="33"/>
      <c r="J938" s="33"/>
      <c r="K938" s="33"/>
      <c r="L938" s="33"/>
      <c r="M938" s="33"/>
      <c r="N938" s="33"/>
      <c r="O938" s="33"/>
      <c r="P938" s="33"/>
      <c r="Q938" s="33"/>
      <c r="R938" s="33"/>
      <c r="S938" s="33"/>
      <c r="T938" s="33"/>
      <c r="U938" s="33"/>
      <c r="V938" s="33"/>
      <c r="W938" s="33"/>
      <c r="X938" s="33"/>
    </row>
    <row r="939" spans="1:24" ht="12.75" customHeight="1" x14ac:dyDescent="0.2">
      <c r="A939" s="33"/>
      <c r="B939" s="33"/>
      <c r="C939" s="84"/>
      <c r="D939" s="84"/>
      <c r="E939" s="69"/>
      <c r="F939" s="69"/>
      <c r="G939" s="76"/>
      <c r="H939" s="76"/>
      <c r="I939" s="33"/>
      <c r="J939" s="33"/>
      <c r="K939" s="33"/>
      <c r="L939" s="33"/>
      <c r="M939" s="33"/>
      <c r="N939" s="33"/>
      <c r="O939" s="33"/>
      <c r="P939" s="33"/>
      <c r="Q939" s="33"/>
      <c r="R939" s="33"/>
      <c r="S939" s="33"/>
      <c r="T939" s="33"/>
      <c r="U939" s="33"/>
      <c r="V939" s="33"/>
      <c r="W939" s="33"/>
      <c r="X939" s="33"/>
    </row>
    <row r="940" spans="1:24" ht="12.75" customHeight="1" x14ac:dyDescent="0.2">
      <c r="A940" s="33"/>
      <c r="B940" s="33"/>
      <c r="C940" s="84"/>
      <c r="D940" s="84"/>
      <c r="E940" s="69"/>
      <c r="F940" s="69"/>
      <c r="G940" s="76"/>
      <c r="H940" s="76"/>
      <c r="I940" s="33"/>
      <c r="J940" s="33"/>
      <c r="K940" s="33"/>
      <c r="L940" s="33"/>
      <c r="M940" s="33"/>
      <c r="N940" s="33"/>
      <c r="O940" s="33"/>
      <c r="P940" s="33"/>
      <c r="Q940" s="33"/>
      <c r="R940" s="33"/>
      <c r="S940" s="33"/>
      <c r="T940" s="33"/>
      <c r="U940" s="33"/>
      <c r="V940" s="33"/>
      <c r="W940" s="33"/>
      <c r="X940" s="33"/>
    </row>
    <row r="941" spans="1:24" ht="12.75" customHeight="1" x14ac:dyDescent="0.2">
      <c r="A941" s="33"/>
      <c r="B941" s="33"/>
      <c r="C941" s="84"/>
      <c r="D941" s="84"/>
      <c r="E941" s="69"/>
      <c r="F941" s="69"/>
      <c r="G941" s="76"/>
      <c r="H941" s="76"/>
      <c r="I941" s="33"/>
      <c r="J941" s="33"/>
      <c r="K941" s="33"/>
      <c r="L941" s="33"/>
      <c r="M941" s="33"/>
      <c r="N941" s="33"/>
      <c r="O941" s="33"/>
      <c r="P941" s="33"/>
      <c r="Q941" s="33"/>
      <c r="R941" s="33"/>
      <c r="S941" s="33"/>
      <c r="T941" s="33"/>
      <c r="U941" s="33"/>
      <c r="V941" s="33"/>
      <c r="W941" s="33"/>
      <c r="X941" s="33"/>
    </row>
    <row r="942" spans="1:24" ht="12.75" customHeight="1" x14ac:dyDescent="0.2">
      <c r="A942" s="33"/>
      <c r="B942" s="33"/>
      <c r="C942" s="84"/>
      <c r="D942" s="84"/>
      <c r="E942" s="69"/>
      <c r="F942" s="69"/>
      <c r="G942" s="76"/>
      <c r="H942" s="76"/>
      <c r="I942" s="33"/>
      <c r="J942" s="33"/>
      <c r="K942" s="33"/>
      <c r="L942" s="33"/>
      <c r="M942" s="33"/>
      <c r="N942" s="33"/>
      <c r="O942" s="33"/>
      <c r="P942" s="33"/>
      <c r="Q942" s="33"/>
      <c r="R942" s="33"/>
      <c r="S942" s="33"/>
      <c r="T942" s="33"/>
      <c r="U942" s="33"/>
      <c r="V942" s="33"/>
      <c r="W942" s="33"/>
      <c r="X942" s="33"/>
    </row>
    <row r="943" spans="1:24" ht="12.75" customHeight="1" x14ac:dyDescent="0.2">
      <c r="A943" s="33"/>
      <c r="B943" s="33"/>
      <c r="C943" s="84"/>
      <c r="D943" s="84"/>
      <c r="E943" s="69"/>
      <c r="F943" s="69"/>
      <c r="G943" s="76"/>
      <c r="H943" s="76"/>
      <c r="I943" s="33"/>
      <c r="J943" s="33"/>
      <c r="K943" s="33"/>
      <c r="L943" s="33"/>
      <c r="M943" s="33"/>
      <c r="N943" s="33"/>
      <c r="O943" s="33"/>
      <c r="P943" s="33"/>
      <c r="Q943" s="33"/>
      <c r="R943" s="33"/>
      <c r="S943" s="33"/>
      <c r="T943" s="33"/>
      <c r="U943" s="33"/>
      <c r="V943" s="33"/>
      <c r="W943" s="33"/>
      <c r="X943" s="33"/>
    </row>
    <row r="944" spans="1:24" ht="12.75" customHeight="1" x14ac:dyDescent="0.2">
      <c r="A944" s="33"/>
      <c r="B944" s="33"/>
      <c r="C944" s="84"/>
      <c r="D944" s="84"/>
      <c r="E944" s="69"/>
      <c r="F944" s="69"/>
      <c r="G944" s="76"/>
      <c r="H944" s="76"/>
      <c r="I944" s="33"/>
      <c r="J944" s="33"/>
      <c r="K944" s="33"/>
      <c r="L944" s="33"/>
      <c r="M944" s="33"/>
      <c r="N944" s="33"/>
      <c r="O944" s="33"/>
      <c r="P944" s="33"/>
      <c r="Q944" s="33"/>
      <c r="R944" s="33"/>
      <c r="S944" s="33"/>
      <c r="T944" s="33"/>
      <c r="U944" s="33"/>
      <c r="V944" s="33"/>
      <c r="W944" s="33"/>
      <c r="X944" s="33"/>
    </row>
    <row r="945" spans="1:24" ht="12.75" customHeight="1" x14ac:dyDescent="0.2">
      <c r="A945" s="33"/>
      <c r="B945" s="33"/>
      <c r="C945" s="84"/>
      <c r="D945" s="84"/>
      <c r="E945" s="69"/>
      <c r="F945" s="69"/>
      <c r="G945" s="76"/>
      <c r="H945" s="76"/>
      <c r="I945" s="33"/>
      <c r="J945" s="33"/>
      <c r="K945" s="33"/>
      <c r="L945" s="33"/>
      <c r="M945" s="33"/>
      <c r="N945" s="33"/>
      <c r="O945" s="33"/>
      <c r="P945" s="33"/>
      <c r="Q945" s="33"/>
      <c r="R945" s="33"/>
      <c r="S945" s="33"/>
      <c r="T945" s="33"/>
      <c r="U945" s="33"/>
      <c r="V945" s="33"/>
      <c r="W945" s="33"/>
      <c r="X945" s="33"/>
    </row>
    <row r="946" spans="1:24" ht="12.75" customHeight="1" x14ac:dyDescent="0.2">
      <c r="A946" s="33"/>
      <c r="B946" s="33"/>
      <c r="C946" s="84"/>
      <c r="D946" s="84"/>
      <c r="E946" s="69"/>
      <c r="F946" s="69"/>
      <c r="G946" s="76"/>
      <c r="H946" s="76"/>
      <c r="I946" s="33"/>
      <c r="J946" s="33"/>
      <c r="K946" s="33"/>
      <c r="L946" s="33"/>
      <c r="M946" s="33"/>
      <c r="N946" s="33"/>
      <c r="O946" s="33"/>
      <c r="P946" s="33"/>
      <c r="Q946" s="33"/>
      <c r="R946" s="33"/>
      <c r="S946" s="33"/>
      <c r="T946" s="33"/>
      <c r="U946" s="33"/>
      <c r="V946" s="33"/>
      <c r="W946" s="33"/>
      <c r="X946" s="33"/>
    </row>
    <row r="947" spans="1:24" ht="12.75" customHeight="1" x14ac:dyDescent="0.2">
      <c r="A947" s="33"/>
      <c r="B947" s="33"/>
      <c r="C947" s="84"/>
      <c r="D947" s="84"/>
      <c r="E947" s="69"/>
      <c r="F947" s="69"/>
      <c r="G947" s="76"/>
      <c r="H947" s="76"/>
      <c r="I947" s="33"/>
      <c r="J947" s="33"/>
      <c r="K947" s="33"/>
      <c r="L947" s="33"/>
      <c r="M947" s="33"/>
      <c r="N947" s="33"/>
      <c r="O947" s="33"/>
      <c r="P947" s="33"/>
      <c r="Q947" s="33"/>
      <c r="R947" s="33"/>
      <c r="S947" s="33"/>
      <c r="T947" s="33"/>
      <c r="U947" s="33"/>
      <c r="V947" s="33"/>
      <c r="W947" s="33"/>
      <c r="X947" s="33"/>
    </row>
    <row r="948" spans="1:24" ht="12.75" customHeight="1" x14ac:dyDescent="0.2">
      <c r="A948" s="33"/>
      <c r="B948" s="33"/>
      <c r="C948" s="84"/>
      <c r="D948" s="84"/>
      <c r="E948" s="69"/>
      <c r="F948" s="69"/>
      <c r="G948" s="76"/>
      <c r="H948" s="76"/>
      <c r="I948" s="33"/>
      <c r="J948" s="33"/>
      <c r="K948" s="33"/>
      <c r="L948" s="33"/>
      <c r="M948" s="33"/>
      <c r="N948" s="33"/>
      <c r="O948" s="33"/>
      <c r="P948" s="33"/>
      <c r="Q948" s="33"/>
      <c r="R948" s="33"/>
      <c r="S948" s="33"/>
      <c r="T948" s="33"/>
      <c r="U948" s="33"/>
      <c r="V948" s="33"/>
      <c r="W948" s="33"/>
      <c r="X948" s="33"/>
    </row>
    <row r="949" spans="1:24" ht="12.75" customHeight="1" x14ac:dyDescent="0.2">
      <c r="A949" s="33"/>
      <c r="B949" s="33"/>
      <c r="C949" s="84"/>
      <c r="D949" s="84"/>
      <c r="E949" s="69"/>
      <c r="F949" s="69"/>
      <c r="G949" s="76"/>
      <c r="H949" s="76"/>
      <c r="I949" s="33"/>
      <c r="J949" s="33"/>
      <c r="K949" s="33"/>
      <c r="L949" s="33"/>
      <c r="M949" s="33"/>
      <c r="N949" s="33"/>
      <c r="O949" s="33"/>
      <c r="P949" s="33"/>
      <c r="Q949" s="33"/>
      <c r="R949" s="33"/>
      <c r="S949" s="33"/>
      <c r="T949" s="33"/>
      <c r="U949" s="33"/>
      <c r="V949" s="33"/>
      <c r="W949" s="33"/>
      <c r="X949" s="33"/>
    </row>
    <row r="950" spans="1:24" ht="12.75" customHeight="1" x14ac:dyDescent="0.2">
      <c r="A950" s="33"/>
      <c r="B950" s="33"/>
      <c r="C950" s="84"/>
      <c r="D950" s="84"/>
      <c r="E950" s="69"/>
      <c r="F950" s="69"/>
      <c r="G950" s="76"/>
      <c r="H950" s="76"/>
      <c r="I950" s="33"/>
      <c r="J950" s="33"/>
      <c r="K950" s="33"/>
      <c r="L950" s="33"/>
      <c r="M950" s="33"/>
      <c r="N950" s="33"/>
      <c r="O950" s="33"/>
      <c r="P950" s="33"/>
      <c r="Q950" s="33"/>
      <c r="R950" s="33"/>
      <c r="S950" s="33"/>
      <c r="T950" s="33"/>
      <c r="U950" s="33"/>
      <c r="V950" s="33"/>
      <c r="W950" s="33"/>
      <c r="X950" s="33"/>
    </row>
    <row r="951" spans="1:24" ht="12.75" customHeight="1" x14ac:dyDescent="0.2">
      <c r="A951" s="33"/>
      <c r="B951" s="33"/>
      <c r="C951" s="84"/>
      <c r="D951" s="84"/>
      <c r="E951" s="69"/>
      <c r="F951" s="69"/>
      <c r="G951" s="76"/>
      <c r="H951" s="76"/>
      <c r="I951" s="33"/>
      <c r="J951" s="33"/>
      <c r="K951" s="33"/>
      <c r="L951" s="33"/>
      <c r="M951" s="33"/>
      <c r="N951" s="33"/>
      <c r="O951" s="33"/>
      <c r="P951" s="33"/>
      <c r="Q951" s="33"/>
      <c r="R951" s="33"/>
      <c r="S951" s="33"/>
      <c r="T951" s="33"/>
      <c r="U951" s="33"/>
      <c r="V951" s="33"/>
      <c r="W951" s="33"/>
      <c r="X951" s="33"/>
    </row>
    <row r="952" spans="1:24" ht="12.75" customHeight="1" x14ac:dyDescent="0.2">
      <c r="A952" s="33"/>
      <c r="B952" s="33"/>
      <c r="C952" s="84"/>
      <c r="D952" s="84"/>
      <c r="E952" s="69"/>
      <c r="F952" s="69"/>
      <c r="G952" s="76"/>
      <c r="H952" s="76"/>
      <c r="I952" s="33"/>
      <c r="J952" s="33"/>
      <c r="K952" s="33"/>
      <c r="L952" s="33"/>
      <c r="M952" s="33"/>
      <c r="N952" s="33"/>
      <c r="O952" s="33"/>
      <c r="P952" s="33"/>
      <c r="Q952" s="33"/>
      <c r="R952" s="33"/>
      <c r="S952" s="33"/>
      <c r="T952" s="33"/>
      <c r="U952" s="33"/>
      <c r="V952" s="33"/>
      <c r="W952" s="33"/>
      <c r="X952" s="33"/>
    </row>
    <row r="953" spans="1:24" ht="12.75" customHeight="1" x14ac:dyDescent="0.2">
      <c r="A953" s="33"/>
      <c r="B953" s="33"/>
      <c r="C953" s="84"/>
      <c r="D953" s="84"/>
      <c r="E953" s="69"/>
      <c r="F953" s="69"/>
      <c r="G953" s="76"/>
      <c r="H953" s="76"/>
      <c r="I953" s="33"/>
      <c r="J953" s="33"/>
      <c r="K953" s="33"/>
      <c r="L953" s="33"/>
      <c r="M953" s="33"/>
      <c r="N953" s="33"/>
      <c r="O953" s="33"/>
      <c r="P953" s="33"/>
      <c r="Q953" s="33"/>
      <c r="R953" s="33"/>
      <c r="S953" s="33"/>
      <c r="T953" s="33"/>
      <c r="U953" s="33"/>
      <c r="V953" s="33"/>
      <c r="W953" s="33"/>
      <c r="X953" s="33"/>
    </row>
    <row r="954" spans="1:24" ht="12.75" customHeight="1" x14ac:dyDescent="0.2">
      <c r="A954" s="33"/>
      <c r="B954" s="33"/>
      <c r="C954" s="84"/>
      <c r="D954" s="84"/>
      <c r="E954" s="69"/>
      <c r="F954" s="69"/>
      <c r="G954" s="76"/>
      <c r="H954" s="76"/>
      <c r="I954" s="33"/>
      <c r="J954" s="33"/>
      <c r="K954" s="33"/>
      <c r="L954" s="33"/>
      <c r="M954" s="33"/>
      <c r="N954" s="33"/>
      <c r="O954" s="33"/>
      <c r="P954" s="33"/>
      <c r="Q954" s="33"/>
      <c r="R954" s="33"/>
      <c r="S954" s="33"/>
      <c r="T954" s="33"/>
      <c r="U954" s="33"/>
      <c r="V954" s="33"/>
      <c r="W954" s="33"/>
      <c r="X954" s="33"/>
    </row>
    <row r="955" spans="1:24" ht="12.75" customHeight="1" x14ac:dyDescent="0.2">
      <c r="A955" s="33"/>
      <c r="B955" s="33"/>
      <c r="C955" s="84"/>
      <c r="D955" s="84"/>
      <c r="E955" s="69"/>
      <c r="F955" s="69"/>
      <c r="G955" s="76"/>
      <c r="H955" s="76"/>
      <c r="I955" s="33"/>
      <c r="J955" s="33"/>
      <c r="K955" s="33"/>
      <c r="L955" s="33"/>
      <c r="M955" s="33"/>
      <c r="N955" s="33"/>
      <c r="O955" s="33"/>
      <c r="P955" s="33"/>
      <c r="Q955" s="33"/>
      <c r="R955" s="33"/>
      <c r="S955" s="33"/>
      <c r="T955" s="33"/>
      <c r="U955" s="33"/>
      <c r="V955" s="33"/>
      <c r="W955" s="33"/>
      <c r="X955" s="33"/>
    </row>
    <row r="956" spans="1:24" ht="12.75" customHeight="1" x14ac:dyDescent="0.2">
      <c r="A956" s="33"/>
      <c r="B956" s="33"/>
      <c r="C956" s="84"/>
      <c r="D956" s="84"/>
      <c r="E956" s="69"/>
      <c r="F956" s="69"/>
      <c r="G956" s="76"/>
      <c r="H956" s="76"/>
      <c r="I956" s="33"/>
      <c r="J956" s="33"/>
      <c r="K956" s="33"/>
      <c r="L956" s="33"/>
      <c r="M956" s="33"/>
      <c r="N956" s="33"/>
      <c r="O956" s="33"/>
      <c r="P956" s="33"/>
      <c r="Q956" s="33"/>
      <c r="R956" s="33"/>
      <c r="S956" s="33"/>
      <c r="T956" s="33"/>
      <c r="U956" s="33"/>
      <c r="V956" s="33"/>
      <c r="W956" s="33"/>
      <c r="X956" s="33"/>
    </row>
    <row r="957" spans="1:24" ht="12.75" customHeight="1" x14ac:dyDescent="0.2">
      <c r="A957" s="33"/>
      <c r="B957" s="33"/>
      <c r="C957" s="84"/>
      <c r="D957" s="84"/>
      <c r="E957" s="69"/>
      <c r="F957" s="69"/>
      <c r="G957" s="76"/>
      <c r="H957" s="76"/>
      <c r="I957" s="33"/>
      <c r="J957" s="33"/>
      <c r="K957" s="33"/>
      <c r="L957" s="33"/>
      <c r="M957" s="33"/>
      <c r="N957" s="33"/>
      <c r="O957" s="33"/>
      <c r="P957" s="33"/>
      <c r="Q957" s="33"/>
      <c r="R957" s="33"/>
      <c r="S957" s="33"/>
      <c r="T957" s="33"/>
      <c r="U957" s="33"/>
      <c r="V957" s="33"/>
      <c r="W957" s="33"/>
      <c r="X957" s="33"/>
    </row>
    <row r="958" spans="1:24" ht="12.75" customHeight="1" x14ac:dyDescent="0.2">
      <c r="A958" s="33"/>
      <c r="B958" s="33"/>
      <c r="C958" s="84"/>
      <c r="D958" s="84"/>
      <c r="E958" s="69"/>
      <c r="F958" s="69"/>
      <c r="G958" s="76"/>
      <c r="H958" s="76"/>
      <c r="I958" s="33"/>
      <c r="J958" s="33"/>
      <c r="K958" s="33"/>
      <c r="L958" s="33"/>
      <c r="M958" s="33"/>
      <c r="N958" s="33"/>
      <c r="O958" s="33"/>
      <c r="P958" s="33"/>
      <c r="Q958" s="33"/>
      <c r="R958" s="33"/>
      <c r="S958" s="33"/>
      <c r="T958" s="33"/>
      <c r="U958" s="33"/>
      <c r="V958" s="33"/>
      <c r="W958" s="33"/>
      <c r="X958" s="33"/>
    </row>
    <row r="959" spans="1:24" ht="12.75" customHeight="1" x14ac:dyDescent="0.2">
      <c r="A959" s="33"/>
      <c r="B959" s="33"/>
      <c r="C959" s="84"/>
      <c r="D959" s="84"/>
      <c r="E959" s="69"/>
      <c r="F959" s="69"/>
      <c r="G959" s="76"/>
      <c r="H959" s="76"/>
      <c r="I959" s="33"/>
      <c r="J959" s="33"/>
      <c r="K959" s="33"/>
      <c r="L959" s="33"/>
      <c r="M959" s="33"/>
      <c r="N959" s="33"/>
      <c r="O959" s="33"/>
      <c r="P959" s="33"/>
      <c r="Q959" s="33"/>
      <c r="R959" s="33"/>
      <c r="S959" s="33"/>
      <c r="T959" s="33"/>
      <c r="U959" s="33"/>
      <c r="V959" s="33"/>
      <c r="W959" s="33"/>
      <c r="X959" s="33"/>
    </row>
    <row r="960" spans="1:24" ht="12.75" customHeight="1" x14ac:dyDescent="0.2">
      <c r="A960" s="33"/>
      <c r="B960" s="33"/>
      <c r="C960" s="84"/>
      <c r="D960" s="84"/>
      <c r="E960" s="69"/>
      <c r="F960" s="69"/>
      <c r="G960" s="76"/>
      <c r="H960" s="76"/>
      <c r="I960" s="33"/>
      <c r="J960" s="33"/>
      <c r="K960" s="33"/>
      <c r="L960" s="33"/>
      <c r="M960" s="33"/>
      <c r="N960" s="33"/>
      <c r="O960" s="33"/>
      <c r="P960" s="33"/>
      <c r="Q960" s="33"/>
      <c r="R960" s="33"/>
      <c r="S960" s="33"/>
      <c r="T960" s="33"/>
      <c r="U960" s="33"/>
      <c r="V960" s="33"/>
      <c r="W960" s="33"/>
      <c r="X960" s="33"/>
    </row>
    <row r="961" spans="1:24" ht="12.75" customHeight="1" x14ac:dyDescent="0.2">
      <c r="A961" s="33"/>
      <c r="B961" s="33"/>
      <c r="C961" s="84"/>
      <c r="D961" s="84"/>
      <c r="E961" s="69"/>
      <c r="F961" s="69"/>
      <c r="G961" s="76"/>
      <c r="H961" s="76"/>
      <c r="I961" s="33"/>
      <c r="J961" s="33"/>
      <c r="K961" s="33"/>
      <c r="L961" s="33"/>
      <c r="M961" s="33"/>
      <c r="N961" s="33"/>
      <c r="O961" s="33"/>
      <c r="P961" s="33"/>
      <c r="Q961" s="33"/>
      <c r="R961" s="33"/>
      <c r="S961" s="33"/>
      <c r="T961" s="33"/>
      <c r="U961" s="33"/>
      <c r="V961" s="33"/>
      <c r="W961" s="33"/>
      <c r="X961" s="33"/>
    </row>
    <row r="962" spans="1:24" ht="12.75" customHeight="1" x14ac:dyDescent="0.2">
      <c r="A962" s="33"/>
      <c r="B962" s="33"/>
      <c r="C962" s="84"/>
      <c r="D962" s="84"/>
      <c r="E962" s="69"/>
      <c r="F962" s="69"/>
      <c r="G962" s="76"/>
      <c r="H962" s="76"/>
      <c r="I962" s="33"/>
      <c r="J962" s="33"/>
      <c r="K962" s="33"/>
      <c r="L962" s="33"/>
      <c r="M962" s="33"/>
      <c r="N962" s="33"/>
      <c r="O962" s="33"/>
      <c r="P962" s="33"/>
      <c r="Q962" s="33"/>
      <c r="R962" s="33"/>
      <c r="S962" s="33"/>
      <c r="T962" s="33"/>
      <c r="U962" s="33"/>
      <c r="V962" s="33"/>
      <c r="W962" s="33"/>
      <c r="X962" s="33"/>
    </row>
    <row r="963" spans="1:24" ht="12.75" customHeight="1" x14ac:dyDescent="0.2">
      <c r="A963" s="33"/>
      <c r="B963" s="33"/>
      <c r="C963" s="84"/>
      <c r="D963" s="84"/>
      <c r="E963" s="69"/>
      <c r="F963" s="69"/>
      <c r="G963" s="76"/>
      <c r="H963" s="76"/>
      <c r="I963" s="33"/>
      <c r="J963" s="33"/>
      <c r="K963" s="33"/>
      <c r="L963" s="33"/>
      <c r="M963" s="33"/>
      <c r="N963" s="33"/>
      <c r="O963" s="33"/>
      <c r="P963" s="33"/>
      <c r="Q963" s="33"/>
      <c r="R963" s="33"/>
      <c r="S963" s="33"/>
      <c r="T963" s="33"/>
      <c r="U963" s="33"/>
      <c r="V963" s="33"/>
      <c r="W963" s="33"/>
      <c r="X963" s="33"/>
    </row>
    <row r="964" spans="1:24" ht="12.75" customHeight="1" x14ac:dyDescent="0.2">
      <c r="A964" s="33"/>
      <c r="B964" s="33"/>
      <c r="C964" s="84"/>
      <c r="D964" s="84"/>
      <c r="E964" s="69"/>
      <c r="F964" s="69"/>
      <c r="G964" s="76"/>
      <c r="H964" s="76"/>
      <c r="I964" s="33"/>
      <c r="J964" s="33"/>
      <c r="K964" s="33"/>
      <c r="L964" s="33"/>
      <c r="M964" s="33"/>
      <c r="N964" s="33"/>
      <c r="O964" s="33"/>
      <c r="P964" s="33"/>
      <c r="Q964" s="33"/>
      <c r="R964" s="33"/>
      <c r="S964" s="33"/>
      <c r="T964" s="33"/>
      <c r="U964" s="33"/>
      <c r="V964" s="33"/>
      <c r="W964" s="33"/>
      <c r="X964" s="33"/>
    </row>
    <row r="965" spans="1:24" ht="12.75" customHeight="1" x14ac:dyDescent="0.2">
      <c r="A965" s="33"/>
      <c r="B965" s="33"/>
      <c r="C965" s="84"/>
      <c r="D965" s="84"/>
      <c r="E965" s="69"/>
      <c r="F965" s="69"/>
      <c r="G965" s="76"/>
      <c r="H965" s="76"/>
      <c r="I965" s="33"/>
      <c r="J965" s="33"/>
      <c r="K965" s="33"/>
      <c r="L965" s="33"/>
      <c r="M965" s="33"/>
      <c r="N965" s="33"/>
      <c r="O965" s="33"/>
      <c r="P965" s="33"/>
      <c r="Q965" s="33"/>
      <c r="R965" s="33"/>
      <c r="S965" s="33"/>
      <c r="T965" s="33"/>
      <c r="U965" s="33"/>
      <c r="V965" s="33"/>
      <c r="W965" s="33"/>
      <c r="X965" s="33"/>
    </row>
    <row r="966" spans="1:24" ht="12.75" customHeight="1" x14ac:dyDescent="0.2">
      <c r="A966" s="33"/>
      <c r="B966" s="33"/>
      <c r="C966" s="84"/>
      <c r="D966" s="84"/>
      <c r="E966" s="69"/>
      <c r="F966" s="69"/>
      <c r="G966" s="76"/>
      <c r="H966" s="76"/>
      <c r="I966" s="33"/>
      <c r="J966" s="33"/>
      <c r="K966" s="33"/>
      <c r="L966" s="33"/>
      <c r="M966" s="33"/>
      <c r="N966" s="33"/>
      <c r="O966" s="33"/>
      <c r="P966" s="33"/>
      <c r="Q966" s="33"/>
      <c r="R966" s="33"/>
      <c r="S966" s="33"/>
      <c r="T966" s="33"/>
      <c r="U966" s="33"/>
      <c r="V966" s="33"/>
      <c r="W966" s="33"/>
      <c r="X966" s="33"/>
    </row>
    <row r="967" spans="1:24" ht="12.75" customHeight="1" x14ac:dyDescent="0.2">
      <c r="A967" s="33"/>
      <c r="B967" s="33"/>
      <c r="C967" s="84"/>
      <c r="D967" s="84"/>
      <c r="E967" s="69"/>
      <c r="F967" s="69"/>
      <c r="G967" s="76"/>
      <c r="H967" s="76"/>
      <c r="I967" s="33"/>
      <c r="J967" s="33"/>
      <c r="K967" s="33"/>
      <c r="L967" s="33"/>
      <c r="M967" s="33"/>
      <c r="N967" s="33"/>
      <c r="O967" s="33"/>
      <c r="P967" s="33"/>
      <c r="Q967" s="33"/>
      <c r="R967" s="33"/>
      <c r="S967" s="33"/>
      <c r="T967" s="33"/>
      <c r="U967" s="33"/>
      <c r="V967" s="33"/>
      <c r="W967" s="33"/>
      <c r="X967" s="33"/>
    </row>
    <row r="968" spans="1:24" ht="12.75" customHeight="1" x14ac:dyDescent="0.2">
      <c r="A968" s="33"/>
      <c r="B968" s="33"/>
      <c r="C968" s="84"/>
      <c r="D968" s="84"/>
      <c r="E968" s="69"/>
      <c r="F968" s="69"/>
      <c r="G968" s="76"/>
      <c r="H968" s="76"/>
      <c r="I968" s="33"/>
      <c r="J968" s="33"/>
      <c r="K968" s="33"/>
      <c r="L968" s="33"/>
      <c r="M968" s="33"/>
      <c r="N968" s="33"/>
      <c r="O968" s="33"/>
      <c r="P968" s="33"/>
      <c r="Q968" s="33"/>
      <c r="R968" s="33"/>
      <c r="S968" s="33"/>
      <c r="T968" s="33"/>
      <c r="U968" s="33"/>
      <c r="V968" s="33"/>
      <c r="W968" s="33"/>
      <c r="X968" s="33"/>
    </row>
    <row r="969" spans="1:24" ht="12.75" customHeight="1" x14ac:dyDescent="0.2">
      <c r="A969" s="33"/>
      <c r="B969" s="33"/>
      <c r="C969" s="84"/>
      <c r="D969" s="84"/>
      <c r="E969" s="69"/>
      <c r="F969" s="69"/>
      <c r="G969" s="76"/>
      <c r="H969" s="76"/>
      <c r="I969" s="33"/>
      <c r="J969" s="33"/>
      <c r="K969" s="33"/>
      <c r="L969" s="33"/>
      <c r="M969" s="33"/>
      <c r="N969" s="33"/>
      <c r="O969" s="33"/>
      <c r="P969" s="33"/>
      <c r="Q969" s="33"/>
      <c r="R969" s="33"/>
      <c r="S969" s="33"/>
      <c r="T969" s="33"/>
      <c r="U969" s="33"/>
      <c r="V969" s="33"/>
      <c r="W969" s="33"/>
      <c r="X969" s="33"/>
    </row>
    <row r="970" spans="1:24" ht="12.75" customHeight="1" x14ac:dyDescent="0.2">
      <c r="A970" s="33"/>
      <c r="B970" s="33"/>
      <c r="C970" s="84"/>
      <c r="D970" s="84"/>
      <c r="E970" s="69"/>
      <c r="F970" s="69"/>
      <c r="G970" s="76"/>
      <c r="H970" s="76"/>
      <c r="I970" s="33"/>
      <c r="J970" s="33"/>
      <c r="K970" s="33"/>
      <c r="L970" s="33"/>
      <c r="M970" s="33"/>
      <c r="N970" s="33"/>
      <c r="O970" s="33"/>
      <c r="P970" s="33"/>
      <c r="Q970" s="33"/>
      <c r="R970" s="33"/>
      <c r="S970" s="33"/>
      <c r="T970" s="33"/>
      <c r="U970" s="33"/>
      <c r="V970" s="33"/>
      <c r="W970" s="33"/>
      <c r="X970" s="33"/>
    </row>
    <row r="971" spans="1:24" ht="12.75" customHeight="1" x14ac:dyDescent="0.2">
      <c r="A971" s="33"/>
      <c r="B971" s="33"/>
      <c r="C971" s="84"/>
      <c r="D971" s="84"/>
      <c r="E971" s="69"/>
      <c r="F971" s="69"/>
      <c r="G971" s="76"/>
      <c r="H971" s="76"/>
      <c r="I971" s="33"/>
      <c r="J971" s="33"/>
      <c r="K971" s="33"/>
      <c r="L971" s="33"/>
      <c r="M971" s="33"/>
      <c r="N971" s="33"/>
      <c r="O971" s="33"/>
      <c r="P971" s="33"/>
      <c r="Q971" s="33"/>
      <c r="R971" s="33"/>
      <c r="S971" s="33"/>
      <c r="T971" s="33"/>
      <c r="U971" s="33"/>
      <c r="V971" s="33"/>
      <c r="W971" s="33"/>
      <c r="X971" s="33"/>
    </row>
    <row r="972" spans="1:24" ht="12.75" customHeight="1" x14ac:dyDescent="0.2">
      <c r="A972" s="33"/>
      <c r="B972" s="33"/>
      <c r="C972" s="84"/>
      <c r="D972" s="84"/>
      <c r="E972" s="69"/>
      <c r="F972" s="69"/>
      <c r="G972" s="76"/>
      <c r="H972" s="76"/>
      <c r="I972" s="33"/>
      <c r="J972" s="33"/>
      <c r="K972" s="33"/>
      <c r="L972" s="33"/>
      <c r="M972" s="33"/>
      <c r="N972" s="33"/>
      <c r="O972" s="33"/>
      <c r="P972" s="33"/>
      <c r="Q972" s="33"/>
      <c r="R972" s="33"/>
      <c r="S972" s="33"/>
      <c r="T972" s="33"/>
      <c r="U972" s="33"/>
      <c r="V972" s="33"/>
      <c r="W972" s="33"/>
      <c r="X972" s="33"/>
    </row>
    <row r="973" spans="1:24" ht="12.75" customHeight="1" x14ac:dyDescent="0.2">
      <c r="A973" s="33"/>
      <c r="B973" s="33"/>
      <c r="C973" s="84"/>
      <c r="D973" s="84"/>
      <c r="E973" s="69"/>
      <c r="F973" s="69"/>
      <c r="G973" s="76"/>
      <c r="H973" s="76"/>
      <c r="I973" s="33"/>
      <c r="J973" s="33"/>
      <c r="K973" s="33"/>
      <c r="L973" s="33"/>
      <c r="M973" s="33"/>
      <c r="N973" s="33"/>
      <c r="O973" s="33"/>
      <c r="P973" s="33"/>
      <c r="Q973" s="33"/>
      <c r="R973" s="33"/>
      <c r="S973" s="33"/>
      <c r="T973" s="33"/>
      <c r="U973" s="33"/>
      <c r="V973" s="33"/>
      <c r="W973" s="33"/>
      <c r="X973" s="33"/>
    </row>
    <row r="974" spans="1:24" ht="12.75" customHeight="1" x14ac:dyDescent="0.2">
      <c r="A974" s="33"/>
      <c r="B974" s="33"/>
      <c r="C974" s="84"/>
      <c r="D974" s="84"/>
      <c r="E974" s="69"/>
      <c r="F974" s="69"/>
      <c r="G974" s="76"/>
      <c r="H974" s="76"/>
      <c r="I974" s="33"/>
      <c r="J974" s="33"/>
      <c r="K974" s="33"/>
      <c r="L974" s="33"/>
      <c r="M974" s="33"/>
      <c r="N974" s="33"/>
      <c r="O974" s="33"/>
      <c r="P974" s="33"/>
      <c r="Q974" s="33"/>
      <c r="R974" s="33"/>
      <c r="S974" s="33"/>
      <c r="T974" s="33"/>
      <c r="U974" s="33"/>
      <c r="V974" s="33"/>
      <c r="W974" s="33"/>
      <c r="X974" s="33"/>
    </row>
    <row r="975" spans="1:24" ht="12.75" customHeight="1" x14ac:dyDescent="0.2">
      <c r="A975" s="33"/>
      <c r="B975" s="33"/>
      <c r="C975" s="84"/>
      <c r="D975" s="84"/>
      <c r="E975" s="69"/>
      <c r="F975" s="69"/>
      <c r="G975" s="76"/>
      <c r="H975" s="76"/>
      <c r="I975" s="33"/>
      <c r="J975" s="33"/>
      <c r="K975" s="33"/>
      <c r="L975" s="33"/>
      <c r="M975" s="33"/>
      <c r="N975" s="33"/>
      <c r="O975" s="33"/>
      <c r="P975" s="33"/>
      <c r="Q975" s="33"/>
      <c r="R975" s="33"/>
      <c r="S975" s="33"/>
      <c r="T975" s="33"/>
      <c r="U975" s="33"/>
      <c r="V975" s="33"/>
      <c r="W975" s="33"/>
      <c r="X975" s="33"/>
    </row>
    <row r="976" spans="1:24" ht="12.75" customHeight="1" x14ac:dyDescent="0.2">
      <c r="A976" s="33"/>
      <c r="B976" s="33"/>
      <c r="C976" s="84"/>
      <c r="D976" s="84"/>
      <c r="E976" s="69"/>
      <c r="F976" s="69"/>
      <c r="G976" s="76"/>
      <c r="H976" s="76"/>
      <c r="I976" s="33"/>
      <c r="J976" s="33"/>
      <c r="K976" s="33"/>
      <c r="L976" s="33"/>
      <c r="M976" s="33"/>
      <c r="N976" s="33"/>
      <c r="O976" s="33"/>
      <c r="P976" s="33"/>
      <c r="Q976" s="33"/>
      <c r="R976" s="33"/>
      <c r="S976" s="33"/>
      <c r="T976" s="33"/>
      <c r="U976" s="33"/>
      <c r="V976" s="33"/>
      <c r="W976" s="33"/>
      <c r="X976" s="33"/>
    </row>
    <row r="977" spans="1:24" ht="12.75" customHeight="1" x14ac:dyDescent="0.2">
      <c r="A977" s="33"/>
      <c r="B977" s="33"/>
      <c r="C977" s="84"/>
      <c r="D977" s="84"/>
      <c r="E977" s="69"/>
      <c r="F977" s="69"/>
      <c r="G977" s="76"/>
      <c r="H977" s="76"/>
      <c r="I977" s="33"/>
      <c r="J977" s="33"/>
      <c r="K977" s="33"/>
      <c r="L977" s="33"/>
      <c r="M977" s="33"/>
      <c r="N977" s="33"/>
      <c r="O977" s="33"/>
      <c r="P977" s="33"/>
      <c r="Q977" s="33"/>
      <c r="R977" s="33"/>
      <c r="S977" s="33"/>
      <c r="T977" s="33"/>
      <c r="U977" s="33"/>
      <c r="V977" s="33"/>
      <c r="W977" s="33"/>
      <c r="X977" s="33"/>
    </row>
    <row r="978" spans="1:24" ht="12.75" customHeight="1" x14ac:dyDescent="0.2">
      <c r="A978" s="33"/>
      <c r="B978" s="33"/>
      <c r="C978" s="84"/>
      <c r="D978" s="84"/>
      <c r="E978" s="69"/>
      <c r="F978" s="69"/>
      <c r="G978" s="76"/>
      <c r="H978" s="76"/>
      <c r="I978" s="33"/>
      <c r="J978" s="33"/>
      <c r="K978" s="33"/>
      <c r="L978" s="33"/>
      <c r="M978" s="33"/>
      <c r="N978" s="33"/>
      <c r="O978" s="33"/>
      <c r="P978" s="33"/>
      <c r="Q978" s="33"/>
      <c r="R978" s="33"/>
      <c r="S978" s="33"/>
      <c r="T978" s="33"/>
      <c r="U978" s="33"/>
      <c r="V978" s="33"/>
      <c r="W978" s="33"/>
      <c r="X978" s="33"/>
    </row>
    <row r="979" spans="1:24" ht="12.75" customHeight="1" x14ac:dyDescent="0.2">
      <c r="A979" s="33"/>
      <c r="B979" s="33"/>
      <c r="C979" s="84"/>
      <c r="D979" s="84"/>
      <c r="E979" s="69"/>
      <c r="F979" s="69"/>
      <c r="G979" s="76"/>
      <c r="H979" s="76"/>
      <c r="I979" s="33"/>
      <c r="J979" s="33"/>
      <c r="K979" s="33"/>
      <c r="L979" s="33"/>
      <c r="M979" s="33"/>
      <c r="N979" s="33"/>
      <c r="O979" s="33"/>
      <c r="P979" s="33"/>
      <c r="Q979" s="33"/>
      <c r="R979" s="33"/>
      <c r="S979" s="33"/>
      <c r="T979" s="33"/>
      <c r="U979" s="33"/>
      <c r="V979" s="33"/>
      <c r="W979" s="33"/>
      <c r="X979" s="33"/>
    </row>
    <row r="980" spans="1:24" ht="12.75" customHeight="1" x14ac:dyDescent="0.2">
      <c r="A980" s="33"/>
      <c r="B980" s="33"/>
      <c r="C980" s="84"/>
      <c r="D980" s="84"/>
      <c r="E980" s="69"/>
      <c r="F980" s="69"/>
      <c r="G980" s="76"/>
      <c r="H980" s="76"/>
      <c r="I980" s="33"/>
      <c r="J980" s="33"/>
      <c r="K980" s="33"/>
      <c r="L980" s="33"/>
      <c r="M980" s="33"/>
      <c r="N980" s="33"/>
      <c r="O980" s="33"/>
      <c r="P980" s="33"/>
      <c r="Q980" s="33"/>
      <c r="R980" s="33"/>
      <c r="S980" s="33"/>
      <c r="T980" s="33"/>
      <c r="U980" s="33"/>
      <c r="V980" s="33"/>
      <c r="W980" s="33"/>
      <c r="X980" s="33"/>
    </row>
    <row r="981" spans="1:24" ht="12.75" customHeight="1" x14ac:dyDescent="0.2">
      <c r="A981" s="33"/>
      <c r="B981" s="33"/>
      <c r="C981" s="84"/>
      <c r="D981" s="84"/>
      <c r="E981" s="69"/>
      <c r="F981" s="69"/>
      <c r="G981" s="76"/>
      <c r="H981" s="76"/>
      <c r="I981" s="33"/>
      <c r="J981" s="33"/>
      <c r="K981" s="33"/>
      <c r="L981" s="33"/>
      <c r="M981" s="33"/>
      <c r="N981" s="33"/>
      <c r="O981" s="33"/>
      <c r="P981" s="33"/>
      <c r="Q981" s="33"/>
      <c r="R981" s="33"/>
      <c r="S981" s="33"/>
      <c r="T981" s="33"/>
      <c r="U981" s="33"/>
      <c r="V981" s="33"/>
      <c r="W981" s="33"/>
      <c r="X981" s="33"/>
    </row>
    <row r="982" spans="1:24" ht="12.75" customHeight="1" x14ac:dyDescent="0.2">
      <c r="A982" s="33"/>
      <c r="B982" s="33"/>
      <c r="C982" s="84"/>
      <c r="D982" s="84"/>
      <c r="E982" s="69"/>
      <c r="F982" s="69"/>
      <c r="G982" s="76"/>
      <c r="H982" s="76"/>
      <c r="I982" s="33"/>
      <c r="J982" s="33"/>
      <c r="K982" s="33"/>
      <c r="L982" s="33"/>
      <c r="M982" s="33"/>
      <c r="N982" s="33"/>
      <c r="O982" s="33"/>
      <c r="P982" s="33"/>
      <c r="Q982" s="33"/>
      <c r="R982" s="33"/>
      <c r="S982" s="33"/>
      <c r="T982" s="33"/>
      <c r="U982" s="33"/>
      <c r="V982" s="33"/>
      <c r="W982" s="33"/>
      <c r="X982" s="33"/>
    </row>
    <row r="983" spans="1:24" ht="12.75" customHeight="1" x14ac:dyDescent="0.2">
      <c r="A983" s="33"/>
      <c r="B983" s="33"/>
      <c r="C983" s="84"/>
      <c r="D983" s="84"/>
      <c r="E983" s="69"/>
      <c r="F983" s="69"/>
      <c r="G983" s="76"/>
      <c r="H983" s="76"/>
      <c r="I983" s="33"/>
      <c r="J983" s="33"/>
      <c r="K983" s="33"/>
      <c r="L983" s="33"/>
      <c r="M983" s="33"/>
      <c r="N983" s="33"/>
      <c r="O983" s="33"/>
      <c r="P983" s="33"/>
      <c r="Q983" s="33"/>
      <c r="R983" s="33"/>
      <c r="S983" s="33"/>
      <c r="T983" s="33"/>
      <c r="U983" s="33"/>
      <c r="V983" s="33"/>
      <c r="W983" s="33"/>
      <c r="X983" s="33"/>
    </row>
    <row r="984" spans="1:24" ht="12.75" customHeight="1" x14ac:dyDescent="0.2">
      <c r="A984" s="33"/>
      <c r="B984" s="33"/>
      <c r="C984" s="84"/>
      <c r="D984" s="84"/>
      <c r="E984" s="69"/>
      <c r="F984" s="69"/>
      <c r="G984" s="76"/>
      <c r="H984" s="76"/>
      <c r="I984" s="33"/>
      <c r="J984" s="33"/>
      <c r="K984" s="33"/>
      <c r="L984" s="33"/>
      <c r="M984" s="33"/>
      <c r="N984" s="33"/>
      <c r="O984" s="33"/>
      <c r="P984" s="33"/>
      <c r="Q984" s="33"/>
      <c r="R984" s="33"/>
      <c r="S984" s="33"/>
      <c r="T984" s="33"/>
      <c r="U984" s="33"/>
      <c r="V984" s="33"/>
      <c r="W984" s="33"/>
      <c r="X984" s="33"/>
    </row>
    <row r="985" spans="1:24" ht="12.75" customHeight="1" x14ac:dyDescent="0.2">
      <c r="A985" s="33"/>
      <c r="B985" s="33"/>
      <c r="C985" s="84"/>
      <c r="D985" s="84"/>
      <c r="E985" s="69"/>
      <c r="F985" s="69"/>
      <c r="G985" s="76"/>
      <c r="H985" s="76"/>
      <c r="I985" s="33"/>
      <c r="J985" s="33"/>
      <c r="K985" s="33"/>
      <c r="L985" s="33"/>
      <c r="M985" s="33"/>
      <c r="N985" s="33"/>
      <c r="O985" s="33"/>
      <c r="P985" s="33"/>
      <c r="Q985" s="33"/>
      <c r="R985" s="33"/>
      <c r="S985" s="33"/>
      <c r="T985" s="33"/>
      <c r="U985" s="33"/>
      <c r="V985" s="33"/>
      <c r="W985" s="33"/>
      <c r="X985" s="33"/>
    </row>
    <row r="986" spans="1:24" ht="12.75" customHeight="1" x14ac:dyDescent="0.2">
      <c r="A986" s="33"/>
      <c r="B986" s="33"/>
      <c r="C986" s="84"/>
      <c r="D986" s="84"/>
      <c r="E986" s="69"/>
      <c r="F986" s="69"/>
      <c r="G986" s="76"/>
      <c r="H986" s="76"/>
      <c r="I986" s="33"/>
      <c r="J986" s="33"/>
      <c r="K986" s="33"/>
      <c r="L986" s="33"/>
      <c r="M986" s="33"/>
      <c r="N986" s="33"/>
      <c r="O986" s="33"/>
      <c r="P986" s="33"/>
      <c r="Q986" s="33"/>
      <c r="R986" s="33"/>
      <c r="S986" s="33"/>
      <c r="T986" s="33"/>
      <c r="U986" s="33"/>
      <c r="V986" s="33"/>
      <c r="W986" s="33"/>
      <c r="X986" s="33"/>
    </row>
    <row r="987" spans="1:24" ht="12.75" customHeight="1" x14ac:dyDescent="0.2">
      <c r="A987" s="33"/>
      <c r="B987" s="33"/>
      <c r="C987" s="84"/>
      <c r="D987" s="84"/>
      <c r="E987" s="69"/>
      <c r="F987" s="69"/>
      <c r="G987" s="76"/>
      <c r="H987" s="76"/>
      <c r="I987" s="33"/>
      <c r="J987" s="33"/>
      <c r="K987" s="33"/>
      <c r="L987" s="33"/>
      <c r="M987" s="33"/>
      <c r="N987" s="33"/>
      <c r="O987" s="33"/>
      <c r="P987" s="33"/>
      <c r="Q987" s="33"/>
      <c r="R987" s="33"/>
      <c r="S987" s="33"/>
      <c r="T987" s="33"/>
      <c r="U987" s="33"/>
      <c r="V987" s="33"/>
      <c r="W987" s="33"/>
      <c r="X987" s="33"/>
    </row>
    <row r="988" spans="1:24" ht="12.75" customHeight="1" x14ac:dyDescent="0.2">
      <c r="A988" s="33"/>
      <c r="B988" s="33"/>
      <c r="C988" s="84"/>
      <c r="D988" s="84"/>
      <c r="E988" s="69"/>
      <c r="F988" s="69"/>
      <c r="G988" s="76"/>
      <c r="H988" s="76"/>
      <c r="I988" s="33"/>
      <c r="J988" s="33"/>
      <c r="K988" s="33"/>
      <c r="L988" s="33"/>
      <c r="M988" s="33"/>
      <c r="N988" s="33"/>
      <c r="O988" s="33"/>
      <c r="P988" s="33"/>
      <c r="Q988" s="33"/>
      <c r="R988" s="33"/>
      <c r="S988" s="33"/>
      <c r="T988" s="33"/>
      <c r="U988" s="33"/>
      <c r="V988" s="33"/>
      <c r="W988" s="33"/>
      <c r="X988" s="33"/>
    </row>
    <row r="989" spans="1:24" ht="12.75" customHeight="1" x14ac:dyDescent="0.2">
      <c r="A989" s="33"/>
      <c r="B989" s="33"/>
      <c r="C989" s="84"/>
      <c r="D989" s="84"/>
      <c r="E989" s="69"/>
      <c r="F989" s="69"/>
      <c r="G989" s="76"/>
      <c r="H989" s="76"/>
      <c r="I989" s="33"/>
      <c r="J989" s="33"/>
      <c r="K989" s="33"/>
      <c r="L989" s="33"/>
      <c r="M989" s="33"/>
      <c r="N989" s="33"/>
      <c r="O989" s="33"/>
      <c r="P989" s="33"/>
      <c r="Q989" s="33"/>
      <c r="R989" s="33"/>
      <c r="S989" s="33"/>
      <c r="T989" s="33"/>
      <c r="U989" s="33"/>
      <c r="V989" s="33"/>
      <c r="W989" s="33"/>
      <c r="X989" s="33"/>
    </row>
    <row r="990" spans="1:24" ht="12.75" customHeight="1" x14ac:dyDescent="0.2">
      <c r="A990" s="33"/>
      <c r="B990" s="33"/>
      <c r="C990" s="84"/>
      <c r="D990" s="84"/>
      <c r="E990" s="69"/>
      <c r="F990" s="69"/>
      <c r="G990" s="76"/>
      <c r="H990" s="76"/>
      <c r="I990" s="33"/>
      <c r="J990" s="33"/>
      <c r="K990" s="33"/>
      <c r="L990" s="33"/>
      <c r="M990" s="33"/>
      <c r="N990" s="33"/>
      <c r="O990" s="33"/>
      <c r="P990" s="33"/>
      <c r="Q990" s="33"/>
      <c r="R990" s="33"/>
      <c r="S990" s="33"/>
      <c r="T990" s="33"/>
      <c r="U990" s="33"/>
      <c r="V990" s="33"/>
      <c r="W990" s="33"/>
      <c r="X990" s="33"/>
    </row>
    <row r="991" spans="1:24" ht="12.75" customHeight="1" x14ac:dyDescent="0.2">
      <c r="A991" s="33"/>
      <c r="B991" s="33"/>
      <c r="C991" s="84"/>
      <c r="D991" s="84"/>
      <c r="E991" s="69"/>
      <c r="F991" s="69"/>
      <c r="G991" s="76"/>
      <c r="H991" s="76"/>
      <c r="I991" s="33"/>
      <c r="J991" s="33"/>
      <c r="K991" s="33"/>
      <c r="L991" s="33"/>
      <c r="M991" s="33"/>
      <c r="N991" s="33"/>
      <c r="O991" s="33"/>
      <c r="P991" s="33"/>
      <c r="Q991" s="33"/>
      <c r="R991" s="33"/>
      <c r="S991" s="33"/>
      <c r="T991" s="33"/>
      <c r="U991" s="33"/>
      <c r="V991" s="33"/>
      <c r="W991" s="33"/>
      <c r="X991" s="33"/>
    </row>
    <row r="992" spans="1:24" ht="12.75" customHeight="1" x14ac:dyDescent="0.2">
      <c r="A992" s="33"/>
      <c r="B992" s="33"/>
      <c r="C992" s="84"/>
      <c r="D992" s="84"/>
      <c r="E992" s="69"/>
      <c r="F992" s="69"/>
      <c r="G992" s="76"/>
      <c r="H992" s="76"/>
      <c r="I992" s="33"/>
      <c r="J992" s="33"/>
      <c r="K992" s="33"/>
      <c r="L992" s="33"/>
      <c r="M992" s="33"/>
      <c r="N992" s="33"/>
      <c r="O992" s="33"/>
      <c r="P992" s="33"/>
      <c r="Q992" s="33"/>
      <c r="R992" s="33"/>
      <c r="S992" s="33"/>
      <c r="T992" s="33"/>
      <c r="U992" s="33"/>
      <c r="V992" s="33"/>
      <c r="W992" s="33"/>
      <c r="X992" s="33"/>
    </row>
    <row r="993" spans="1:24" ht="12.75" customHeight="1" x14ac:dyDescent="0.2">
      <c r="A993" s="33"/>
      <c r="B993" s="33"/>
      <c r="C993" s="84"/>
      <c r="D993" s="84"/>
      <c r="E993" s="69"/>
      <c r="F993" s="69"/>
      <c r="G993" s="76"/>
      <c r="H993" s="76"/>
      <c r="I993" s="33"/>
      <c r="J993" s="33"/>
      <c r="K993" s="33"/>
      <c r="L993" s="33"/>
      <c r="M993" s="33"/>
      <c r="N993" s="33"/>
      <c r="O993" s="33"/>
      <c r="P993" s="33"/>
      <c r="Q993" s="33"/>
      <c r="R993" s="33"/>
      <c r="S993" s="33"/>
      <c r="T993" s="33"/>
      <c r="U993" s="33"/>
      <c r="V993" s="33"/>
      <c r="W993" s="33"/>
      <c r="X993" s="33"/>
    </row>
    <row r="994" spans="1:24" ht="12.75" customHeight="1" x14ac:dyDescent="0.2">
      <c r="A994" s="33"/>
      <c r="B994" s="33"/>
      <c r="C994" s="84"/>
      <c r="D994" s="84"/>
      <c r="E994" s="69"/>
      <c r="F994" s="69"/>
      <c r="G994" s="76"/>
      <c r="H994" s="76"/>
      <c r="I994" s="33"/>
      <c r="J994" s="33"/>
      <c r="K994" s="33"/>
      <c r="L994" s="33"/>
      <c r="M994" s="33"/>
      <c r="N994" s="33"/>
      <c r="O994" s="33"/>
      <c r="P994" s="33"/>
      <c r="Q994" s="33"/>
      <c r="R994" s="33"/>
      <c r="S994" s="33"/>
      <c r="T994" s="33"/>
      <c r="U994" s="33"/>
      <c r="V994" s="33"/>
      <c r="W994" s="33"/>
      <c r="X994" s="33"/>
    </row>
    <row r="995" spans="1:24" ht="12.75" customHeight="1" x14ac:dyDescent="0.2">
      <c r="A995" s="33"/>
      <c r="B995" s="33"/>
      <c r="C995" s="84"/>
      <c r="D995" s="84"/>
      <c r="E995" s="69"/>
      <c r="F995" s="69"/>
      <c r="G995" s="76"/>
      <c r="H995" s="76"/>
      <c r="I995" s="33"/>
      <c r="J995" s="33"/>
      <c r="K995" s="33"/>
      <c r="L995" s="33"/>
      <c r="M995" s="33"/>
      <c r="N995" s="33"/>
      <c r="O995" s="33"/>
      <c r="P995" s="33"/>
      <c r="Q995" s="33"/>
      <c r="R995" s="33"/>
      <c r="S995" s="33"/>
      <c r="T995" s="33"/>
      <c r="U995" s="33"/>
      <c r="V995" s="33"/>
      <c r="W995" s="33"/>
      <c r="X995" s="33"/>
    </row>
    <row r="996" spans="1:24" ht="12.75" customHeight="1" x14ac:dyDescent="0.2">
      <c r="A996" s="33"/>
      <c r="B996" s="33"/>
      <c r="C996" s="84"/>
      <c r="D996" s="84"/>
      <c r="E996" s="69"/>
      <c r="F996" s="69"/>
      <c r="G996" s="76"/>
      <c r="H996" s="76"/>
      <c r="I996" s="33"/>
      <c r="J996" s="33"/>
      <c r="K996" s="33"/>
      <c r="L996" s="33"/>
      <c r="M996" s="33"/>
      <c r="N996" s="33"/>
      <c r="O996" s="33"/>
      <c r="P996" s="33"/>
      <c r="Q996" s="33"/>
      <c r="R996" s="33"/>
      <c r="S996" s="33"/>
      <c r="T996" s="33"/>
      <c r="U996" s="33"/>
      <c r="V996" s="33"/>
      <c r="W996" s="33"/>
      <c r="X996" s="33"/>
    </row>
    <row r="997" spans="1:24" ht="12.75" customHeight="1" x14ac:dyDescent="0.2">
      <c r="A997" s="33"/>
      <c r="B997" s="33"/>
      <c r="C997" s="84"/>
      <c r="D997" s="84"/>
      <c r="E997" s="69"/>
      <c r="F997" s="69"/>
      <c r="G997" s="76"/>
      <c r="H997" s="76"/>
      <c r="I997" s="33"/>
      <c r="J997" s="33"/>
      <c r="K997" s="33"/>
      <c r="L997" s="33"/>
      <c r="M997" s="33"/>
      <c r="N997" s="33"/>
      <c r="O997" s="33"/>
      <c r="P997" s="33"/>
      <c r="Q997" s="33"/>
      <c r="R997" s="33"/>
      <c r="S997" s="33"/>
      <c r="T997" s="33"/>
      <c r="U997" s="33"/>
      <c r="V997" s="33"/>
      <c r="W997" s="33"/>
      <c r="X997" s="33"/>
    </row>
    <row r="998" spans="1:24" ht="12.75" customHeight="1" x14ac:dyDescent="0.2">
      <c r="A998" s="33"/>
      <c r="B998" s="33"/>
      <c r="C998" s="84"/>
      <c r="D998" s="84"/>
      <c r="E998" s="69"/>
      <c r="F998" s="69"/>
      <c r="G998" s="76"/>
      <c r="H998" s="76"/>
      <c r="I998" s="33"/>
      <c r="J998" s="33"/>
      <c r="K998" s="33"/>
      <c r="L998" s="33"/>
      <c r="M998" s="33"/>
      <c r="N998" s="33"/>
      <c r="O998" s="33"/>
      <c r="P998" s="33"/>
      <c r="Q998" s="33"/>
      <c r="R998" s="33"/>
      <c r="S998" s="33"/>
      <c r="T998" s="33"/>
      <c r="U998" s="33"/>
      <c r="V998" s="33"/>
      <c r="W998" s="33"/>
      <c r="X998" s="33"/>
    </row>
    <row r="999" spans="1:24" ht="12.75" customHeight="1" x14ac:dyDescent="0.2">
      <c r="A999" s="33"/>
      <c r="B999" s="33"/>
      <c r="C999" s="84"/>
      <c r="D999" s="84"/>
      <c r="E999" s="69"/>
      <c r="F999" s="69"/>
      <c r="G999" s="76"/>
      <c r="H999" s="76"/>
      <c r="I999" s="33"/>
      <c r="J999" s="33"/>
      <c r="K999" s="33"/>
      <c r="L999" s="33"/>
      <c r="M999" s="33"/>
      <c r="N999" s="33"/>
      <c r="O999" s="33"/>
      <c r="P999" s="33"/>
      <c r="Q999" s="33"/>
      <c r="R999" s="33"/>
      <c r="S999" s="33"/>
      <c r="T999" s="33"/>
      <c r="U999" s="33"/>
      <c r="V999" s="33"/>
      <c r="W999" s="33"/>
      <c r="X999" s="33"/>
    </row>
    <row r="1000" spans="1:24" ht="12.75" customHeight="1" x14ac:dyDescent="0.2">
      <c r="A1000" s="33"/>
      <c r="B1000" s="33"/>
      <c r="C1000" s="84"/>
      <c r="D1000" s="84"/>
      <c r="E1000" s="69"/>
      <c r="F1000" s="69"/>
      <c r="G1000" s="76"/>
      <c r="H1000" s="76"/>
      <c r="I1000" s="33"/>
      <c r="J1000" s="33"/>
      <c r="K1000" s="33"/>
      <c r="L1000" s="33"/>
      <c r="M1000" s="33"/>
      <c r="N1000" s="33"/>
      <c r="O1000" s="33"/>
      <c r="P1000" s="33"/>
      <c r="Q1000" s="33"/>
      <c r="R1000" s="33"/>
      <c r="S1000" s="33"/>
      <c r="T1000" s="33"/>
      <c r="U1000" s="33"/>
      <c r="V1000" s="33"/>
      <c r="W1000" s="33"/>
      <c r="X1000" s="33"/>
    </row>
    <row r="1001" spans="1:24" ht="12.75" customHeight="1" x14ac:dyDescent="0.2">
      <c r="A1001" s="33"/>
      <c r="B1001" s="33"/>
      <c r="C1001" s="84"/>
      <c r="D1001" s="84"/>
      <c r="E1001" s="69"/>
      <c r="F1001" s="69"/>
      <c r="G1001" s="76"/>
      <c r="H1001" s="76"/>
      <c r="I1001" s="33"/>
      <c r="J1001" s="33"/>
      <c r="K1001" s="33"/>
      <c r="L1001" s="33"/>
      <c r="M1001" s="33"/>
      <c r="N1001" s="33"/>
      <c r="O1001" s="33"/>
      <c r="P1001" s="33"/>
      <c r="Q1001" s="33"/>
      <c r="R1001" s="33"/>
      <c r="S1001" s="33"/>
      <c r="T1001" s="33"/>
      <c r="U1001" s="33"/>
      <c r="V1001" s="33"/>
      <c r="W1001" s="33"/>
      <c r="X1001" s="33"/>
    </row>
    <row r="1002" spans="1:24" ht="12.75" customHeight="1" x14ac:dyDescent="0.2">
      <c r="A1002" s="33"/>
      <c r="B1002" s="33"/>
      <c r="C1002" s="84"/>
      <c r="D1002" s="84"/>
      <c r="E1002" s="69"/>
      <c r="F1002" s="69"/>
      <c r="G1002" s="76"/>
      <c r="H1002" s="76"/>
      <c r="I1002" s="33"/>
      <c r="J1002" s="33"/>
      <c r="K1002" s="33"/>
      <c r="L1002" s="33"/>
      <c r="M1002" s="33"/>
      <c r="N1002" s="33"/>
      <c r="O1002" s="33"/>
      <c r="P1002" s="33"/>
      <c r="Q1002" s="33"/>
      <c r="R1002" s="33"/>
      <c r="S1002" s="33"/>
      <c r="T1002" s="33"/>
      <c r="U1002" s="33"/>
      <c r="V1002" s="33"/>
      <c r="W1002" s="33"/>
      <c r="X1002" s="33"/>
    </row>
    <row r="1003" spans="1:24" ht="12.75" customHeight="1" x14ac:dyDescent="0.2">
      <c r="A1003" s="33"/>
      <c r="B1003" s="33"/>
      <c r="C1003" s="84"/>
      <c r="D1003" s="84"/>
      <c r="E1003" s="69"/>
      <c r="F1003" s="69"/>
      <c r="G1003" s="76"/>
      <c r="H1003" s="76"/>
      <c r="I1003" s="33"/>
      <c r="J1003" s="33"/>
      <c r="K1003" s="33"/>
      <c r="L1003" s="33"/>
      <c r="M1003" s="33"/>
      <c r="N1003" s="33"/>
      <c r="O1003" s="33"/>
      <c r="P1003" s="33"/>
      <c r="Q1003" s="33"/>
      <c r="R1003" s="33"/>
      <c r="S1003" s="33"/>
      <c r="T1003" s="33"/>
      <c r="U1003" s="33"/>
      <c r="V1003" s="33"/>
      <c r="W1003" s="33"/>
      <c r="X1003" s="33"/>
    </row>
    <row r="1004" spans="1:24" ht="12.75" customHeight="1" x14ac:dyDescent="0.2">
      <c r="A1004" s="33"/>
      <c r="B1004" s="33"/>
      <c r="C1004" s="84"/>
      <c r="D1004" s="84"/>
      <c r="E1004" s="69"/>
      <c r="F1004" s="69"/>
      <c r="G1004" s="76"/>
      <c r="H1004" s="76"/>
      <c r="I1004" s="33"/>
      <c r="J1004" s="33"/>
      <c r="K1004" s="33"/>
      <c r="L1004" s="33"/>
      <c r="M1004" s="33"/>
      <c r="N1004" s="33"/>
      <c r="O1004" s="33"/>
      <c r="P1004" s="33"/>
      <c r="Q1004" s="33"/>
      <c r="R1004" s="33"/>
      <c r="S1004" s="33"/>
      <c r="T1004" s="33"/>
      <c r="U1004" s="33"/>
      <c r="V1004" s="33"/>
      <c r="W1004" s="33"/>
      <c r="X1004" s="33"/>
    </row>
    <row r="1005" spans="1:24" ht="12.75" customHeight="1" x14ac:dyDescent="0.2">
      <c r="A1005" s="33"/>
      <c r="B1005" s="33"/>
      <c r="C1005" s="84"/>
      <c r="D1005" s="84"/>
      <c r="E1005" s="69"/>
      <c r="F1005" s="69"/>
      <c r="G1005" s="76"/>
      <c r="H1005" s="76"/>
      <c r="I1005" s="33"/>
      <c r="J1005" s="33"/>
      <c r="K1005" s="33"/>
      <c r="L1005" s="33"/>
      <c r="M1005" s="33"/>
      <c r="N1005" s="33"/>
      <c r="O1005" s="33"/>
      <c r="P1005" s="33"/>
      <c r="Q1005" s="33"/>
      <c r="R1005" s="33"/>
      <c r="S1005" s="33"/>
      <c r="T1005" s="33"/>
      <c r="U1005" s="33"/>
      <c r="V1005" s="33"/>
      <c r="W1005" s="33"/>
      <c r="X1005" s="33"/>
    </row>
    <row r="1006" spans="1:24" ht="12.75" customHeight="1" x14ac:dyDescent="0.2">
      <c r="A1006" s="33"/>
      <c r="B1006" s="33"/>
      <c r="C1006" s="84"/>
      <c r="D1006" s="84"/>
      <c r="E1006" s="69"/>
      <c r="F1006" s="69"/>
      <c r="G1006" s="76"/>
      <c r="H1006" s="76"/>
      <c r="I1006" s="33"/>
      <c r="J1006" s="33"/>
      <c r="K1006" s="33"/>
      <c r="L1006" s="33"/>
      <c r="M1006" s="33"/>
      <c r="N1006" s="33"/>
      <c r="O1006" s="33"/>
      <c r="P1006" s="33"/>
      <c r="Q1006" s="33"/>
      <c r="R1006" s="33"/>
      <c r="S1006" s="33"/>
      <c r="T1006" s="33"/>
      <c r="U1006" s="33"/>
      <c r="V1006" s="33"/>
      <c r="W1006" s="33"/>
      <c r="X1006" s="33"/>
    </row>
  </sheetData>
  <mergeCells count="13">
    <mergeCell ref="A1:N1"/>
    <mergeCell ref="I2:N2"/>
    <mergeCell ref="K3:L3"/>
    <mergeCell ref="I3:J3"/>
    <mergeCell ref="E3:F3"/>
    <mergeCell ref="G3:H3"/>
    <mergeCell ref="C3:D3"/>
    <mergeCell ref="A3:B3"/>
    <mergeCell ref="A2:B2"/>
    <mergeCell ref="C2:D2"/>
    <mergeCell ref="M3:N3"/>
    <mergeCell ref="E2:F2"/>
    <mergeCell ref="G2:H2"/>
  </mergeCells>
  <pageMargins left="0.75" right="0.75" top="1" bottom="1" header="0.3" footer="0.3"/>
  <pageSetup scale="80" orientation="landscape" r:id="rId1"/>
  <headerFooter alignWithMargins="0"/>
  <rowBreaks count="1" manualBreakCount="1">
    <brk id="30"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1"/>
  <sheetViews>
    <sheetView workbookViewId="0">
      <pane xSplit="1" ySplit="4" topLeftCell="B5" activePane="bottomRight" state="frozen"/>
      <selection pane="topRight" activeCell="B1" sqref="B1"/>
      <selection pane="bottomLeft" activeCell="A5" sqref="A5"/>
      <selection pane="bottomRight" activeCell="G52" sqref="G52"/>
    </sheetView>
  </sheetViews>
  <sheetFormatPr defaultColWidth="17.28515625" defaultRowHeight="15" customHeight="1" x14ac:dyDescent="0.2"/>
  <cols>
    <col min="1" max="1" width="8.5703125" customWidth="1"/>
    <col min="2" max="2" width="12.28515625" customWidth="1"/>
    <col min="3" max="3" width="9.7109375" style="85" customWidth="1"/>
    <col min="4" max="4" width="10.42578125" style="85" customWidth="1"/>
    <col min="5" max="5" width="9.140625" style="70" customWidth="1"/>
    <col min="6" max="6" width="8.85546875" style="70" customWidth="1"/>
    <col min="7" max="7" width="8.140625" customWidth="1"/>
    <col min="8" max="8" width="10.140625" customWidth="1"/>
    <col min="9" max="9" width="7.28515625" customWidth="1"/>
    <col min="10" max="10" width="13.5703125" customWidth="1"/>
    <col min="11" max="11" width="8.5703125" customWidth="1"/>
    <col min="12" max="12" width="11.28515625" customWidth="1"/>
    <col min="13" max="22" width="11.42578125" customWidth="1"/>
    <col min="23" max="26" width="10" customWidth="1"/>
  </cols>
  <sheetData>
    <row r="1" spans="1:26" ht="12.75" customHeight="1" x14ac:dyDescent="0.2">
      <c r="A1" s="163" t="s">
        <v>148</v>
      </c>
      <c r="B1" s="162"/>
      <c r="C1" s="162"/>
      <c r="D1" s="162"/>
      <c r="E1" s="162"/>
      <c r="F1" s="162"/>
      <c r="G1" s="162"/>
      <c r="H1" s="162"/>
      <c r="I1" s="162"/>
      <c r="J1" s="162"/>
      <c r="K1" s="162"/>
      <c r="L1" s="160"/>
      <c r="M1" s="1"/>
      <c r="N1" s="1"/>
      <c r="O1" s="1"/>
      <c r="P1" s="1"/>
      <c r="Q1" s="1"/>
      <c r="R1" s="1"/>
      <c r="S1" s="1"/>
      <c r="T1" s="1"/>
      <c r="U1" s="1"/>
      <c r="V1" s="1"/>
      <c r="W1" s="1"/>
      <c r="X1" s="1"/>
      <c r="Y1" s="1"/>
      <c r="Z1" s="1"/>
    </row>
    <row r="2" spans="1:26" ht="12" customHeight="1" x14ac:dyDescent="0.2">
      <c r="A2" s="155" t="s">
        <v>103</v>
      </c>
      <c r="B2" s="160"/>
      <c r="C2" s="165" t="s">
        <v>149</v>
      </c>
      <c r="D2" s="166"/>
      <c r="E2" s="157" t="s">
        <v>150</v>
      </c>
      <c r="F2" s="164"/>
      <c r="G2" s="161"/>
      <c r="H2" s="162"/>
      <c r="I2" s="162"/>
      <c r="J2" s="162"/>
      <c r="K2" s="162"/>
      <c r="L2" s="160"/>
      <c r="M2" s="1"/>
      <c r="N2" s="1"/>
      <c r="O2" s="1"/>
      <c r="P2" s="1"/>
      <c r="Q2" s="1"/>
      <c r="R2" s="1"/>
      <c r="S2" s="1"/>
      <c r="T2" s="1"/>
      <c r="U2" s="1"/>
      <c r="V2" s="1"/>
      <c r="W2" s="1"/>
      <c r="X2" s="1"/>
      <c r="Y2" s="1"/>
      <c r="Z2" s="1"/>
    </row>
    <row r="3" spans="1:26" ht="12" customHeight="1" x14ac:dyDescent="0.2">
      <c r="A3" s="159" t="s">
        <v>101</v>
      </c>
      <c r="B3" s="160"/>
      <c r="C3" s="152" t="s">
        <v>40</v>
      </c>
      <c r="D3" s="167"/>
      <c r="E3" s="148" t="s">
        <v>43</v>
      </c>
      <c r="F3" s="164"/>
      <c r="G3" s="147" t="s">
        <v>107</v>
      </c>
      <c r="H3" s="160"/>
      <c r="I3" s="147" t="s">
        <v>30</v>
      </c>
      <c r="J3" s="160"/>
      <c r="K3" s="147" t="s">
        <v>108</v>
      </c>
      <c r="L3" s="160"/>
      <c r="M3" s="1"/>
      <c r="N3" s="1"/>
      <c r="O3" s="1"/>
      <c r="P3" s="1"/>
      <c r="Q3" s="1"/>
      <c r="R3" s="1"/>
      <c r="S3" s="1"/>
      <c r="T3" s="1"/>
      <c r="U3" s="1"/>
      <c r="V3" s="1"/>
      <c r="W3" s="1"/>
      <c r="X3" s="1"/>
      <c r="Y3" s="1"/>
      <c r="Z3" s="1"/>
    </row>
    <row r="4" spans="1:26" ht="12" customHeight="1" x14ac:dyDescent="0.2">
      <c r="A4" s="11"/>
      <c r="B4" s="12">
        <f>+B10+B11+B15+B16+B22+B27+B28+B32+B33+B35+B42+B43+B48+B49+B55+B61+B62</f>
        <v>11265</v>
      </c>
      <c r="C4" s="78">
        <f>+C10+C15+C22+C27+C32+C35+C42+C48+C55+C61</f>
        <v>2483</v>
      </c>
      <c r="D4" s="79">
        <f>C4/I4</f>
        <v>0.37977974915876417</v>
      </c>
      <c r="E4" s="63">
        <f>+E10+E15+E22+E27+E32+E35+E42+E48+E55+E61</f>
        <v>3790</v>
      </c>
      <c r="F4" s="64">
        <f>E4/I4</f>
        <v>0.57968797797491589</v>
      </c>
      <c r="G4" s="12">
        <f>+G10+G15+G22+G27+G32+G35+G42+G48+G55+G61</f>
        <v>265</v>
      </c>
      <c r="H4" s="13">
        <f>IF((I4=0),"",(G4/I4))</f>
        <v>4.0532272866319975E-2</v>
      </c>
      <c r="I4" s="12">
        <f>+I10+I15+I22+I27+I32+I35+I42+I48+I55+I61</f>
        <v>6538</v>
      </c>
      <c r="J4" s="13">
        <f>IF((B4=0),"",(I4/B4))</f>
        <v>0.58038171327119392</v>
      </c>
      <c r="K4" s="12">
        <f>+K10+K15+K22+K27+K32+K35+K42+K48+K55+K61</f>
        <v>4629</v>
      </c>
      <c r="L4" s="13">
        <f>IF((B4=0),"",(K4/B4))</f>
        <v>0.41091877496671103</v>
      </c>
      <c r="M4" s="1"/>
      <c r="N4" s="1"/>
      <c r="O4" s="1"/>
      <c r="P4" s="1"/>
      <c r="Q4" s="1"/>
      <c r="R4" s="1"/>
      <c r="S4" s="1"/>
      <c r="T4" s="1"/>
      <c r="U4" s="1"/>
      <c r="V4" s="1"/>
      <c r="W4" s="1"/>
      <c r="X4" s="1"/>
      <c r="Y4" s="1"/>
      <c r="Z4" s="1"/>
    </row>
    <row r="5" spans="1:26" ht="12" customHeight="1" x14ac:dyDescent="0.2">
      <c r="A5" s="15" t="s">
        <v>151</v>
      </c>
      <c r="B5" s="32" t="s">
        <v>152</v>
      </c>
      <c r="C5" s="86"/>
      <c r="D5" s="86"/>
      <c r="E5" s="90"/>
      <c r="F5" s="90"/>
      <c r="G5" s="16"/>
      <c r="H5" s="16"/>
      <c r="I5" s="16"/>
      <c r="J5" s="16"/>
      <c r="K5" s="16"/>
      <c r="L5" s="16"/>
      <c r="M5" s="1"/>
      <c r="N5" s="1"/>
      <c r="O5" s="1"/>
      <c r="P5" s="1"/>
      <c r="Q5" s="1"/>
      <c r="R5" s="1"/>
      <c r="S5" s="1"/>
      <c r="T5" s="1"/>
      <c r="U5" s="1"/>
      <c r="V5" s="1"/>
      <c r="W5" s="1"/>
      <c r="X5" s="1"/>
      <c r="Y5" s="1"/>
      <c r="Z5" s="1"/>
    </row>
    <row r="6" spans="1:26" ht="12" customHeight="1" x14ac:dyDescent="0.2">
      <c r="A6" s="15" t="s">
        <v>125</v>
      </c>
      <c r="B6" s="15">
        <v>460</v>
      </c>
      <c r="C6" s="81">
        <v>63</v>
      </c>
      <c r="D6" s="82">
        <f>IF((I6=0),"",(C6/I6))</f>
        <v>0.24609375</v>
      </c>
      <c r="E6" s="66">
        <v>186</v>
      </c>
      <c r="F6" s="67">
        <f>IF((I6=0),"",(E6/I6))</f>
        <v>0.7265625</v>
      </c>
      <c r="G6" s="15">
        <v>7</v>
      </c>
      <c r="H6" s="17">
        <f>IF((I6=0),"",(G6/I6))</f>
        <v>2.734375E-2</v>
      </c>
      <c r="I6" s="15">
        <f>SUM(C6,E6,G6)</f>
        <v>256</v>
      </c>
      <c r="J6" s="17">
        <f>IF((B6=0),"",(I6/B6))</f>
        <v>0.55652173913043479</v>
      </c>
      <c r="K6" s="15">
        <f>B6-I6</f>
        <v>204</v>
      </c>
      <c r="L6" s="17">
        <f>IF((B6=0),"",(K6/B6))</f>
        <v>0.44347826086956521</v>
      </c>
      <c r="M6" s="1"/>
      <c r="N6" s="1"/>
      <c r="O6" s="1"/>
      <c r="P6" s="1"/>
      <c r="Q6" s="1"/>
      <c r="R6" s="1"/>
      <c r="S6" s="1"/>
      <c r="T6" s="1"/>
      <c r="U6" s="1"/>
      <c r="V6" s="1"/>
      <c r="W6" s="1"/>
      <c r="X6" s="1"/>
      <c r="Y6" s="1"/>
      <c r="Z6" s="1"/>
    </row>
    <row r="7" spans="1:26" ht="12" customHeight="1" x14ac:dyDescent="0.2">
      <c r="A7" s="15" t="s">
        <v>230</v>
      </c>
      <c r="B7" s="15">
        <v>332</v>
      </c>
      <c r="C7" s="81">
        <v>57</v>
      </c>
      <c r="D7" s="82">
        <f>IF((I7=0),"",(C7/I7))</f>
        <v>0.30158730158730157</v>
      </c>
      <c r="E7" s="66">
        <v>129</v>
      </c>
      <c r="F7" s="67">
        <f>IF((I7=0),"",(E7/I7))</f>
        <v>0.68253968253968256</v>
      </c>
      <c r="G7" s="15">
        <v>3</v>
      </c>
      <c r="H7" s="17">
        <f>IF((I7=0),"",(G7/I7))</f>
        <v>1.5873015873015872E-2</v>
      </c>
      <c r="I7" s="15">
        <f>SUM(C7,E7,G7)</f>
        <v>189</v>
      </c>
      <c r="J7" s="17">
        <f>IF((B7=0),"",(I7/B7))</f>
        <v>0.56927710843373491</v>
      </c>
      <c r="K7" s="29">
        <f>B7-I7</f>
        <v>143</v>
      </c>
      <c r="L7" s="17">
        <f>IF((B7=0),"",(K7/B7))</f>
        <v>0.43072289156626509</v>
      </c>
      <c r="M7" s="1"/>
      <c r="N7" s="1"/>
      <c r="O7" s="1"/>
      <c r="P7" s="1"/>
      <c r="Q7" s="1"/>
      <c r="R7" s="1"/>
      <c r="S7" s="1"/>
      <c r="T7" s="1"/>
      <c r="U7" s="1"/>
      <c r="V7" s="1"/>
      <c r="W7" s="1"/>
      <c r="X7" s="1"/>
      <c r="Y7" s="1"/>
      <c r="Z7" s="1"/>
    </row>
    <row r="8" spans="1:26" ht="12" customHeight="1" x14ac:dyDescent="0.2">
      <c r="A8" s="15" t="s">
        <v>204</v>
      </c>
      <c r="B8" s="15">
        <v>294</v>
      </c>
      <c r="C8" s="81">
        <v>57</v>
      </c>
      <c r="D8" s="82">
        <f>IF((I8=0),"",(C8/I8))</f>
        <v>0.33727810650887574</v>
      </c>
      <c r="E8" s="66">
        <v>109</v>
      </c>
      <c r="F8" s="67">
        <f>IF((I8=0),"",(E8/I8))</f>
        <v>0.6449704142011834</v>
      </c>
      <c r="G8" s="15">
        <v>3</v>
      </c>
      <c r="H8" s="17">
        <f>IF((I8=0),"",(G8/I8))</f>
        <v>1.7751479289940829E-2</v>
      </c>
      <c r="I8" s="15">
        <f>SUM(C8,E8,G8)</f>
        <v>169</v>
      </c>
      <c r="J8" s="17">
        <f>IF((B8=0),"",(I8/B8))</f>
        <v>0.57482993197278909</v>
      </c>
      <c r="K8" s="29">
        <f>B8-I8</f>
        <v>125</v>
      </c>
      <c r="L8" s="17">
        <f>IF((B8=0),"",(K8/B8))</f>
        <v>0.42517006802721086</v>
      </c>
      <c r="M8" s="1"/>
      <c r="N8" s="1"/>
      <c r="O8" s="1"/>
      <c r="P8" s="1"/>
      <c r="Q8" s="1"/>
      <c r="R8" s="1"/>
      <c r="S8" s="1"/>
      <c r="T8" s="1"/>
      <c r="U8" s="1"/>
      <c r="V8" s="1"/>
      <c r="W8" s="1"/>
      <c r="X8" s="1"/>
      <c r="Y8" s="1"/>
      <c r="Z8" s="1"/>
    </row>
    <row r="9" spans="1:26" ht="12" customHeight="1" x14ac:dyDescent="0.2">
      <c r="A9" s="15" t="s">
        <v>193</v>
      </c>
      <c r="B9" s="15">
        <v>394</v>
      </c>
      <c r="C9" s="81">
        <v>68</v>
      </c>
      <c r="D9" s="82">
        <f>IF((I9=0),"",(C9/I9))</f>
        <v>0.36559139784946237</v>
      </c>
      <c r="E9" s="66">
        <v>113</v>
      </c>
      <c r="F9" s="67">
        <f>IF((I9=0),"",(E9/I9))</f>
        <v>0.60752688172043012</v>
      </c>
      <c r="G9" s="15">
        <v>5</v>
      </c>
      <c r="H9" s="17">
        <f>IF((I9=0),"",(G9/I9))</f>
        <v>2.6881720430107527E-2</v>
      </c>
      <c r="I9" s="15">
        <f>SUM(C9,E9,G9)</f>
        <v>186</v>
      </c>
      <c r="J9" s="17">
        <f>IF((B9=0),"",(I9/B9))</f>
        <v>0.4720812182741117</v>
      </c>
      <c r="K9" s="29">
        <f>B9-I9</f>
        <v>208</v>
      </c>
      <c r="L9" s="17">
        <f>IF((B9=0),"",(K9/B9))</f>
        <v>0.52791878172588835</v>
      </c>
      <c r="M9" s="1"/>
      <c r="N9" s="1"/>
      <c r="O9" s="1"/>
      <c r="P9" s="1"/>
      <c r="Q9" s="1"/>
      <c r="R9" s="1"/>
      <c r="S9" s="1"/>
      <c r="T9" s="1"/>
      <c r="U9" s="1"/>
      <c r="V9" s="1"/>
      <c r="W9" s="1"/>
      <c r="X9" s="1"/>
      <c r="Y9" s="1"/>
      <c r="Z9" s="1"/>
    </row>
    <row r="10" spans="1:26" ht="12" customHeight="1" x14ac:dyDescent="0.2">
      <c r="A10" s="12" t="s">
        <v>120</v>
      </c>
      <c r="B10" s="12">
        <f>SUM(B6:B9)</f>
        <v>1480</v>
      </c>
      <c r="C10" s="78">
        <f>SUM(C6:C9)</f>
        <v>245</v>
      </c>
      <c r="D10" s="79">
        <f>IF((I10=0),"",(C10/I10))</f>
        <v>0.30625000000000002</v>
      </c>
      <c r="E10" s="63">
        <f>SUM(E6:E9)</f>
        <v>537</v>
      </c>
      <c r="F10" s="64">
        <f>IF((I10=0),"",(E10/I10))</f>
        <v>0.67125000000000001</v>
      </c>
      <c r="G10" s="12">
        <f>SUM(G6:G9)</f>
        <v>18</v>
      </c>
      <c r="H10" s="13">
        <f>IF((I10=0),"",(G10/I10))</f>
        <v>2.2499999999999999E-2</v>
      </c>
      <c r="I10" s="12">
        <f>SUM(C10,E10,G10)</f>
        <v>800</v>
      </c>
      <c r="J10" s="13">
        <f>IF((B10=0),"",(I10/B10))</f>
        <v>0.54054054054054057</v>
      </c>
      <c r="K10" s="12">
        <f>SUM(K6:K9)</f>
        <v>680</v>
      </c>
      <c r="L10" s="13">
        <f>IF((B10=0),"",(K10/B10))</f>
        <v>0.45945945945945948</v>
      </c>
      <c r="M10" s="1"/>
      <c r="N10" s="1"/>
      <c r="O10" s="1"/>
      <c r="P10" s="1"/>
      <c r="Q10" s="1"/>
      <c r="R10" s="1"/>
      <c r="S10" s="1"/>
      <c r="T10" s="1"/>
      <c r="U10" s="1"/>
      <c r="V10" s="1"/>
      <c r="W10" s="1"/>
      <c r="X10" s="1"/>
      <c r="Y10" s="1"/>
      <c r="Z10" s="1"/>
    </row>
    <row r="11" spans="1:26" s="41" customFormat="1" ht="12" customHeight="1" x14ac:dyDescent="0.2">
      <c r="A11" s="32" t="s">
        <v>542</v>
      </c>
      <c r="B11" s="32">
        <v>12</v>
      </c>
      <c r="C11" s="78"/>
      <c r="D11" s="79"/>
      <c r="E11" s="63"/>
      <c r="F11" s="64"/>
      <c r="G11" s="32"/>
      <c r="H11" s="28"/>
      <c r="I11" s="32"/>
      <c r="J11" s="28"/>
      <c r="K11" s="32"/>
      <c r="L11" s="28"/>
      <c r="M11" s="1"/>
      <c r="N11" s="1"/>
      <c r="O11" s="1"/>
      <c r="P11" s="1"/>
      <c r="Q11" s="1"/>
      <c r="R11" s="1"/>
      <c r="S11" s="1"/>
      <c r="T11" s="1"/>
      <c r="U11" s="1"/>
      <c r="V11" s="1"/>
      <c r="W11" s="1"/>
      <c r="X11" s="1"/>
      <c r="Y11" s="1"/>
      <c r="Z11" s="1"/>
    </row>
    <row r="12" spans="1:26" ht="12" customHeight="1" x14ac:dyDescent="0.2">
      <c r="A12" s="14" t="s">
        <v>154</v>
      </c>
      <c r="B12" s="32" t="s">
        <v>155</v>
      </c>
      <c r="C12" s="86"/>
      <c r="D12" s="86"/>
      <c r="E12" s="90"/>
      <c r="F12" s="90"/>
      <c r="G12" s="16"/>
      <c r="H12" s="16"/>
      <c r="I12" s="16"/>
      <c r="J12" s="16"/>
      <c r="K12" s="16"/>
      <c r="L12" s="16"/>
      <c r="M12" s="1"/>
      <c r="N12" s="1"/>
      <c r="O12" s="1"/>
      <c r="P12" s="1"/>
      <c r="Q12" s="1"/>
      <c r="R12" s="1"/>
      <c r="S12" s="1"/>
      <c r="T12" s="1"/>
      <c r="U12" s="1"/>
      <c r="V12" s="1"/>
      <c r="W12" s="1"/>
      <c r="X12" s="1"/>
      <c r="Y12" s="1"/>
      <c r="Z12" s="1"/>
    </row>
    <row r="13" spans="1:26" ht="12" customHeight="1" x14ac:dyDescent="0.2">
      <c r="A13" s="15" t="s">
        <v>161</v>
      </c>
      <c r="B13" s="15">
        <v>352</v>
      </c>
      <c r="C13" s="81">
        <v>63</v>
      </c>
      <c r="D13" s="82">
        <f>IF((I13=0),"",(C13/I13))</f>
        <v>0.34426229508196721</v>
      </c>
      <c r="E13" s="66">
        <v>110</v>
      </c>
      <c r="F13" s="67">
        <f>IF((I13=0),"",(E13/I13))</f>
        <v>0.60109289617486339</v>
      </c>
      <c r="G13" s="15">
        <v>10</v>
      </c>
      <c r="H13" s="17">
        <f>IF((I13=0),"",(G13/I13))</f>
        <v>5.4644808743169397E-2</v>
      </c>
      <c r="I13" s="15">
        <f>SUM(C13,E13,G13)</f>
        <v>183</v>
      </c>
      <c r="J13" s="17">
        <f>IF((B13=0),"",(I13/B13))</f>
        <v>0.51988636363636365</v>
      </c>
      <c r="K13" s="29">
        <f>B13-I13</f>
        <v>169</v>
      </c>
      <c r="L13" s="17">
        <f>IF((B13=0),"",(K13/B13))</f>
        <v>0.48011363636363635</v>
      </c>
      <c r="M13" s="1"/>
      <c r="N13" s="1"/>
      <c r="O13" s="1"/>
      <c r="P13" s="1"/>
      <c r="Q13" s="1"/>
      <c r="R13" s="1"/>
      <c r="S13" s="1"/>
      <c r="T13" s="1"/>
      <c r="U13" s="1"/>
      <c r="V13" s="1"/>
      <c r="W13" s="1"/>
      <c r="X13" s="1"/>
      <c r="Y13" s="1"/>
      <c r="Z13" s="1"/>
    </row>
    <row r="14" spans="1:26" ht="12" customHeight="1" x14ac:dyDescent="0.2">
      <c r="A14" s="15" t="s">
        <v>162</v>
      </c>
      <c r="B14" s="15">
        <v>346</v>
      </c>
      <c r="C14" s="81">
        <v>48</v>
      </c>
      <c r="D14" s="82">
        <f>IF((I14=0),"",(C14/I14))</f>
        <v>0.31168831168831168</v>
      </c>
      <c r="E14" s="66">
        <v>104</v>
      </c>
      <c r="F14" s="67">
        <f>IF((I14=0),"",(E14/I14))</f>
        <v>0.67532467532467533</v>
      </c>
      <c r="G14" s="15">
        <v>2</v>
      </c>
      <c r="H14" s="17">
        <f>IF((I14=0),"",(G14/I14))</f>
        <v>1.2987012987012988E-2</v>
      </c>
      <c r="I14" s="15">
        <f>SUM(C14,E14,G14)</f>
        <v>154</v>
      </c>
      <c r="J14" s="17">
        <f>IF((B14=0),"",(I14/B14))</f>
        <v>0.44508670520231214</v>
      </c>
      <c r="K14" s="29">
        <f>B14-I14</f>
        <v>192</v>
      </c>
      <c r="L14" s="17">
        <f>IF((B14=0),"",(K14/B14))</f>
        <v>0.55491329479768781</v>
      </c>
      <c r="M14" s="1"/>
      <c r="N14" s="1"/>
      <c r="O14" s="1"/>
      <c r="P14" s="1"/>
      <c r="Q14" s="1"/>
      <c r="R14" s="1"/>
      <c r="S14" s="1"/>
      <c r="T14" s="1"/>
      <c r="U14" s="1"/>
      <c r="V14" s="1"/>
      <c r="W14" s="1"/>
      <c r="X14" s="1"/>
      <c r="Y14" s="1"/>
      <c r="Z14" s="1"/>
    </row>
    <row r="15" spans="1:26" ht="12" customHeight="1" x14ac:dyDescent="0.2">
      <c r="A15" s="12" t="s">
        <v>120</v>
      </c>
      <c r="B15" s="12">
        <f>SUM(B13:B14)</f>
        <v>698</v>
      </c>
      <c r="C15" s="78">
        <f>SUM(C13:C14)</f>
        <v>111</v>
      </c>
      <c r="D15" s="79">
        <f>IF((I15=0),"",(C15/I15))</f>
        <v>0.32937685459940652</v>
      </c>
      <c r="E15" s="63">
        <f>SUM(E13:E14)</f>
        <v>214</v>
      </c>
      <c r="F15" s="64">
        <f>IF((I15=0),"",(E15/I15))</f>
        <v>0.63501483679525228</v>
      </c>
      <c r="G15" s="12">
        <f>SUM(G13:G14)</f>
        <v>12</v>
      </c>
      <c r="H15" s="13">
        <f>IF((I15=0),"",(G15/I15))</f>
        <v>3.5608308605341248E-2</v>
      </c>
      <c r="I15" s="12">
        <f>SUM(C15,E15,G15)</f>
        <v>337</v>
      </c>
      <c r="J15" s="13">
        <f>IF((B15=0),"",(I15/B15))</f>
        <v>0.48280802292263608</v>
      </c>
      <c r="K15" s="12">
        <f>SUM(K13:K14)</f>
        <v>361</v>
      </c>
      <c r="L15" s="13">
        <f>IF((B15=0),"",(K15/B15))</f>
        <v>0.51719197707736386</v>
      </c>
      <c r="M15" s="1"/>
      <c r="N15" s="1"/>
      <c r="O15" s="1"/>
      <c r="P15" s="1"/>
      <c r="Q15" s="1"/>
      <c r="R15" s="1"/>
      <c r="S15" s="1"/>
      <c r="T15" s="1"/>
      <c r="U15" s="1"/>
      <c r="V15" s="1"/>
      <c r="W15" s="1"/>
      <c r="X15" s="1"/>
      <c r="Y15" s="1"/>
      <c r="Z15" s="1"/>
    </row>
    <row r="16" spans="1:26" s="41" customFormat="1" ht="12" customHeight="1" x14ac:dyDescent="0.2">
      <c r="A16" s="32" t="s">
        <v>542</v>
      </c>
      <c r="B16" s="32">
        <v>8</v>
      </c>
      <c r="C16" s="78"/>
      <c r="D16" s="79"/>
      <c r="E16" s="63"/>
      <c r="F16" s="64"/>
      <c r="G16" s="32"/>
      <c r="H16" s="28"/>
      <c r="I16" s="32"/>
      <c r="J16" s="28"/>
      <c r="K16" s="32"/>
      <c r="L16" s="28"/>
      <c r="M16" s="1"/>
      <c r="N16" s="1"/>
      <c r="O16" s="1"/>
      <c r="P16" s="1"/>
      <c r="Q16" s="1"/>
      <c r="R16" s="1"/>
      <c r="S16" s="1"/>
      <c r="T16" s="1"/>
      <c r="U16" s="1"/>
      <c r="V16" s="1"/>
      <c r="W16" s="1"/>
      <c r="X16" s="1"/>
      <c r="Y16" s="1"/>
      <c r="Z16" s="1"/>
    </row>
    <row r="17" spans="1:26" ht="12" customHeight="1" x14ac:dyDescent="0.2">
      <c r="A17" s="14" t="s">
        <v>157</v>
      </c>
      <c r="B17" s="32" t="s">
        <v>395</v>
      </c>
      <c r="C17" s="86"/>
      <c r="D17" s="86"/>
      <c r="E17" s="90"/>
      <c r="F17" s="90"/>
      <c r="G17" s="16"/>
      <c r="H17" s="16"/>
      <c r="I17" s="16"/>
      <c r="J17" s="16"/>
      <c r="K17" s="16"/>
      <c r="L17" s="16"/>
      <c r="M17" s="1"/>
      <c r="N17" s="1"/>
      <c r="O17" s="1"/>
      <c r="P17" s="1"/>
      <c r="Q17" s="1"/>
      <c r="R17" s="1"/>
      <c r="S17" s="1"/>
      <c r="T17" s="1"/>
      <c r="U17" s="1"/>
      <c r="V17" s="1"/>
      <c r="W17" s="1"/>
      <c r="X17" s="1"/>
      <c r="Y17" s="1"/>
      <c r="Z17" s="1"/>
    </row>
    <row r="18" spans="1:26" ht="12" customHeight="1" x14ac:dyDescent="0.2">
      <c r="A18" s="15" t="s">
        <v>111</v>
      </c>
      <c r="B18" s="15">
        <v>404</v>
      </c>
      <c r="C18" s="81">
        <v>52</v>
      </c>
      <c r="D18" s="82">
        <f>IF((I18=0),"",(C18/I18))</f>
        <v>0.2139917695473251</v>
      </c>
      <c r="E18" s="66">
        <v>173</v>
      </c>
      <c r="F18" s="67">
        <f>IF((I18=0),"",(E18/I18))</f>
        <v>0.7119341563786008</v>
      </c>
      <c r="G18" s="15">
        <v>18</v>
      </c>
      <c r="H18" s="17">
        <f>IF((I18=0),"",(G18/I18))</f>
        <v>7.407407407407407E-2</v>
      </c>
      <c r="I18" s="15">
        <f>SUM(C18,E18,G18)</f>
        <v>243</v>
      </c>
      <c r="J18" s="17">
        <f>IF((B18=0),"",(I18/B18))</f>
        <v>0.60148514851485146</v>
      </c>
      <c r="K18" s="29">
        <f>B18-I18</f>
        <v>161</v>
      </c>
      <c r="L18" s="17">
        <f>IF((B18=0),"",(K18/B18))</f>
        <v>0.39851485148514854</v>
      </c>
      <c r="M18" s="1"/>
      <c r="N18" s="1"/>
      <c r="O18" s="1"/>
      <c r="P18" s="1"/>
      <c r="Q18" s="1"/>
      <c r="R18" s="1"/>
      <c r="S18" s="1"/>
      <c r="T18" s="1"/>
      <c r="U18" s="1"/>
      <c r="V18" s="1"/>
      <c r="W18" s="1"/>
      <c r="X18" s="1"/>
      <c r="Y18" s="1"/>
      <c r="Z18" s="1"/>
    </row>
    <row r="19" spans="1:26" ht="12" customHeight="1" x14ac:dyDescent="0.2">
      <c r="A19" s="15" t="s">
        <v>131</v>
      </c>
      <c r="B19" s="15">
        <v>430</v>
      </c>
      <c r="C19" s="81">
        <v>48</v>
      </c>
      <c r="D19" s="82">
        <f>IF((I19=0),"",(C19/I19))</f>
        <v>0.192</v>
      </c>
      <c r="E19" s="66">
        <v>188</v>
      </c>
      <c r="F19" s="67">
        <f>IF((I19=0),"",(E19/I19))</f>
        <v>0.752</v>
      </c>
      <c r="G19" s="15">
        <v>14</v>
      </c>
      <c r="H19" s="17">
        <f>IF((I19=0),"",(G19/I19))</f>
        <v>5.6000000000000001E-2</v>
      </c>
      <c r="I19" s="15">
        <f>SUM(C19,E19,G19)</f>
        <v>250</v>
      </c>
      <c r="J19" s="17">
        <f>IF((B19=0),"",(I19/B19))</f>
        <v>0.58139534883720934</v>
      </c>
      <c r="K19" s="29">
        <f>B19-I19</f>
        <v>180</v>
      </c>
      <c r="L19" s="17">
        <f>IF((B19=0),"",(K19/B19))</f>
        <v>0.41860465116279072</v>
      </c>
      <c r="M19" s="1"/>
      <c r="N19" s="1"/>
      <c r="O19" s="1"/>
      <c r="P19" s="1"/>
      <c r="Q19" s="1"/>
      <c r="R19" s="1"/>
      <c r="S19" s="1"/>
      <c r="T19" s="1"/>
      <c r="U19" s="1"/>
      <c r="V19" s="1"/>
      <c r="W19" s="1"/>
      <c r="X19" s="1"/>
      <c r="Y19" s="1"/>
      <c r="Z19" s="1"/>
    </row>
    <row r="20" spans="1:26" ht="12" customHeight="1" x14ac:dyDescent="0.2">
      <c r="A20" s="15" t="s">
        <v>222</v>
      </c>
      <c r="B20" s="15">
        <v>240</v>
      </c>
      <c r="C20" s="81">
        <v>32</v>
      </c>
      <c r="D20" s="82">
        <f>IF((I20=0),"",(C20/I20))</f>
        <v>0.24060150375939848</v>
      </c>
      <c r="E20" s="66">
        <v>93</v>
      </c>
      <c r="F20" s="67">
        <f>IF((I20=0),"",(E20/I20))</f>
        <v>0.6992481203007519</v>
      </c>
      <c r="G20" s="15">
        <v>8</v>
      </c>
      <c r="H20" s="17">
        <f>IF((I20=0),"",(G20/I20))</f>
        <v>6.0150375939849621E-2</v>
      </c>
      <c r="I20" s="15">
        <f>SUM(C20,E20,G20)</f>
        <v>133</v>
      </c>
      <c r="J20" s="17">
        <f>IF((B20=0),"",(I20/B20))</f>
        <v>0.5541666666666667</v>
      </c>
      <c r="K20" s="29">
        <f>B20-I20</f>
        <v>107</v>
      </c>
      <c r="L20" s="17">
        <f>IF((B20=0),"",(K20/B20))</f>
        <v>0.44583333333333336</v>
      </c>
      <c r="M20" s="1"/>
      <c r="N20" s="1"/>
      <c r="O20" s="1"/>
      <c r="P20" s="1"/>
      <c r="Q20" s="1"/>
      <c r="R20" s="1"/>
      <c r="S20" s="1"/>
      <c r="T20" s="1"/>
      <c r="U20" s="1"/>
      <c r="V20" s="1"/>
      <c r="W20" s="1"/>
      <c r="X20" s="1"/>
      <c r="Y20" s="1"/>
      <c r="Z20" s="1"/>
    </row>
    <row r="21" spans="1:26" ht="12" customHeight="1" x14ac:dyDescent="0.2">
      <c r="A21" s="15" t="s">
        <v>115</v>
      </c>
      <c r="B21" s="15">
        <v>353</v>
      </c>
      <c r="C21" s="81">
        <v>44</v>
      </c>
      <c r="D21" s="82">
        <f>IF((I21=0),"",(C21/I21))</f>
        <v>0.2233502538071066</v>
      </c>
      <c r="E21" s="66">
        <v>129</v>
      </c>
      <c r="F21" s="67">
        <f>IF((I21=0),"",(E21/I21))</f>
        <v>0.65482233502538068</v>
      </c>
      <c r="G21" s="15">
        <v>24</v>
      </c>
      <c r="H21" s="17">
        <f>IF((I21=0),"",(G21/I21))</f>
        <v>0.12182741116751269</v>
      </c>
      <c r="I21" s="15">
        <f>SUM(C21,E21,G21)</f>
        <v>197</v>
      </c>
      <c r="J21" s="17">
        <f>IF((B21=0),"",(I21/B21))</f>
        <v>0.55807365439093481</v>
      </c>
      <c r="K21" s="29">
        <f>B21-I21</f>
        <v>156</v>
      </c>
      <c r="L21" s="17">
        <f>IF((B21=0),"",(K21/B21))</f>
        <v>0.44192634560906513</v>
      </c>
      <c r="M21" s="1"/>
      <c r="N21" s="1"/>
      <c r="O21" s="1"/>
      <c r="P21" s="1"/>
      <c r="Q21" s="1"/>
      <c r="R21" s="1"/>
      <c r="S21" s="1"/>
      <c r="T21" s="1"/>
      <c r="U21" s="1"/>
      <c r="V21" s="1"/>
      <c r="W21" s="1"/>
      <c r="X21" s="1"/>
      <c r="Y21" s="1"/>
      <c r="Z21" s="1"/>
    </row>
    <row r="22" spans="1:26" ht="12" customHeight="1" x14ac:dyDescent="0.2">
      <c r="A22" s="12" t="s">
        <v>120</v>
      </c>
      <c r="B22" s="12">
        <f>SUM(B18:B21)</f>
        <v>1427</v>
      </c>
      <c r="C22" s="78">
        <f>SUM(C18:C21)</f>
        <v>176</v>
      </c>
      <c r="D22" s="79">
        <f>IF((I22=0),"",(C22/I22))</f>
        <v>0.21385176184690158</v>
      </c>
      <c r="E22" s="63">
        <f>SUM(E18:E21)</f>
        <v>583</v>
      </c>
      <c r="F22" s="64">
        <f>IF((I22=0),"",(E22/I22))</f>
        <v>0.7083839611178615</v>
      </c>
      <c r="G22" s="12">
        <f>SUM(G18:G21)</f>
        <v>64</v>
      </c>
      <c r="H22" s="13">
        <f>IF((I22=0),"",(G22/I22))</f>
        <v>7.7764277035236931E-2</v>
      </c>
      <c r="I22" s="12">
        <f>SUM(C22,E22,G22)</f>
        <v>823</v>
      </c>
      <c r="J22" s="13">
        <f>IF((B22=0),"",(I22/B22))</f>
        <v>0.5767344078486335</v>
      </c>
      <c r="K22" s="12">
        <f>SUM(K18:K21)</f>
        <v>604</v>
      </c>
      <c r="L22" s="13">
        <f>IF((B22=0),"",(K22/B22))</f>
        <v>0.4232655921513665</v>
      </c>
      <c r="M22" s="1"/>
      <c r="N22" s="1"/>
      <c r="O22" s="1"/>
      <c r="P22" s="1"/>
      <c r="Q22" s="1"/>
      <c r="R22" s="1"/>
      <c r="S22" s="1"/>
      <c r="T22" s="1"/>
      <c r="U22" s="1"/>
      <c r="V22" s="1"/>
      <c r="W22" s="1"/>
      <c r="X22" s="1"/>
      <c r="Y22" s="1"/>
      <c r="Z22" s="1"/>
    </row>
    <row r="23" spans="1:26" ht="12" customHeight="1" x14ac:dyDescent="0.2">
      <c r="A23" s="14" t="s">
        <v>158</v>
      </c>
      <c r="B23" s="32" t="s">
        <v>396</v>
      </c>
      <c r="C23" s="86"/>
      <c r="D23" s="86"/>
      <c r="E23" s="90"/>
      <c r="F23" s="90"/>
      <c r="G23" s="16"/>
      <c r="H23" s="16"/>
      <c r="I23" s="16"/>
      <c r="J23" s="16"/>
      <c r="K23" s="16"/>
      <c r="L23" s="16"/>
      <c r="M23" s="1"/>
      <c r="N23" s="1"/>
      <c r="O23" s="1"/>
      <c r="P23" s="1"/>
      <c r="Q23" s="1"/>
      <c r="R23" s="1"/>
      <c r="S23" s="1"/>
      <c r="T23" s="1"/>
      <c r="U23" s="1"/>
      <c r="V23" s="1"/>
      <c r="W23" s="1"/>
      <c r="X23" s="1"/>
      <c r="Y23" s="1"/>
      <c r="Z23" s="1"/>
    </row>
    <row r="24" spans="1:26" ht="12" customHeight="1" x14ac:dyDescent="0.2">
      <c r="A24" s="15" t="s">
        <v>139</v>
      </c>
      <c r="B24" s="15">
        <v>284</v>
      </c>
      <c r="C24" s="81">
        <v>46</v>
      </c>
      <c r="D24" s="82">
        <f>IF((I24=0),"",(C24/I24))</f>
        <v>0.2929936305732484</v>
      </c>
      <c r="E24" s="66">
        <v>109</v>
      </c>
      <c r="F24" s="67">
        <f>IF((I24=0),"",(E24/I24))</f>
        <v>0.69426751592356684</v>
      </c>
      <c r="G24" s="15">
        <v>2</v>
      </c>
      <c r="H24" s="17">
        <f>IF((I24=0),"",(G24/I24))</f>
        <v>1.2738853503184714E-2</v>
      </c>
      <c r="I24" s="15">
        <f>SUM(C24,E24,G24)</f>
        <v>157</v>
      </c>
      <c r="J24" s="17">
        <f>IF((B24=0),"",(I24/B24))</f>
        <v>0.55281690140845074</v>
      </c>
      <c r="K24" s="29">
        <f>B24-I24</f>
        <v>127</v>
      </c>
      <c r="L24" s="17">
        <f>IF((B24=0),"",(K24/B24))</f>
        <v>0.44718309859154931</v>
      </c>
      <c r="M24" s="1"/>
      <c r="N24" s="1"/>
      <c r="O24" s="1"/>
      <c r="P24" s="1"/>
      <c r="Q24" s="1"/>
      <c r="R24" s="1"/>
      <c r="S24" s="1"/>
      <c r="T24" s="1"/>
      <c r="U24" s="1"/>
      <c r="V24" s="1"/>
      <c r="W24" s="1"/>
      <c r="X24" s="1"/>
      <c r="Y24" s="1"/>
      <c r="Z24" s="1"/>
    </row>
    <row r="25" spans="1:26" ht="12" customHeight="1" x14ac:dyDescent="0.2">
      <c r="A25" s="15" t="s">
        <v>201</v>
      </c>
      <c r="B25" s="15">
        <v>224</v>
      </c>
      <c r="C25" s="81">
        <v>40</v>
      </c>
      <c r="D25" s="82">
        <f>IF((I25=0),"",(C25/I25))</f>
        <v>0.30303030303030304</v>
      </c>
      <c r="E25" s="66">
        <v>92</v>
      </c>
      <c r="F25" s="67">
        <f>IF((I25=0),"",(E25/I25))</f>
        <v>0.69696969696969702</v>
      </c>
      <c r="G25" s="15">
        <v>0</v>
      </c>
      <c r="H25" s="17">
        <f>IF((I25=0),"",(G25/I25))</f>
        <v>0</v>
      </c>
      <c r="I25" s="15">
        <f>SUM(C25,E25,G25)</f>
        <v>132</v>
      </c>
      <c r="J25" s="17">
        <f>IF((B25=0),"",(I25/B25))</f>
        <v>0.5892857142857143</v>
      </c>
      <c r="K25" s="29">
        <f>B25-I25</f>
        <v>92</v>
      </c>
      <c r="L25" s="17">
        <f>IF((B25=0),"",(K25/B25))</f>
        <v>0.4107142857142857</v>
      </c>
      <c r="M25" s="1"/>
      <c r="N25" s="1"/>
      <c r="O25" s="1"/>
      <c r="P25" s="1"/>
      <c r="Q25" s="1"/>
      <c r="R25" s="1"/>
      <c r="S25" s="1"/>
      <c r="T25" s="1"/>
      <c r="U25" s="1"/>
      <c r="V25" s="1"/>
      <c r="W25" s="1"/>
      <c r="X25" s="1"/>
      <c r="Y25" s="1"/>
      <c r="Z25" s="1"/>
    </row>
    <row r="26" spans="1:26" ht="12" customHeight="1" x14ac:dyDescent="0.2">
      <c r="A26" s="15" t="s">
        <v>123</v>
      </c>
      <c r="B26" s="15">
        <v>278</v>
      </c>
      <c r="C26" s="81">
        <v>34</v>
      </c>
      <c r="D26" s="82">
        <f>IF((I26=0),"",(C26/I26))</f>
        <v>0.20987654320987653</v>
      </c>
      <c r="E26" s="66">
        <v>128</v>
      </c>
      <c r="F26" s="67">
        <f>IF((I26=0),"",(E26/I26))</f>
        <v>0.79012345679012341</v>
      </c>
      <c r="G26" s="15">
        <v>0</v>
      </c>
      <c r="H26" s="17">
        <f>IF((I26=0),"",(G26/I26))</f>
        <v>0</v>
      </c>
      <c r="I26" s="15">
        <f>SUM(C26,E26,G26)</f>
        <v>162</v>
      </c>
      <c r="J26" s="17">
        <f>IF((B26=0),"",(I26/B26))</f>
        <v>0.58273381294964033</v>
      </c>
      <c r="K26" s="29">
        <f>B26-I26</f>
        <v>116</v>
      </c>
      <c r="L26" s="17">
        <f>IF((B26=0),"",(K26/B26))</f>
        <v>0.41726618705035973</v>
      </c>
      <c r="M26" s="1"/>
      <c r="N26" s="1"/>
      <c r="O26" s="1"/>
      <c r="P26" s="1"/>
      <c r="Q26" s="1"/>
      <c r="R26" s="1"/>
      <c r="S26" s="1"/>
      <c r="T26" s="1"/>
      <c r="U26" s="1"/>
      <c r="V26" s="1"/>
      <c r="W26" s="1"/>
      <c r="X26" s="1"/>
      <c r="Y26" s="1"/>
      <c r="Z26" s="1"/>
    </row>
    <row r="27" spans="1:26" ht="12" customHeight="1" x14ac:dyDescent="0.2">
      <c r="A27" s="12" t="s">
        <v>120</v>
      </c>
      <c r="B27" s="12">
        <f>SUM(B24:B26)</f>
        <v>786</v>
      </c>
      <c r="C27" s="78">
        <f>SUM(C24:C26)</f>
        <v>120</v>
      </c>
      <c r="D27" s="79">
        <f>IF((I27=0),"",(C27/I27))</f>
        <v>0.26607538802660752</v>
      </c>
      <c r="E27" s="63">
        <f>SUM(E24:E26)</f>
        <v>329</v>
      </c>
      <c r="F27" s="64">
        <f>IF((I27=0),"",(E27/I27))</f>
        <v>0.729490022172949</v>
      </c>
      <c r="G27" s="12">
        <f>SUM(G24:G26)</f>
        <v>2</v>
      </c>
      <c r="H27" s="13">
        <f>IF((I27=0),"",(G27/I27))</f>
        <v>4.434589800443459E-3</v>
      </c>
      <c r="I27" s="12">
        <f>SUM(C27,E27,G27)</f>
        <v>451</v>
      </c>
      <c r="J27" s="13">
        <f>IF((B27=0),"",(I27/B27))</f>
        <v>0.57379134860050895</v>
      </c>
      <c r="K27" s="12">
        <f>SUM(K24:K26)</f>
        <v>335</v>
      </c>
      <c r="L27" s="13">
        <f>IF((B27=0),"",(K27/B27))</f>
        <v>0.4262086513994911</v>
      </c>
      <c r="M27" s="1"/>
      <c r="N27" s="1"/>
      <c r="O27" s="1"/>
      <c r="P27" s="1"/>
      <c r="Q27" s="1"/>
      <c r="R27" s="1"/>
      <c r="S27" s="1"/>
      <c r="T27" s="1"/>
      <c r="U27" s="1"/>
      <c r="V27" s="1"/>
      <c r="W27" s="1"/>
      <c r="X27" s="1"/>
      <c r="Y27" s="1"/>
      <c r="Z27" s="1"/>
    </row>
    <row r="28" spans="1:26" s="41" customFormat="1" ht="12" customHeight="1" x14ac:dyDescent="0.2">
      <c r="A28" s="32" t="s">
        <v>542</v>
      </c>
      <c r="B28" s="32">
        <v>18</v>
      </c>
      <c r="C28" s="78"/>
      <c r="D28" s="79"/>
      <c r="E28" s="63"/>
      <c r="F28" s="64"/>
      <c r="G28" s="32"/>
      <c r="H28" s="28"/>
      <c r="I28" s="32"/>
      <c r="J28" s="28"/>
      <c r="K28" s="32"/>
      <c r="L28" s="28"/>
      <c r="M28" s="1"/>
      <c r="N28" s="1"/>
      <c r="O28" s="1"/>
      <c r="P28" s="1"/>
      <c r="Q28" s="1"/>
      <c r="R28" s="1"/>
      <c r="S28" s="1"/>
      <c r="T28" s="1"/>
      <c r="U28" s="1"/>
      <c r="V28" s="1"/>
      <c r="W28" s="1"/>
      <c r="X28" s="1"/>
      <c r="Y28" s="1"/>
      <c r="Z28" s="1"/>
    </row>
    <row r="29" spans="1:26" ht="12" customHeight="1" x14ac:dyDescent="0.2">
      <c r="A29" s="14" t="s">
        <v>159</v>
      </c>
      <c r="B29" s="32" t="s">
        <v>160</v>
      </c>
      <c r="C29" s="86"/>
      <c r="D29" s="86"/>
      <c r="E29" s="90"/>
      <c r="F29" s="90"/>
      <c r="G29" s="16"/>
      <c r="H29" s="16"/>
      <c r="I29" s="16"/>
      <c r="J29" s="16"/>
      <c r="K29" s="16"/>
      <c r="L29" s="16"/>
      <c r="M29" s="1"/>
      <c r="N29" s="1"/>
      <c r="O29" s="1"/>
      <c r="P29" s="1"/>
      <c r="Q29" s="1"/>
      <c r="R29" s="1"/>
      <c r="S29" s="1"/>
      <c r="T29" s="1"/>
      <c r="U29" s="1"/>
      <c r="V29" s="1"/>
      <c r="W29" s="1"/>
      <c r="X29" s="1"/>
      <c r="Y29" s="1"/>
      <c r="Z29" s="1"/>
    </row>
    <row r="30" spans="1:26" ht="12" customHeight="1" x14ac:dyDescent="0.2">
      <c r="A30" s="15" t="s">
        <v>282</v>
      </c>
      <c r="B30" s="15">
        <v>363</v>
      </c>
      <c r="C30" s="81">
        <v>118</v>
      </c>
      <c r="D30" s="82">
        <f>IF((I30=0),"",(C30/I30))</f>
        <v>0.44696969696969696</v>
      </c>
      <c r="E30" s="66">
        <v>135</v>
      </c>
      <c r="F30" s="67">
        <f>IF((I30=0),"",(E30/I30))</f>
        <v>0.51136363636363635</v>
      </c>
      <c r="G30" s="15">
        <v>11</v>
      </c>
      <c r="H30" s="17">
        <f>IF((I30=0),"",(G30/I30))</f>
        <v>4.1666666666666664E-2</v>
      </c>
      <c r="I30" s="15">
        <f>SUM(C30,E30,G30)</f>
        <v>264</v>
      </c>
      <c r="J30" s="17">
        <f>IF((B30=0),"",(I30/B30))</f>
        <v>0.72727272727272729</v>
      </c>
      <c r="K30" s="29">
        <f>B30-I30</f>
        <v>99</v>
      </c>
      <c r="L30" s="17">
        <f>IF((B30=0),"",(K30/B30))</f>
        <v>0.27272727272727271</v>
      </c>
      <c r="M30" s="1"/>
      <c r="N30" s="1"/>
      <c r="O30" s="1"/>
      <c r="P30" s="1"/>
      <c r="Q30" s="1"/>
      <c r="R30" s="1"/>
      <c r="S30" s="1"/>
      <c r="T30" s="1"/>
      <c r="U30" s="1"/>
      <c r="V30" s="1"/>
      <c r="W30" s="1"/>
      <c r="X30" s="1"/>
      <c r="Y30" s="1"/>
      <c r="Z30" s="1"/>
    </row>
    <row r="31" spans="1:26" ht="12" customHeight="1" x14ac:dyDescent="0.2">
      <c r="A31" s="15" t="s">
        <v>252</v>
      </c>
      <c r="B31" s="15">
        <v>276</v>
      </c>
      <c r="C31" s="81">
        <v>79</v>
      </c>
      <c r="D31" s="82">
        <f>IF((I31=0),"",(C31/I31))</f>
        <v>0.43406593406593408</v>
      </c>
      <c r="E31" s="66">
        <v>88</v>
      </c>
      <c r="F31" s="67">
        <f>IF((I31=0),"",(E31/I31))</f>
        <v>0.48351648351648352</v>
      </c>
      <c r="G31" s="15">
        <v>15</v>
      </c>
      <c r="H31" s="17">
        <f>IF((I31=0),"",(G31/I31))</f>
        <v>8.2417582417582416E-2</v>
      </c>
      <c r="I31" s="15">
        <f>SUM(C31,E31,G31)</f>
        <v>182</v>
      </c>
      <c r="J31" s="17">
        <f>IF((B31=0),"",(I31/B31))</f>
        <v>0.65942028985507251</v>
      </c>
      <c r="K31" s="29">
        <f>B31-I31</f>
        <v>94</v>
      </c>
      <c r="L31" s="17">
        <f>IF((B31=0),"",(K31/B31))</f>
        <v>0.34057971014492755</v>
      </c>
      <c r="M31" s="1"/>
      <c r="N31" s="1"/>
      <c r="O31" s="1"/>
      <c r="P31" s="1"/>
      <c r="Q31" s="1"/>
      <c r="R31" s="1"/>
      <c r="S31" s="1"/>
      <c r="T31" s="1"/>
      <c r="U31" s="1"/>
      <c r="V31" s="1"/>
      <c r="W31" s="1"/>
      <c r="X31" s="1"/>
      <c r="Y31" s="1"/>
      <c r="Z31" s="1"/>
    </row>
    <row r="32" spans="1:26" ht="12" customHeight="1" x14ac:dyDescent="0.2">
      <c r="A32" s="12" t="s">
        <v>120</v>
      </c>
      <c r="B32" s="12">
        <f>SUM(B30:B31)</f>
        <v>639</v>
      </c>
      <c r="C32" s="78">
        <f>SUM(C30:C31)</f>
        <v>197</v>
      </c>
      <c r="D32" s="79">
        <f>IF((I32=0),"",(C32/I32))</f>
        <v>0.44170403587443946</v>
      </c>
      <c r="E32" s="63">
        <f>SUM(E30:E31)</f>
        <v>223</v>
      </c>
      <c r="F32" s="64">
        <f>IF((I32=0),"",(E32/I32))</f>
        <v>0.5</v>
      </c>
      <c r="G32" s="12">
        <f>SUM(G30:G31)</f>
        <v>26</v>
      </c>
      <c r="H32" s="13">
        <f>IF((I32=0),"",(G32/I32))</f>
        <v>5.829596412556054E-2</v>
      </c>
      <c r="I32" s="12">
        <f>SUM(C32,E32,G32)</f>
        <v>446</v>
      </c>
      <c r="J32" s="13">
        <f>IF((B32=0),"",(I32/B32))</f>
        <v>0.6979655712050078</v>
      </c>
      <c r="K32" s="12">
        <f>SUM(K30:K31)</f>
        <v>193</v>
      </c>
      <c r="L32" s="13">
        <f>IF((B32=0),"",(K32/B32))</f>
        <v>0.30203442879499215</v>
      </c>
      <c r="M32" s="1"/>
      <c r="N32" s="1"/>
      <c r="O32" s="1"/>
      <c r="P32" s="1"/>
      <c r="Q32" s="1"/>
      <c r="R32" s="1"/>
      <c r="S32" s="1"/>
      <c r="T32" s="1"/>
      <c r="U32" s="1"/>
      <c r="V32" s="1"/>
      <c r="W32" s="1"/>
      <c r="X32" s="1"/>
      <c r="Y32" s="1"/>
      <c r="Z32" s="1"/>
    </row>
    <row r="33" spans="1:26" s="41" customFormat="1" ht="12" customHeight="1" x14ac:dyDescent="0.2">
      <c r="A33" s="32" t="s">
        <v>542</v>
      </c>
      <c r="B33" s="32">
        <v>14</v>
      </c>
      <c r="C33" s="78"/>
      <c r="D33" s="79"/>
      <c r="E33" s="63"/>
      <c r="F33" s="64"/>
      <c r="G33" s="32"/>
      <c r="H33" s="28"/>
      <c r="I33" s="32"/>
      <c r="J33" s="28"/>
      <c r="K33" s="32"/>
      <c r="L33" s="28"/>
      <c r="M33" s="1"/>
      <c r="N33" s="1"/>
      <c r="O33" s="1"/>
      <c r="P33" s="1"/>
      <c r="Q33" s="1"/>
      <c r="R33" s="1"/>
      <c r="S33" s="1"/>
      <c r="T33" s="1"/>
      <c r="U33" s="1"/>
      <c r="V33" s="1"/>
      <c r="W33" s="1"/>
      <c r="X33" s="1"/>
      <c r="Y33" s="1"/>
      <c r="Z33" s="1"/>
    </row>
    <row r="34" spans="1:26" ht="12" customHeight="1" x14ac:dyDescent="0.2">
      <c r="A34" s="14" t="s">
        <v>163</v>
      </c>
      <c r="B34" s="32" t="s">
        <v>164</v>
      </c>
      <c r="C34" s="86"/>
      <c r="D34" s="86"/>
      <c r="E34" s="90"/>
      <c r="F34" s="90"/>
      <c r="G34" s="16"/>
      <c r="H34" s="16"/>
      <c r="I34" s="16"/>
      <c r="J34" s="16"/>
      <c r="K34" s="16"/>
      <c r="L34" s="16"/>
      <c r="M34" s="1"/>
      <c r="N34" s="1"/>
      <c r="O34" s="1"/>
      <c r="P34" s="1"/>
      <c r="Q34" s="1"/>
      <c r="R34" s="1"/>
      <c r="S34" s="1"/>
      <c r="T34" s="1"/>
      <c r="U34" s="1"/>
      <c r="V34" s="1"/>
      <c r="W34" s="1"/>
      <c r="X34" s="1"/>
      <c r="Y34" s="1"/>
      <c r="Z34" s="1"/>
    </row>
    <row r="35" spans="1:26" ht="12" customHeight="1" x14ac:dyDescent="0.2">
      <c r="A35" s="12" t="s">
        <v>128</v>
      </c>
      <c r="B35" s="12">
        <v>231</v>
      </c>
      <c r="C35" s="78">
        <v>66</v>
      </c>
      <c r="D35" s="79">
        <f>IF((I35=0),"",(C35/I35))</f>
        <v>0.40740740740740738</v>
      </c>
      <c r="E35" s="63">
        <v>77</v>
      </c>
      <c r="F35" s="64">
        <f>IF((I35=0),"",(E35/I35))</f>
        <v>0.47530864197530864</v>
      </c>
      <c r="G35" s="12">
        <v>19</v>
      </c>
      <c r="H35" s="13">
        <f>IF((I35=0),"",(G35/I35))</f>
        <v>0.11728395061728394</v>
      </c>
      <c r="I35" s="12">
        <f>SUM(C35,E35,G35)</f>
        <v>162</v>
      </c>
      <c r="J35" s="13">
        <f>IF((B35=0),"",(I35/B35))</f>
        <v>0.70129870129870131</v>
      </c>
      <c r="K35" s="12">
        <f>B35-I35</f>
        <v>69</v>
      </c>
      <c r="L35" s="13">
        <f>IF((B35=0),"",(K35/B35))</f>
        <v>0.29870129870129869</v>
      </c>
      <c r="M35" s="1"/>
      <c r="N35" s="1"/>
      <c r="O35" s="1"/>
      <c r="P35" s="1"/>
      <c r="Q35" s="1"/>
      <c r="R35" s="1"/>
      <c r="S35" s="1"/>
      <c r="T35" s="1"/>
      <c r="U35" s="1"/>
      <c r="V35" s="1"/>
      <c r="W35" s="1"/>
      <c r="X35" s="1"/>
      <c r="Y35" s="1"/>
      <c r="Z35" s="1"/>
    </row>
    <row r="36" spans="1:26" ht="12" customHeight="1" x14ac:dyDescent="0.2">
      <c r="A36" s="14" t="s">
        <v>165</v>
      </c>
      <c r="B36" s="32" t="s">
        <v>166</v>
      </c>
      <c r="C36" s="86"/>
      <c r="D36" s="86"/>
      <c r="E36" s="90"/>
      <c r="F36" s="90"/>
      <c r="G36" s="16"/>
      <c r="H36" s="16"/>
      <c r="I36" s="16"/>
      <c r="J36" s="16"/>
      <c r="K36" s="16"/>
      <c r="L36" s="16"/>
      <c r="M36" s="1"/>
      <c r="N36" s="1"/>
      <c r="O36" s="1"/>
      <c r="P36" s="1"/>
      <c r="Q36" s="1"/>
      <c r="R36" s="1"/>
      <c r="S36" s="1"/>
      <c r="T36" s="1"/>
      <c r="U36" s="1"/>
      <c r="V36" s="1"/>
      <c r="W36" s="1"/>
      <c r="X36" s="1"/>
      <c r="Y36" s="1"/>
      <c r="Z36" s="1"/>
    </row>
    <row r="37" spans="1:26" ht="12" customHeight="1" x14ac:dyDescent="0.2">
      <c r="A37" s="15" t="s">
        <v>136</v>
      </c>
      <c r="B37" s="15">
        <v>413</v>
      </c>
      <c r="C37" s="81">
        <v>138</v>
      </c>
      <c r="D37" s="82">
        <f t="shared" ref="D37:D42" si="0">IF((I37=0),"",(C37/I37))</f>
        <v>0.58723404255319145</v>
      </c>
      <c r="E37" s="66">
        <v>94</v>
      </c>
      <c r="F37" s="67">
        <f t="shared" ref="F37:F42" si="1">IF((I37=0),"",(E37/I37))</f>
        <v>0.4</v>
      </c>
      <c r="G37" s="15">
        <v>3</v>
      </c>
      <c r="H37" s="17">
        <f t="shared" ref="H37:H42" si="2">IF((I37=0),"",(G37/I37))</f>
        <v>1.276595744680851E-2</v>
      </c>
      <c r="I37" s="15">
        <f t="shared" ref="I37:I42" si="3">SUM(C37,E37,G37)</f>
        <v>235</v>
      </c>
      <c r="J37" s="17">
        <f t="shared" ref="J37:J42" si="4">IF((B37=0),"",(I37/B37))</f>
        <v>0.56900726392251821</v>
      </c>
      <c r="K37" s="29">
        <f>B37-I37</f>
        <v>178</v>
      </c>
      <c r="L37" s="17">
        <f t="shared" ref="L37:L42" si="5">IF((B37=0),"",(K37/B37))</f>
        <v>0.43099273607748184</v>
      </c>
      <c r="M37" s="1"/>
      <c r="N37" s="1"/>
      <c r="O37" s="1"/>
      <c r="P37" s="1"/>
      <c r="Q37" s="1"/>
      <c r="R37" s="1"/>
      <c r="S37" s="1"/>
      <c r="T37" s="1"/>
      <c r="U37" s="1"/>
      <c r="V37" s="1"/>
      <c r="W37" s="1"/>
      <c r="X37" s="1"/>
      <c r="Y37" s="1"/>
      <c r="Z37" s="1"/>
    </row>
    <row r="38" spans="1:26" ht="12" customHeight="1" x14ac:dyDescent="0.2">
      <c r="A38" s="15" t="s">
        <v>137</v>
      </c>
      <c r="B38" s="15">
        <v>372</v>
      </c>
      <c r="C38" s="81">
        <v>136</v>
      </c>
      <c r="D38" s="82">
        <f t="shared" si="0"/>
        <v>0.63551401869158874</v>
      </c>
      <c r="E38" s="66">
        <v>76</v>
      </c>
      <c r="F38" s="67">
        <f t="shared" si="1"/>
        <v>0.35514018691588783</v>
      </c>
      <c r="G38" s="15">
        <v>2</v>
      </c>
      <c r="H38" s="17">
        <f t="shared" si="2"/>
        <v>9.3457943925233638E-3</v>
      </c>
      <c r="I38" s="15">
        <f t="shared" si="3"/>
        <v>214</v>
      </c>
      <c r="J38" s="17">
        <f t="shared" si="4"/>
        <v>0.57526881720430112</v>
      </c>
      <c r="K38" s="29">
        <f>B38-I38</f>
        <v>158</v>
      </c>
      <c r="L38" s="17">
        <f t="shared" si="5"/>
        <v>0.42473118279569894</v>
      </c>
      <c r="M38" s="1"/>
      <c r="N38" s="1"/>
      <c r="O38" s="1"/>
      <c r="P38" s="1"/>
      <c r="Q38" s="1"/>
      <c r="R38" s="1"/>
      <c r="S38" s="1"/>
      <c r="T38" s="1"/>
      <c r="U38" s="1"/>
      <c r="V38" s="1"/>
      <c r="W38" s="1"/>
      <c r="X38" s="1"/>
      <c r="Y38" s="1"/>
      <c r="Z38" s="1"/>
    </row>
    <row r="39" spans="1:26" ht="12" customHeight="1" x14ac:dyDescent="0.2">
      <c r="A39" s="15" t="s">
        <v>138</v>
      </c>
      <c r="B39" s="15">
        <v>405</v>
      </c>
      <c r="C39" s="81">
        <v>142</v>
      </c>
      <c r="D39" s="82">
        <f t="shared" si="0"/>
        <v>0.58921161825726143</v>
      </c>
      <c r="E39" s="66">
        <v>96</v>
      </c>
      <c r="F39" s="67">
        <f t="shared" si="1"/>
        <v>0.39834024896265557</v>
      </c>
      <c r="G39" s="15">
        <v>3</v>
      </c>
      <c r="H39" s="17">
        <f t="shared" si="2"/>
        <v>1.2448132780082987E-2</v>
      </c>
      <c r="I39" s="15">
        <f t="shared" si="3"/>
        <v>241</v>
      </c>
      <c r="J39" s="17">
        <f t="shared" si="4"/>
        <v>0.59506172839506177</v>
      </c>
      <c r="K39" s="29">
        <f>B39-I39</f>
        <v>164</v>
      </c>
      <c r="L39" s="17">
        <f t="shared" si="5"/>
        <v>0.40493827160493828</v>
      </c>
      <c r="M39" s="1"/>
      <c r="N39" s="1"/>
      <c r="O39" s="1"/>
      <c r="P39" s="1"/>
      <c r="Q39" s="1"/>
      <c r="R39" s="1"/>
      <c r="S39" s="1"/>
      <c r="T39" s="1"/>
      <c r="U39" s="1"/>
      <c r="V39" s="1"/>
      <c r="W39" s="1"/>
      <c r="X39" s="1"/>
      <c r="Y39" s="1"/>
      <c r="Z39" s="1"/>
    </row>
    <row r="40" spans="1:26" ht="12" customHeight="1" x14ac:dyDescent="0.2">
      <c r="A40" s="15" t="s">
        <v>139</v>
      </c>
      <c r="B40" s="15">
        <v>334</v>
      </c>
      <c r="C40" s="81">
        <v>111</v>
      </c>
      <c r="D40" s="82">
        <f t="shared" si="0"/>
        <v>0.53883495145631066</v>
      </c>
      <c r="E40" s="66">
        <v>88</v>
      </c>
      <c r="F40" s="67">
        <f t="shared" si="1"/>
        <v>0.42718446601941745</v>
      </c>
      <c r="G40" s="15">
        <v>7</v>
      </c>
      <c r="H40" s="17">
        <f t="shared" si="2"/>
        <v>3.3980582524271843E-2</v>
      </c>
      <c r="I40" s="15">
        <f t="shared" si="3"/>
        <v>206</v>
      </c>
      <c r="J40" s="17">
        <f t="shared" si="4"/>
        <v>0.61676646706586824</v>
      </c>
      <c r="K40" s="29">
        <f>B40-I40</f>
        <v>128</v>
      </c>
      <c r="L40" s="17">
        <f t="shared" si="5"/>
        <v>0.38323353293413176</v>
      </c>
      <c r="M40" s="1"/>
      <c r="N40" s="1"/>
      <c r="O40" s="1"/>
      <c r="P40" s="1"/>
      <c r="Q40" s="1"/>
      <c r="R40" s="1"/>
      <c r="S40" s="1"/>
      <c r="T40" s="1"/>
      <c r="U40" s="1"/>
      <c r="V40" s="1"/>
      <c r="W40" s="1"/>
      <c r="X40" s="1"/>
      <c r="Y40" s="1"/>
      <c r="Z40" s="1"/>
    </row>
    <row r="41" spans="1:26" ht="12" customHeight="1" x14ac:dyDescent="0.2">
      <c r="A41" s="15" t="s">
        <v>134</v>
      </c>
      <c r="B41" s="15">
        <v>466</v>
      </c>
      <c r="C41" s="81">
        <v>160</v>
      </c>
      <c r="D41" s="82">
        <f t="shared" si="0"/>
        <v>0.57347670250896055</v>
      </c>
      <c r="E41" s="66">
        <v>116</v>
      </c>
      <c r="F41" s="67">
        <f t="shared" si="1"/>
        <v>0.4157706093189964</v>
      </c>
      <c r="G41" s="15">
        <v>3</v>
      </c>
      <c r="H41" s="17">
        <f t="shared" si="2"/>
        <v>1.0752688172043012E-2</v>
      </c>
      <c r="I41" s="15">
        <f t="shared" si="3"/>
        <v>279</v>
      </c>
      <c r="J41" s="17">
        <f t="shared" si="4"/>
        <v>0.59871244635193133</v>
      </c>
      <c r="K41" s="29">
        <f>B41-I41</f>
        <v>187</v>
      </c>
      <c r="L41" s="17">
        <f t="shared" si="5"/>
        <v>0.40128755364806867</v>
      </c>
      <c r="M41" s="1"/>
      <c r="N41" s="1"/>
      <c r="O41" s="1"/>
      <c r="P41" s="1"/>
      <c r="Q41" s="1"/>
      <c r="R41" s="1"/>
      <c r="S41" s="1"/>
      <c r="T41" s="1"/>
      <c r="U41" s="1"/>
      <c r="V41" s="1"/>
      <c r="W41" s="1"/>
      <c r="X41" s="1"/>
      <c r="Y41" s="1"/>
      <c r="Z41" s="1"/>
    </row>
    <row r="42" spans="1:26" ht="12" customHeight="1" x14ac:dyDescent="0.2">
      <c r="A42" s="12" t="s">
        <v>120</v>
      </c>
      <c r="B42" s="12">
        <f>SUM(B37:B41)</f>
        <v>1990</v>
      </c>
      <c r="C42" s="78">
        <f>SUM(C37:C41)</f>
        <v>687</v>
      </c>
      <c r="D42" s="79">
        <f t="shared" si="0"/>
        <v>0.58468085106382983</v>
      </c>
      <c r="E42" s="63">
        <f>SUM(E37:E41)</f>
        <v>470</v>
      </c>
      <c r="F42" s="64">
        <f t="shared" si="1"/>
        <v>0.4</v>
      </c>
      <c r="G42" s="12">
        <f>SUM(G37:G41)</f>
        <v>18</v>
      </c>
      <c r="H42" s="13">
        <f t="shared" si="2"/>
        <v>1.5319148936170212E-2</v>
      </c>
      <c r="I42" s="12">
        <f t="shared" si="3"/>
        <v>1175</v>
      </c>
      <c r="J42" s="13">
        <f t="shared" si="4"/>
        <v>0.59045226130653261</v>
      </c>
      <c r="K42" s="12">
        <f>SUM(K37:K41)</f>
        <v>815</v>
      </c>
      <c r="L42" s="13">
        <f t="shared" si="5"/>
        <v>0.40954773869346733</v>
      </c>
      <c r="M42" s="1"/>
      <c r="N42" s="1"/>
      <c r="O42" s="1"/>
      <c r="P42" s="1"/>
      <c r="Q42" s="1"/>
      <c r="R42" s="1"/>
      <c r="S42" s="1"/>
      <c r="T42" s="1"/>
      <c r="U42" s="1"/>
      <c r="V42" s="1"/>
      <c r="W42" s="1"/>
      <c r="X42" s="1"/>
      <c r="Y42" s="1"/>
      <c r="Z42" s="1"/>
    </row>
    <row r="43" spans="1:26" s="41" customFormat="1" ht="12" customHeight="1" x14ac:dyDescent="0.2">
      <c r="A43" s="32" t="s">
        <v>542</v>
      </c>
      <c r="B43" s="32">
        <v>15</v>
      </c>
      <c r="C43" s="78"/>
      <c r="D43" s="79"/>
      <c r="E43" s="63"/>
      <c r="F43" s="64"/>
      <c r="G43" s="32"/>
      <c r="H43" s="28"/>
      <c r="I43" s="32"/>
      <c r="J43" s="28"/>
      <c r="K43" s="32"/>
      <c r="L43" s="28"/>
      <c r="M43" s="1"/>
      <c r="N43" s="1"/>
      <c r="O43" s="1"/>
      <c r="P43" s="1"/>
      <c r="Q43" s="1"/>
      <c r="R43" s="1"/>
      <c r="S43" s="1"/>
      <c r="T43" s="1"/>
      <c r="U43" s="1"/>
      <c r="V43" s="1"/>
      <c r="W43" s="1"/>
      <c r="X43" s="1"/>
      <c r="Y43" s="1"/>
      <c r="Z43" s="1"/>
    </row>
    <row r="44" spans="1:26" ht="12" customHeight="1" x14ac:dyDescent="0.2">
      <c r="A44" s="14" t="s">
        <v>169</v>
      </c>
      <c r="B44" s="32" t="s">
        <v>170</v>
      </c>
      <c r="C44" s="86"/>
      <c r="D44" s="86"/>
      <c r="E44" s="90"/>
      <c r="F44" s="90"/>
      <c r="G44" s="16"/>
      <c r="H44" s="16"/>
      <c r="I44" s="16"/>
      <c r="J44" s="16"/>
      <c r="K44" s="16"/>
      <c r="L44" s="16"/>
      <c r="M44" s="1"/>
      <c r="N44" s="1"/>
      <c r="O44" s="1"/>
      <c r="P44" s="1"/>
      <c r="Q44" s="1"/>
      <c r="R44" s="1"/>
      <c r="S44" s="1"/>
      <c r="T44" s="1"/>
      <c r="U44" s="1"/>
      <c r="V44" s="1"/>
      <c r="W44" s="1"/>
      <c r="X44" s="1"/>
      <c r="Y44" s="1"/>
      <c r="Z44" s="1"/>
    </row>
    <row r="45" spans="1:26" ht="12" customHeight="1" x14ac:dyDescent="0.2">
      <c r="A45" s="15" t="s">
        <v>191</v>
      </c>
      <c r="B45" s="15">
        <v>437</v>
      </c>
      <c r="C45" s="81">
        <v>112</v>
      </c>
      <c r="D45" s="82">
        <f>IF((I45=0),"",(C45/I45))</f>
        <v>0.43579766536964981</v>
      </c>
      <c r="E45" s="66">
        <v>122</v>
      </c>
      <c r="F45" s="67">
        <f>IF((I45=0),"",(E45/I45))</f>
        <v>0.47470817120622566</v>
      </c>
      <c r="G45" s="15">
        <v>23</v>
      </c>
      <c r="H45" s="17">
        <f>IF((I45=0),"",(G45/I45))</f>
        <v>8.9494163424124515E-2</v>
      </c>
      <c r="I45" s="15">
        <f>SUM(C45,E45,G45)</f>
        <v>257</v>
      </c>
      <c r="J45" s="17">
        <f>IF((B45=0),"",(I45/B45))</f>
        <v>0.58810068649885583</v>
      </c>
      <c r="K45" s="29">
        <f>B45-I45</f>
        <v>180</v>
      </c>
      <c r="L45" s="17">
        <f>IF((B45=0),"",(K45/B45))</f>
        <v>0.41189931350114417</v>
      </c>
      <c r="M45" s="1"/>
      <c r="N45" s="1"/>
      <c r="O45" s="1"/>
      <c r="P45" s="1"/>
      <c r="Q45" s="1"/>
      <c r="R45" s="1"/>
      <c r="S45" s="1"/>
      <c r="T45" s="1"/>
      <c r="U45" s="1"/>
      <c r="V45" s="1"/>
      <c r="W45" s="1"/>
      <c r="X45" s="1"/>
      <c r="Y45" s="1"/>
      <c r="Z45" s="1"/>
    </row>
    <row r="46" spans="1:26" ht="12" customHeight="1" x14ac:dyDescent="0.2">
      <c r="A46" s="15" t="s">
        <v>132</v>
      </c>
      <c r="B46" s="15">
        <v>296</v>
      </c>
      <c r="C46" s="81">
        <v>67</v>
      </c>
      <c r="D46" s="82">
        <f>IF((I46=0),"",(C46/I46))</f>
        <v>0.36813186813186816</v>
      </c>
      <c r="E46" s="66">
        <v>105</v>
      </c>
      <c r="F46" s="67">
        <f>IF((I46=0),"",(E46/I46))</f>
        <v>0.57692307692307687</v>
      </c>
      <c r="G46" s="15">
        <v>10</v>
      </c>
      <c r="H46" s="17">
        <f>IF((I46=0),"",(G46/I46))</f>
        <v>5.4945054945054944E-2</v>
      </c>
      <c r="I46" s="15">
        <f>SUM(C46,E46,G46)</f>
        <v>182</v>
      </c>
      <c r="J46" s="17">
        <f>IF((B46=0),"",(I46/B46))</f>
        <v>0.61486486486486491</v>
      </c>
      <c r="K46" s="29">
        <f>B46-I46</f>
        <v>114</v>
      </c>
      <c r="L46" s="17">
        <f>IF((B46=0),"",(K46/B46))</f>
        <v>0.38513513513513514</v>
      </c>
      <c r="M46" s="1"/>
      <c r="N46" s="1"/>
      <c r="O46" s="1"/>
      <c r="P46" s="1"/>
      <c r="Q46" s="1"/>
      <c r="R46" s="1"/>
      <c r="S46" s="1"/>
      <c r="T46" s="1"/>
      <c r="U46" s="1"/>
      <c r="V46" s="1"/>
      <c r="W46" s="1"/>
      <c r="X46" s="1"/>
      <c r="Y46" s="1"/>
      <c r="Z46" s="1"/>
    </row>
    <row r="47" spans="1:26" s="30" customFormat="1" ht="12" customHeight="1" x14ac:dyDescent="0.2">
      <c r="A47" s="15" t="s">
        <v>252</v>
      </c>
      <c r="B47" s="15">
        <v>371</v>
      </c>
      <c r="C47" s="81">
        <v>92</v>
      </c>
      <c r="D47" s="82">
        <v>0.42199999999999999</v>
      </c>
      <c r="E47" s="66">
        <v>114</v>
      </c>
      <c r="F47" s="67">
        <f>IF((I47=0),"",(E47/I47))</f>
        <v>0.52293577981651373</v>
      </c>
      <c r="G47" s="15">
        <v>12</v>
      </c>
      <c r="H47" s="17">
        <f>IF((I47=0),"",(G47/I47))</f>
        <v>5.5045871559633031E-2</v>
      </c>
      <c r="I47" s="15">
        <f>SUM(C47,E47,G47)</f>
        <v>218</v>
      </c>
      <c r="J47" s="17">
        <f>IF((B47=0),"",(I47/B47))</f>
        <v>0.58760107816711593</v>
      </c>
      <c r="K47" s="29">
        <f>B47-I47</f>
        <v>153</v>
      </c>
      <c r="L47" s="17">
        <f>IF((B47=0),"",(K47/B47))</f>
        <v>0.41239892183288412</v>
      </c>
      <c r="M47" s="1"/>
      <c r="N47" s="1"/>
      <c r="O47" s="1"/>
      <c r="P47" s="1"/>
      <c r="Q47" s="1"/>
      <c r="R47" s="1"/>
      <c r="S47" s="1"/>
      <c r="T47" s="1"/>
      <c r="U47" s="1"/>
      <c r="V47" s="1"/>
      <c r="W47" s="1"/>
      <c r="X47" s="1"/>
      <c r="Y47" s="1"/>
      <c r="Z47" s="1"/>
    </row>
    <row r="48" spans="1:26" ht="12" customHeight="1" x14ac:dyDescent="0.2">
      <c r="A48" s="12" t="s">
        <v>120</v>
      </c>
      <c r="B48" s="12">
        <f>SUM(B45:B47)</f>
        <v>1104</v>
      </c>
      <c r="C48" s="78">
        <f>SUM(C45:C47)</f>
        <v>271</v>
      </c>
      <c r="D48" s="79">
        <f>IF((I48=0),"",(C48/I48))</f>
        <v>0.41248097412480972</v>
      </c>
      <c r="E48" s="63">
        <f>SUM(E45:E47)</f>
        <v>341</v>
      </c>
      <c r="F48" s="64">
        <f>IF((I48=0),"",(E48/I48))</f>
        <v>0.51902587519025878</v>
      </c>
      <c r="G48" s="12">
        <f>SUM(G45:G47)</f>
        <v>45</v>
      </c>
      <c r="H48" s="13">
        <f>IF((I48=0),"",(G48/I48))</f>
        <v>6.8493150684931503E-2</v>
      </c>
      <c r="I48" s="12">
        <f>SUM(C48,E48,G48)</f>
        <v>657</v>
      </c>
      <c r="J48" s="13">
        <f>IF((B48=0),"",(I48/B48))</f>
        <v>0.59510869565217395</v>
      </c>
      <c r="K48" s="12">
        <f>SUM(K45:K47)</f>
        <v>447</v>
      </c>
      <c r="L48" s="13">
        <f>IF((B48=0),"",(K48/B48))</f>
        <v>0.40489130434782611</v>
      </c>
      <c r="M48" s="1"/>
      <c r="N48" s="1"/>
      <c r="O48" s="1"/>
      <c r="P48" s="1"/>
      <c r="Q48" s="1"/>
      <c r="R48" s="1"/>
      <c r="S48" s="1"/>
      <c r="T48" s="1"/>
      <c r="U48" s="1"/>
      <c r="V48" s="1"/>
      <c r="W48" s="1"/>
      <c r="X48" s="1"/>
      <c r="Y48" s="1"/>
      <c r="Z48" s="1"/>
    </row>
    <row r="49" spans="1:26" s="41" customFormat="1" ht="12" customHeight="1" x14ac:dyDescent="0.2">
      <c r="A49" s="32" t="s">
        <v>542</v>
      </c>
      <c r="B49" s="32">
        <v>6</v>
      </c>
      <c r="C49" s="78"/>
      <c r="D49" s="79"/>
      <c r="E49" s="63"/>
      <c r="F49" s="64"/>
      <c r="G49" s="32"/>
      <c r="H49" s="28"/>
      <c r="I49" s="32"/>
      <c r="J49" s="28"/>
      <c r="K49" s="32"/>
      <c r="L49" s="28"/>
      <c r="M49" s="1"/>
      <c r="N49" s="1"/>
      <c r="O49" s="1"/>
      <c r="P49" s="1"/>
      <c r="Q49" s="1"/>
      <c r="R49" s="1"/>
      <c r="S49" s="1"/>
      <c r="T49" s="1"/>
      <c r="U49" s="1"/>
      <c r="V49" s="1"/>
      <c r="W49" s="1"/>
      <c r="X49" s="1"/>
      <c r="Y49" s="1"/>
      <c r="Z49" s="1"/>
    </row>
    <row r="50" spans="1:26" ht="12" customHeight="1" x14ac:dyDescent="0.2">
      <c r="A50" s="14" t="s">
        <v>171</v>
      </c>
      <c r="B50" s="32" t="s">
        <v>172</v>
      </c>
      <c r="C50" s="86"/>
      <c r="D50" s="86"/>
      <c r="E50" s="90"/>
      <c r="F50" s="90"/>
      <c r="G50" s="16"/>
      <c r="H50" s="16"/>
      <c r="I50" s="16"/>
      <c r="J50" s="16"/>
      <c r="K50" s="16"/>
      <c r="L50" s="16"/>
      <c r="M50" s="1"/>
      <c r="N50" s="1"/>
      <c r="O50" s="1"/>
      <c r="P50" s="1"/>
      <c r="Q50" s="1"/>
      <c r="R50" s="1"/>
      <c r="S50" s="1"/>
      <c r="T50" s="1"/>
      <c r="U50" s="1"/>
      <c r="V50" s="1"/>
      <c r="W50" s="1"/>
      <c r="X50" s="1"/>
      <c r="Y50" s="1"/>
      <c r="Z50" s="1"/>
    </row>
    <row r="51" spans="1:26" ht="12" customHeight="1" x14ac:dyDescent="0.2">
      <c r="A51" s="15" t="s">
        <v>111</v>
      </c>
      <c r="B51" s="15">
        <v>312</v>
      </c>
      <c r="C51" s="81">
        <v>66</v>
      </c>
      <c r="D51" s="82">
        <f>IF((I51=0),"",(C51/I51))</f>
        <v>0.42857142857142855</v>
      </c>
      <c r="E51" s="66">
        <v>87</v>
      </c>
      <c r="F51" s="67">
        <f>IF((I51=0),"",(E51/I51))</f>
        <v>0.56493506493506496</v>
      </c>
      <c r="G51" s="15">
        <v>1</v>
      </c>
      <c r="H51" s="17">
        <f>IF((I51=0),"",(G51/I51))</f>
        <v>6.4935064935064939E-3</v>
      </c>
      <c r="I51" s="15">
        <f>SUM(C51,E51,G51)</f>
        <v>154</v>
      </c>
      <c r="J51" s="17">
        <f>IF((B51=0),"",(I51/B51))</f>
        <v>0.49358974358974361</v>
      </c>
      <c r="K51" s="29">
        <f>B51-I51</f>
        <v>158</v>
      </c>
      <c r="L51" s="17">
        <f>IF((B51=0),"",(K51/B51))</f>
        <v>0.50641025641025639</v>
      </c>
      <c r="M51" s="1"/>
      <c r="N51" s="1"/>
      <c r="O51" s="1"/>
      <c r="P51" s="1"/>
      <c r="Q51" s="1"/>
      <c r="R51" s="1"/>
      <c r="S51" s="1"/>
      <c r="T51" s="1"/>
      <c r="U51" s="1"/>
      <c r="V51" s="1"/>
      <c r="W51" s="1"/>
      <c r="X51" s="1"/>
      <c r="Y51" s="1"/>
      <c r="Z51" s="1"/>
    </row>
    <row r="52" spans="1:26" ht="12" customHeight="1" x14ac:dyDescent="0.2">
      <c r="A52" s="15" t="s">
        <v>112</v>
      </c>
      <c r="B52" s="15">
        <v>352</v>
      </c>
      <c r="C52" s="81">
        <v>74</v>
      </c>
      <c r="D52" s="82">
        <f>IF((I52=0),"",(C52/I52))</f>
        <v>0.35922330097087379</v>
      </c>
      <c r="E52" s="66">
        <v>131</v>
      </c>
      <c r="F52" s="67">
        <f>IF((I52=0),"",(E52/I52))</f>
        <v>0.63592233009708743</v>
      </c>
      <c r="G52" s="15">
        <v>1</v>
      </c>
      <c r="H52" s="17">
        <f>IF((I52=0),"",(G52/I52))</f>
        <v>4.8543689320388345E-3</v>
      </c>
      <c r="I52" s="15">
        <f>SUM(C52,E52,G52)</f>
        <v>206</v>
      </c>
      <c r="J52" s="17">
        <f>IF((B52=0),"",(I52/B52))</f>
        <v>0.58522727272727271</v>
      </c>
      <c r="K52" s="29">
        <f>B52-I52</f>
        <v>146</v>
      </c>
      <c r="L52" s="17">
        <f>IF((B52=0),"",(K52/B52))</f>
        <v>0.41477272727272729</v>
      </c>
      <c r="M52" s="1"/>
      <c r="N52" s="1"/>
      <c r="O52" s="1"/>
      <c r="P52" s="1"/>
      <c r="Q52" s="1"/>
      <c r="R52" s="1"/>
      <c r="S52" s="1"/>
      <c r="T52" s="1"/>
      <c r="U52" s="1"/>
      <c r="V52" s="1"/>
      <c r="W52" s="1"/>
      <c r="X52" s="1"/>
      <c r="Y52" s="1"/>
      <c r="Z52" s="1"/>
    </row>
    <row r="53" spans="1:26" ht="12" customHeight="1" x14ac:dyDescent="0.2">
      <c r="A53" s="15" t="s">
        <v>178</v>
      </c>
      <c r="B53" s="15">
        <v>382</v>
      </c>
      <c r="C53" s="81">
        <v>74</v>
      </c>
      <c r="D53" s="82">
        <f>IF((I53=0),"",(C53/I53))</f>
        <v>0.33333333333333331</v>
      </c>
      <c r="E53" s="66">
        <v>137</v>
      </c>
      <c r="F53" s="67">
        <f>IF((I53=0),"",(E53/I53))</f>
        <v>0.61711711711711714</v>
      </c>
      <c r="G53" s="15">
        <v>11</v>
      </c>
      <c r="H53" s="17">
        <f>IF((I53=0),"",(G53/I53))</f>
        <v>4.954954954954955E-2</v>
      </c>
      <c r="I53" s="15">
        <f>SUM(C53,E53,G53)</f>
        <v>222</v>
      </c>
      <c r="J53" s="17">
        <f>IF((B53=0),"",(I53/B53))</f>
        <v>0.58115183246073299</v>
      </c>
      <c r="K53" s="29">
        <f>B53-I53</f>
        <v>160</v>
      </c>
      <c r="L53" s="17">
        <f>IF((B53=0),"",(K53/B53))</f>
        <v>0.41884816753926701</v>
      </c>
      <c r="M53" s="1"/>
      <c r="N53" s="1"/>
      <c r="O53" s="1"/>
      <c r="P53" s="1"/>
      <c r="Q53" s="1"/>
      <c r="R53" s="1"/>
      <c r="S53" s="1"/>
      <c r="T53" s="1"/>
      <c r="U53" s="1"/>
      <c r="V53" s="1"/>
      <c r="W53" s="1"/>
      <c r="X53" s="1"/>
      <c r="Y53" s="1"/>
      <c r="Z53" s="1"/>
    </row>
    <row r="54" spans="1:26" ht="12" customHeight="1" x14ac:dyDescent="0.2">
      <c r="A54" s="15" t="s">
        <v>397</v>
      </c>
      <c r="B54" s="15">
        <v>453</v>
      </c>
      <c r="C54" s="81">
        <v>97</v>
      </c>
      <c r="D54" s="82">
        <f>IF((I54=0),"",(C54/I54))</f>
        <v>0.37743190661478598</v>
      </c>
      <c r="E54" s="66">
        <v>151</v>
      </c>
      <c r="F54" s="67">
        <f>IF((I54=0),"",(E54/I54))</f>
        <v>0.58754863813229574</v>
      </c>
      <c r="G54" s="15">
        <v>9</v>
      </c>
      <c r="H54" s="17">
        <f>IF((I54=0),"",(G54/I54))</f>
        <v>3.5019455252918288E-2</v>
      </c>
      <c r="I54" s="15">
        <f>SUM(C54,E54,G54)</f>
        <v>257</v>
      </c>
      <c r="J54" s="17">
        <f>IF((B54=0),"",(I54/B54))</f>
        <v>0.56732891832229582</v>
      </c>
      <c r="K54" s="29">
        <f>B54-I54</f>
        <v>196</v>
      </c>
      <c r="L54" s="17">
        <f>IF((B54=0),"",(K54/B54))</f>
        <v>0.43267108167770418</v>
      </c>
      <c r="M54" s="1"/>
      <c r="N54" s="1"/>
      <c r="O54" s="1"/>
      <c r="P54" s="1"/>
      <c r="Q54" s="1"/>
      <c r="R54" s="1"/>
      <c r="S54" s="1"/>
      <c r="T54" s="1"/>
      <c r="U54" s="1"/>
      <c r="V54" s="1"/>
      <c r="W54" s="1"/>
      <c r="X54" s="1"/>
      <c r="Y54" s="1"/>
      <c r="Z54" s="1"/>
    </row>
    <row r="55" spans="1:26" ht="12" customHeight="1" x14ac:dyDescent="0.2">
      <c r="A55" s="12" t="s">
        <v>120</v>
      </c>
      <c r="B55" s="12">
        <f>SUM(B51:B54)</f>
        <v>1499</v>
      </c>
      <c r="C55" s="78">
        <f>SUM(C51:C54)</f>
        <v>311</v>
      </c>
      <c r="D55" s="79">
        <f>IF((I55=0),"",(C55/I55))</f>
        <v>0.37067938021454111</v>
      </c>
      <c r="E55" s="63">
        <f>SUM(E51:E54)</f>
        <v>506</v>
      </c>
      <c r="F55" s="64">
        <f>IF((I55=0),"",(E55/I55))</f>
        <v>0.60309892729439807</v>
      </c>
      <c r="G55" s="12">
        <f>SUM(G51:G54)</f>
        <v>22</v>
      </c>
      <c r="H55" s="13">
        <f>IF((I55=0),"",(G55/I55))</f>
        <v>2.6221692491060787E-2</v>
      </c>
      <c r="I55" s="12">
        <f>SUM(C55,E55,G55)</f>
        <v>839</v>
      </c>
      <c r="J55" s="13">
        <f>IF((B55=0),"",(I55/B55))</f>
        <v>0.55970647098065374</v>
      </c>
      <c r="K55" s="12">
        <f>SUM(K51:K54)</f>
        <v>660</v>
      </c>
      <c r="L55" s="13">
        <f>IF((B55=0),"",(K55/B55))</f>
        <v>0.44029352901934621</v>
      </c>
      <c r="M55" s="1"/>
      <c r="N55" s="1"/>
      <c r="O55" s="1"/>
      <c r="P55" s="1"/>
      <c r="Q55" s="1"/>
      <c r="R55" s="1"/>
      <c r="S55" s="1"/>
      <c r="T55" s="1"/>
      <c r="U55" s="1"/>
      <c r="V55" s="1"/>
      <c r="W55" s="1"/>
      <c r="X55" s="1"/>
      <c r="Y55" s="1"/>
      <c r="Z55" s="1"/>
    </row>
    <row r="56" spans="1:26" ht="12.75" customHeight="1" x14ac:dyDescent="0.2">
      <c r="A56" s="14" t="s">
        <v>398</v>
      </c>
      <c r="B56" s="32" t="s">
        <v>399</v>
      </c>
      <c r="C56" s="86"/>
      <c r="D56" s="86"/>
      <c r="E56" s="90"/>
      <c r="F56" s="90"/>
      <c r="G56" s="16"/>
      <c r="H56" s="16"/>
      <c r="I56" s="16"/>
      <c r="J56" s="16"/>
      <c r="K56" s="16"/>
      <c r="L56" s="16"/>
      <c r="M56" s="1"/>
      <c r="N56" s="1"/>
      <c r="O56" s="1"/>
      <c r="P56" s="1"/>
      <c r="Q56" s="1"/>
      <c r="R56" s="1"/>
      <c r="S56" s="1"/>
      <c r="T56" s="1"/>
      <c r="U56" s="1"/>
      <c r="V56" s="1"/>
      <c r="W56" s="1"/>
      <c r="X56" s="1"/>
      <c r="Y56" s="1"/>
      <c r="Z56" s="1"/>
    </row>
    <row r="57" spans="1:26" ht="12.75" customHeight="1" x14ac:dyDescent="0.2">
      <c r="A57" s="15" t="s">
        <v>400</v>
      </c>
      <c r="B57" s="15">
        <v>277</v>
      </c>
      <c r="C57" s="81">
        <v>58</v>
      </c>
      <c r="D57" s="82">
        <f>IF((I57=0),"",(C57/I57))</f>
        <v>0.3515151515151515</v>
      </c>
      <c r="E57" s="66">
        <v>105</v>
      </c>
      <c r="F57" s="67">
        <f>IF((I57=0),"",(E57/I57))</f>
        <v>0.63636363636363635</v>
      </c>
      <c r="G57" s="15">
        <v>2</v>
      </c>
      <c r="H57" s="17">
        <f>IF((I57=0),"",(G57/I57))</f>
        <v>1.2121212121212121E-2</v>
      </c>
      <c r="I57" s="15">
        <f>SUM(C57,E57,G57)</f>
        <v>165</v>
      </c>
      <c r="J57" s="17">
        <f>IF((B57=0),"",(I57/B57))</f>
        <v>0.59566787003610111</v>
      </c>
      <c r="K57" s="29">
        <f>B57-I57</f>
        <v>112</v>
      </c>
      <c r="L57" s="17">
        <f>IF((B57=0),"",(K57/B57))</f>
        <v>0.40433212996389889</v>
      </c>
      <c r="M57" s="1"/>
      <c r="N57" s="1"/>
      <c r="O57" s="1"/>
      <c r="P57" s="1"/>
      <c r="Q57" s="1"/>
      <c r="R57" s="1"/>
      <c r="S57" s="1"/>
      <c r="T57" s="1"/>
      <c r="U57" s="1"/>
      <c r="V57" s="1"/>
      <c r="W57" s="1"/>
      <c r="X57" s="1"/>
      <c r="Y57" s="1"/>
      <c r="Z57" s="1"/>
    </row>
    <row r="58" spans="1:26" ht="12.75" customHeight="1" x14ac:dyDescent="0.2">
      <c r="A58" s="15" t="s">
        <v>200</v>
      </c>
      <c r="B58" s="15">
        <v>264</v>
      </c>
      <c r="C58" s="81">
        <v>53</v>
      </c>
      <c r="D58" s="82">
        <f>IF((I58=0),"",(C58/I58))</f>
        <v>0.36054421768707484</v>
      </c>
      <c r="E58" s="66">
        <v>77</v>
      </c>
      <c r="F58" s="67">
        <f>IF((I58=0),"",(E58/I58))</f>
        <v>0.52380952380952384</v>
      </c>
      <c r="G58" s="15">
        <v>17</v>
      </c>
      <c r="H58" s="17">
        <f>IF((I58=0),"",(G58/I58))</f>
        <v>0.11564625850340136</v>
      </c>
      <c r="I58" s="15">
        <f>SUM(C58,E58,G58)</f>
        <v>147</v>
      </c>
      <c r="J58" s="17">
        <f>IF((B58=0),"",(I58/B58))</f>
        <v>0.55681818181818177</v>
      </c>
      <c r="K58" s="29">
        <f>B58-I58</f>
        <v>117</v>
      </c>
      <c r="L58" s="17">
        <f>IF((B58=0),"",(K58/B58))</f>
        <v>0.44318181818181818</v>
      </c>
      <c r="M58" s="1"/>
      <c r="N58" s="1"/>
      <c r="O58" s="1"/>
      <c r="P58" s="1"/>
      <c r="Q58" s="1"/>
      <c r="R58" s="1"/>
      <c r="S58" s="1"/>
      <c r="T58" s="1"/>
      <c r="U58" s="1"/>
      <c r="V58" s="1"/>
      <c r="W58" s="1"/>
      <c r="X58" s="1"/>
      <c r="Y58" s="1"/>
      <c r="Z58" s="1"/>
    </row>
    <row r="59" spans="1:26" s="57" customFormat="1" ht="12.75" customHeight="1" x14ac:dyDescent="0.2">
      <c r="A59" s="54" t="s">
        <v>201</v>
      </c>
      <c r="B59" s="54">
        <v>396</v>
      </c>
      <c r="C59" s="81">
        <v>112</v>
      </c>
      <c r="D59" s="82">
        <f>IF((I59=0),"",(C59/I59))</f>
        <v>0.33836858006042297</v>
      </c>
      <c r="E59" s="66">
        <v>214</v>
      </c>
      <c r="F59" s="67">
        <f>IF((I59=0),"",(E59/I59))</f>
        <v>0.6465256797583081</v>
      </c>
      <c r="G59" s="54">
        <v>5</v>
      </c>
      <c r="H59" s="55">
        <f>IF((I59=0),"",(G59/I59))</f>
        <v>1.5105740181268883E-2</v>
      </c>
      <c r="I59" s="54">
        <f>SUM(C59,E59,G59)</f>
        <v>331</v>
      </c>
      <c r="J59" s="55">
        <f>IF((B59=0),"",(I59/B59))</f>
        <v>0.83585858585858586</v>
      </c>
      <c r="K59" s="54">
        <f>B59-I59</f>
        <v>65</v>
      </c>
      <c r="L59" s="55">
        <f>IF((B59=0),"",(K59/B59))</f>
        <v>0.16414141414141414</v>
      </c>
      <c r="M59" s="56"/>
      <c r="N59" s="56"/>
      <c r="O59" s="56"/>
      <c r="P59" s="56"/>
      <c r="Q59" s="56"/>
      <c r="R59" s="56"/>
      <c r="S59" s="56"/>
      <c r="T59" s="56"/>
      <c r="U59" s="56"/>
      <c r="V59" s="56"/>
      <c r="W59" s="56"/>
      <c r="X59" s="56"/>
      <c r="Y59" s="56"/>
      <c r="Z59" s="56"/>
    </row>
    <row r="60" spans="1:26" ht="12.75" customHeight="1" x14ac:dyDescent="0.2">
      <c r="A60" s="15" t="s">
        <v>123</v>
      </c>
      <c r="B60" s="15">
        <v>376</v>
      </c>
      <c r="C60" s="81">
        <v>76</v>
      </c>
      <c r="D60" s="82">
        <f>IF((I60=0),"",(C60/I60))</f>
        <v>0.37073170731707317</v>
      </c>
      <c r="E60" s="66">
        <v>114</v>
      </c>
      <c r="F60" s="67">
        <f>IF((I60=0),"",(E60/I60))</f>
        <v>0.55609756097560981</v>
      </c>
      <c r="G60" s="15">
        <v>15</v>
      </c>
      <c r="H60" s="17">
        <f>IF((I60=0),"",(G60/I60))</f>
        <v>7.3170731707317069E-2</v>
      </c>
      <c r="I60" s="15">
        <f>SUM(C60,E60,G60)</f>
        <v>205</v>
      </c>
      <c r="J60" s="17">
        <f>IF((B60=0),"",(I60/B60))</f>
        <v>0.54521276595744683</v>
      </c>
      <c r="K60" s="29">
        <f>B60-I60</f>
        <v>171</v>
      </c>
      <c r="L60" s="17">
        <f>IF((B60=0),"",(K60/B60))</f>
        <v>0.45478723404255317</v>
      </c>
      <c r="M60" s="1"/>
      <c r="N60" s="1"/>
      <c r="O60" s="1"/>
      <c r="P60" s="1"/>
      <c r="Q60" s="1"/>
      <c r="R60" s="1"/>
      <c r="S60" s="1"/>
      <c r="T60" s="1"/>
      <c r="U60" s="1"/>
      <c r="V60" s="1"/>
      <c r="W60" s="1"/>
      <c r="X60" s="1"/>
      <c r="Y60" s="1"/>
      <c r="Z60" s="1"/>
    </row>
    <row r="61" spans="1:26" ht="12.75" customHeight="1" x14ac:dyDescent="0.2">
      <c r="A61" s="12" t="s">
        <v>120</v>
      </c>
      <c r="B61" s="12">
        <f>SUM(B57:B60)</f>
        <v>1313</v>
      </c>
      <c r="C61" s="78">
        <f>SUM(C57:C60)</f>
        <v>299</v>
      </c>
      <c r="D61" s="79">
        <f>IF((I61=0),"",(C61/I61))</f>
        <v>0.35259433962264153</v>
      </c>
      <c r="E61" s="63">
        <f>SUM(E57:E60)</f>
        <v>510</v>
      </c>
      <c r="F61" s="64">
        <f>IF((I61=0),"",(E61/I61))</f>
        <v>0.60141509433962259</v>
      </c>
      <c r="G61" s="12">
        <f>SUM(G57:G60)</f>
        <v>39</v>
      </c>
      <c r="H61" s="13">
        <f>IF((I61=0),"",(G61/I61))</f>
        <v>4.5990566037735846E-2</v>
      </c>
      <c r="I61" s="12">
        <f>SUM(C61,E61,G61)</f>
        <v>848</v>
      </c>
      <c r="J61" s="13">
        <f>IF((B61=0),"",(I61/B61))</f>
        <v>0.64584920030464588</v>
      </c>
      <c r="K61" s="12">
        <f>SUM(K57:K60)</f>
        <v>465</v>
      </c>
      <c r="L61" s="13">
        <f>IF((B61=0),"",(K61/B61))</f>
        <v>0.35415079969535412</v>
      </c>
      <c r="M61" s="1"/>
      <c r="N61" s="1"/>
      <c r="O61" s="1"/>
      <c r="P61" s="1"/>
      <c r="Q61" s="1"/>
      <c r="R61" s="1"/>
      <c r="S61" s="1"/>
      <c r="T61" s="1"/>
      <c r="U61" s="1"/>
      <c r="V61" s="1"/>
      <c r="W61" s="1"/>
      <c r="X61" s="1"/>
      <c r="Y61" s="1"/>
      <c r="Z61" s="1"/>
    </row>
    <row r="62" spans="1:26" s="41" customFormat="1" ht="12.75" customHeight="1" x14ac:dyDescent="0.2">
      <c r="A62" s="44" t="s">
        <v>542</v>
      </c>
      <c r="B62" s="44">
        <v>25</v>
      </c>
      <c r="C62" s="87"/>
      <c r="D62" s="88"/>
      <c r="E62" s="91"/>
      <c r="F62" s="92"/>
      <c r="G62" s="44"/>
      <c r="H62" s="45"/>
      <c r="I62" s="44"/>
      <c r="J62" s="45"/>
      <c r="K62" s="44"/>
      <c r="L62" s="45"/>
      <c r="M62" s="1"/>
      <c r="N62" s="1"/>
      <c r="O62" s="1"/>
      <c r="P62" s="1"/>
      <c r="Q62" s="1"/>
      <c r="R62" s="1"/>
      <c r="S62" s="1"/>
      <c r="T62" s="1"/>
      <c r="U62" s="1"/>
      <c r="V62" s="1"/>
      <c r="W62" s="1"/>
      <c r="X62" s="1"/>
      <c r="Y62" s="1"/>
      <c r="Z62" s="1"/>
    </row>
    <row r="63" spans="1:26" ht="12.75" customHeight="1" x14ac:dyDescent="0.2">
      <c r="A63" s="1"/>
      <c r="B63" s="1"/>
      <c r="C63" s="89"/>
      <c r="D63" s="89"/>
      <c r="E63" s="93"/>
      <c r="F63" s="93"/>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89"/>
      <c r="D64" s="89"/>
      <c r="E64" s="93"/>
      <c r="F64" s="93"/>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89"/>
      <c r="D65" s="89"/>
      <c r="E65" s="93"/>
      <c r="F65" s="93"/>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89"/>
      <c r="D66" s="89"/>
      <c r="E66" s="93"/>
      <c r="F66" s="93"/>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89"/>
      <c r="D67" s="89"/>
      <c r="E67" s="93"/>
      <c r="F67" s="93"/>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89"/>
      <c r="D68" s="89"/>
      <c r="E68" s="93"/>
      <c r="F68" s="93"/>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89"/>
      <c r="D69" s="89"/>
      <c r="E69" s="93"/>
      <c r="F69" s="93"/>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89"/>
      <c r="D70" s="89"/>
      <c r="E70" s="93"/>
      <c r="F70" s="93"/>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89"/>
      <c r="D71" s="89"/>
      <c r="E71" s="93"/>
      <c r="F71" s="93"/>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89"/>
      <c r="D72" s="89"/>
      <c r="E72" s="93"/>
      <c r="F72" s="93"/>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89"/>
      <c r="D73" s="89"/>
      <c r="E73" s="93"/>
      <c r="F73" s="93"/>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89"/>
      <c r="D74" s="89"/>
      <c r="E74" s="93"/>
      <c r="F74" s="93"/>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89"/>
      <c r="D75" s="89"/>
      <c r="E75" s="93"/>
      <c r="F75" s="93"/>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89"/>
      <c r="D76" s="89"/>
      <c r="E76" s="93"/>
      <c r="F76" s="93"/>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89"/>
      <c r="D77" s="89"/>
      <c r="E77" s="93"/>
      <c r="F77" s="93"/>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89"/>
      <c r="D78" s="89"/>
      <c r="E78" s="93"/>
      <c r="F78" s="93"/>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89"/>
      <c r="D79" s="89"/>
      <c r="E79" s="93"/>
      <c r="F79" s="93"/>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89"/>
      <c r="D80" s="89"/>
      <c r="E80" s="93"/>
      <c r="F80" s="93"/>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89"/>
      <c r="D81" s="89"/>
      <c r="E81" s="93"/>
      <c r="F81" s="93"/>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89"/>
      <c r="D82" s="89"/>
      <c r="E82" s="93"/>
      <c r="F82" s="93"/>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89"/>
      <c r="D83" s="89"/>
      <c r="E83" s="93"/>
      <c r="F83" s="93"/>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89"/>
      <c r="D84" s="89"/>
      <c r="E84" s="93"/>
      <c r="F84" s="93"/>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89"/>
      <c r="D85" s="89"/>
      <c r="E85" s="93"/>
      <c r="F85" s="93"/>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89"/>
      <c r="D86" s="89"/>
      <c r="E86" s="93"/>
      <c r="F86" s="93"/>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89"/>
      <c r="D87" s="89"/>
      <c r="E87" s="93"/>
      <c r="F87" s="93"/>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89"/>
      <c r="D88" s="89"/>
      <c r="E88" s="93"/>
      <c r="F88" s="93"/>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89"/>
      <c r="D89" s="89"/>
      <c r="E89" s="93"/>
      <c r="F89" s="93"/>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89"/>
      <c r="D90" s="89"/>
      <c r="E90" s="93"/>
      <c r="F90" s="93"/>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89"/>
      <c r="D91" s="89"/>
      <c r="E91" s="93"/>
      <c r="F91" s="93"/>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89"/>
      <c r="D92" s="89"/>
      <c r="E92" s="93"/>
      <c r="F92" s="93"/>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89"/>
      <c r="D93" s="89"/>
      <c r="E93" s="93"/>
      <c r="F93" s="93"/>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89"/>
      <c r="D94" s="89"/>
      <c r="E94" s="93"/>
      <c r="F94" s="93"/>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89"/>
      <c r="D95" s="89"/>
      <c r="E95" s="93"/>
      <c r="F95" s="93"/>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89"/>
      <c r="D96" s="89"/>
      <c r="E96" s="93"/>
      <c r="F96" s="93"/>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89"/>
      <c r="D97" s="89"/>
      <c r="E97" s="93"/>
      <c r="F97" s="93"/>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89"/>
      <c r="D98" s="89"/>
      <c r="E98" s="93"/>
      <c r="F98" s="93"/>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89"/>
      <c r="D99" s="89"/>
      <c r="E99" s="93"/>
      <c r="F99" s="93"/>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89"/>
      <c r="D100" s="89"/>
      <c r="E100" s="93"/>
      <c r="F100" s="93"/>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89"/>
      <c r="D101" s="89"/>
      <c r="E101" s="93"/>
      <c r="F101" s="93"/>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89"/>
      <c r="D102" s="89"/>
      <c r="E102" s="93"/>
      <c r="F102" s="93"/>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89"/>
      <c r="D103" s="89"/>
      <c r="E103" s="93"/>
      <c r="F103" s="93"/>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89"/>
      <c r="D104" s="89"/>
      <c r="E104" s="93"/>
      <c r="F104" s="93"/>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89"/>
      <c r="D105" s="89"/>
      <c r="E105" s="93"/>
      <c r="F105" s="93"/>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89"/>
      <c r="D106" s="89"/>
      <c r="E106" s="93"/>
      <c r="F106" s="93"/>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89"/>
      <c r="D107" s="89"/>
      <c r="E107" s="93"/>
      <c r="F107" s="93"/>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89"/>
      <c r="D108" s="89"/>
      <c r="E108" s="93"/>
      <c r="F108" s="93"/>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89"/>
      <c r="D109" s="89"/>
      <c r="E109" s="93"/>
      <c r="F109" s="93"/>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89"/>
      <c r="D110" s="89"/>
      <c r="E110" s="93"/>
      <c r="F110" s="93"/>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89"/>
      <c r="D111" s="89"/>
      <c r="E111" s="93"/>
      <c r="F111" s="93"/>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89"/>
      <c r="D112" s="89"/>
      <c r="E112" s="93"/>
      <c r="F112" s="93"/>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89"/>
      <c r="D113" s="89"/>
      <c r="E113" s="93"/>
      <c r="F113" s="93"/>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89"/>
      <c r="D114" s="89"/>
      <c r="E114" s="93"/>
      <c r="F114" s="93"/>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89"/>
      <c r="D115" s="89"/>
      <c r="E115" s="93"/>
      <c r="F115" s="93"/>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89"/>
      <c r="D116" s="89"/>
      <c r="E116" s="93"/>
      <c r="F116" s="93"/>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89"/>
      <c r="D117" s="89"/>
      <c r="E117" s="93"/>
      <c r="F117" s="93"/>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89"/>
      <c r="D118" s="89"/>
      <c r="E118" s="93"/>
      <c r="F118" s="93"/>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89"/>
      <c r="D119" s="89"/>
      <c r="E119" s="93"/>
      <c r="F119" s="93"/>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89"/>
      <c r="D120" s="89"/>
      <c r="E120" s="93"/>
      <c r="F120" s="93"/>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89"/>
      <c r="D121" s="89"/>
      <c r="E121" s="93"/>
      <c r="F121" s="93"/>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89"/>
      <c r="D122" s="89"/>
      <c r="E122" s="93"/>
      <c r="F122" s="93"/>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89"/>
      <c r="D123" s="89"/>
      <c r="E123" s="93"/>
      <c r="F123" s="93"/>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89"/>
      <c r="D124" s="89"/>
      <c r="E124" s="93"/>
      <c r="F124" s="93"/>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89"/>
      <c r="D125" s="89"/>
      <c r="E125" s="93"/>
      <c r="F125" s="93"/>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89"/>
      <c r="D126" s="89"/>
      <c r="E126" s="93"/>
      <c r="F126" s="93"/>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89"/>
      <c r="D127" s="89"/>
      <c r="E127" s="93"/>
      <c r="F127" s="93"/>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89"/>
      <c r="D128" s="89"/>
      <c r="E128" s="93"/>
      <c r="F128" s="93"/>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89"/>
      <c r="D129" s="89"/>
      <c r="E129" s="93"/>
      <c r="F129" s="93"/>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89"/>
      <c r="D130" s="89"/>
      <c r="E130" s="93"/>
      <c r="F130" s="93"/>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89"/>
      <c r="D131" s="89"/>
      <c r="E131" s="93"/>
      <c r="F131" s="93"/>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89"/>
      <c r="D132" s="89"/>
      <c r="E132" s="93"/>
      <c r="F132" s="93"/>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89"/>
      <c r="D133" s="89"/>
      <c r="E133" s="93"/>
      <c r="F133" s="93"/>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89"/>
      <c r="D134" s="89"/>
      <c r="E134" s="93"/>
      <c r="F134" s="93"/>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89"/>
      <c r="D135" s="89"/>
      <c r="E135" s="93"/>
      <c r="F135" s="93"/>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89"/>
      <c r="D136" s="89"/>
      <c r="E136" s="93"/>
      <c r="F136" s="93"/>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89"/>
      <c r="D137" s="89"/>
      <c r="E137" s="93"/>
      <c r="F137" s="93"/>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89"/>
      <c r="D138" s="89"/>
      <c r="E138" s="93"/>
      <c r="F138" s="93"/>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89"/>
      <c r="D139" s="89"/>
      <c r="E139" s="93"/>
      <c r="F139" s="93"/>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89"/>
      <c r="D140" s="89"/>
      <c r="E140" s="93"/>
      <c r="F140" s="93"/>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89"/>
      <c r="D141" s="89"/>
      <c r="E141" s="93"/>
      <c r="F141" s="93"/>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89"/>
      <c r="D142" s="89"/>
      <c r="E142" s="93"/>
      <c r="F142" s="93"/>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89"/>
      <c r="D143" s="89"/>
      <c r="E143" s="93"/>
      <c r="F143" s="93"/>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89"/>
      <c r="D144" s="89"/>
      <c r="E144" s="93"/>
      <c r="F144" s="93"/>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89"/>
      <c r="D145" s="89"/>
      <c r="E145" s="93"/>
      <c r="F145" s="93"/>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89"/>
      <c r="D146" s="89"/>
      <c r="E146" s="93"/>
      <c r="F146" s="93"/>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89"/>
      <c r="D147" s="89"/>
      <c r="E147" s="93"/>
      <c r="F147" s="93"/>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89"/>
      <c r="D148" s="89"/>
      <c r="E148" s="93"/>
      <c r="F148" s="93"/>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89"/>
      <c r="D149" s="89"/>
      <c r="E149" s="93"/>
      <c r="F149" s="93"/>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89"/>
      <c r="D150" s="89"/>
      <c r="E150" s="93"/>
      <c r="F150" s="93"/>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89"/>
      <c r="D151" s="89"/>
      <c r="E151" s="93"/>
      <c r="F151" s="93"/>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89"/>
      <c r="D152" s="89"/>
      <c r="E152" s="93"/>
      <c r="F152" s="93"/>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89"/>
      <c r="D153" s="89"/>
      <c r="E153" s="93"/>
      <c r="F153" s="93"/>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89"/>
      <c r="D154" s="89"/>
      <c r="E154" s="93"/>
      <c r="F154" s="93"/>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89"/>
      <c r="D155" s="89"/>
      <c r="E155" s="93"/>
      <c r="F155" s="93"/>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89"/>
      <c r="D156" s="89"/>
      <c r="E156" s="93"/>
      <c r="F156" s="93"/>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89"/>
      <c r="D157" s="89"/>
      <c r="E157" s="93"/>
      <c r="F157" s="93"/>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89"/>
      <c r="D158" s="89"/>
      <c r="E158" s="93"/>
      <c r="F158" s="93"/>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89"/>
      <c r="D159" s="89"/>
      <c r="E159" s="93"/>
      <c r="F159" s="93"/>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89"/>
      <c r="D160" s="89"/>
      <c r="E160" s="93"/>
      <c r="F160" s="93"/>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89"/>
      <c r="D161" s="89"/>
      <c r="E161" s="93"/>
      <c r="F161" s="93"/>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89"/>
      <c r="D162" s="89"/>
      <c r="E162" s="93"/>
      <c r="F162" s="93"/>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89"/>
      <c r="D163" s="89"/>
      <c r="E163" s="93"/>
      <c r="F163" s="93"/>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89"/>
      <c r="D164" s="89"/>
      <c r="E164" s="93"/>
      <c r="F164" s="93"/>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89"/>
      <c r="D165" s="89"/>
      <c r="E165" s="93"/>
      <c r="F165" s="93"/>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89"/>
      <c r="D166" s="89"/>
      <c r="E166" s="93"/>
      <c r="F166" s="93"/>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89"/>
      <c r="D167" s="89"/>
      <c r="E167" s="93"/>
      <c r="F167" s="93"/>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89"/>
      <c r="D168" s="89"/>
      <c r="E168" s="93"/>
      <c r="F168" s="93"/>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89"/>
      <c r="D169" s="89"/>
      <c r="E169" s="93"/>
      <c r="F169" s="93"/>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89"/>
      <c r="D170" s="89"/>
      <c r="E170" s="93"/>
      <c r="F170" s="93"/>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89"/>
      <c r="D171" s="89"/>
      <c r="E171" s="93"/>
      <c r="F171" s="93"/>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89"/>
      <c r="D172" s="89"/>
      <c r="E172" s="93"/>
      <c r="F172" s="93"/>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89"/>
      <c r="D173" s="89"/>
      <c r="E173" s="93"/>
      <c r="F173" s="93"/>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89"/>
      <c r="D174" s="89"/>
      <c r="E174" s="93"/>
      <c r="F174" s="93"/>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89"/>
      <c r="D175" s="89"/>
      <c r="E175" s="93"/>
      <c r="F175" s="93"/>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89"/>
      <c r="D176" s="89"/>
      <c r="E176" s="93"/>
      <c r="F176" s="93"/>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89"/>
      <c r="D177" s="89"/>
      <c r="E177" s="93"/>
      <c r="F177" s="93"/>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89"/>
      <c r="D178" s="89"/>
      <c r="E178" s="93"/>
      <c r="F178" s="93"/>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89"/>
      <c r="D179" s="89"/>
      <c r="E179" s="93"/>
      <c r="F179" s="93"/>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89"/>
      <c r="D180" s="89"/>
      <c r="E180" s="93"/>
      <c r="F180" s="93"/>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89"/>
      <c r="D181" s="89"/>
      <c r="E181" s="93"/>
      <c r="F181" s="93"/>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89"/>
      <c r="D182" s="89"/>
      <c r="E182" s="93"/>
      <c r="F182" s="93"/>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89"/>
      <c r="D183" s="89"/>
      <c r="E183" s="93"/>
      <c r="F183" s="93"/>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89"/>
      <c r="D184" s="89"/>
      <c r="E184" s="93"/>
      <c r="F184" s="93"/>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89"/>
      <c r="D185" s="89"/>
      <c r="E185" s="93"/>
      <c r="F185" s="93"/>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89"/>
      <c r="D186" s="89"/>
      <c r="E186" s="93"/>
      <c r="F186" s="93"/>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89"/>
      <c r="D187" s="89"/>
      <c r="E187" s="93"/>
      <c r="F187" s="93"/>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89"/>
      <c r="D188" s="89"/>
      <c r="E188" s="93"/>
      <c r="F188" s="93"/>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89"/>
      <c r="D189" s="89"/>
      <c r="E189" s="93"/>
      <c r="F189" s="93"/>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89"/>
      <c r="D190" s="89"/>
      <c r="E190" s="93"/>
      <c r="F190" s="93"/>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89"/>
      <c r="D191" s="89"/>
      <c r="E191" s="93"/>
      <c r="F191" s="93"/>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89"/>
      <c r="D192" s="89"/>
      <c r="E192" s="93"/>
      <c r="F192" s="93"/>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89"/>
      <c r="D193" s="89"/>
      <c r="E193" s="93"/>
      <c r="F193" s="93"/>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89"/>
      <c r="D194" s="89"/>
      <c r="E194" s="93"/>
      <c r="F194" s="93"/>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89"/>
      <c r="D195" s="89"/>
      <c r="E195" s="93"/>
      <c r="F195" s="93"/>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89"/>
      <c r="D196" s="89"/>
      <c r="E196" s="93"/>
      <c r="F196" s="93"/>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89"/>
      <c r="D197" s="89"/>
      <c r="E197" s="93"/>
      <c r="F197" s="93"/>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89"/>
      <c r="D198" s="89"/>
      <c r="E198" s="93"/>
      <c r="F198" s="93"/>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89"/>
      <c r="D199" s="89"/>
      <c r="E199" s="93"/>
      <c r="F199" s="93"/>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89"/>
      <c r="D200" s="89"/>
      <c r="E200" s="93"/>
      <c r="F200" s="93"/>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89"/>
      <c r="D201" s="89"/>
      <c r="E201" s="93"/>
      <c r="F201" s="93"/>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89"/>
      <c r="D202" s="89"/>
      <c r="E202" s="93"/>
      <c r="F202" s="93"/>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89"/>
      <c r="D203" s="89"/>
      <c r="E203" s="93"/>
      <c r="F203" s="93"/>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89"/>
      <c r="D204" s="89"/>
      <c r="E204" s="93"/>
      <c r="F204" s="93"/>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89"/>
      <c r="D205" s="89"/>
      <c r="E205" s="93"/>
      <c r="F205" s="93"/>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89"/>
      <c r="D206" s="89"/>
      <c r="E206" s="93"/>
      <c r="F206" s="93"/>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89"/>
      <c r="D207" s="89"/>
      <c r="E207" s="93"/>
      <c r="F207" s="93"/>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89"/>
      <c r="D208" s="89"/>
      <c r="E208" s="93"/>
      <c r="F208" s="93"/>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89"/>
      <c r="D209" s="89"/>
      <c r="E209" s="93"/>
      <c r="F209" s="93"/>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89"/>
      <c r="D210" s="89"/>
      <c r="E210" s="93"/>
      <c r="F210" s="93"/>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89"/>
      <c r="D211" s="89"/>
      <c r="E211" s="93"/>
      <c r="F211" s="93"/>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89"/>
      <c r="D212" s="89"/>
      <c r="E212" s="93"/>
      <c r="F212" s="93"/>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89"/>
      <c r="D213" s="89"/>
      <c r="E213" s="93"/>
      <c r="F213" s="93"/>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89"/>
      <c r="D214" s="89"/>
      <c r="E214" s="93"/>
      <c r="F214" s="93"/>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89"/>
      <c r="D215" s="89"/>
      <c r="E215" s="93"/>
      <c r="F215" s="93"/>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89"/>
      <c r="D216" s="89"/>
      <c r="E216" s="93"/>
      <c r="F216" s="93"/>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89"/>
      <c r="D217" s="89"/>
      <c r="E217" s="93"/>
      <c r="F217" s="93"/>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89"/>
      <c r="D218" s="89"/>
      <c r="E218" s="93"/>
      <c r="F218" s="93"/>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89"/>
      <c r="D219" s="89"/>
      <c r="E219" s="93"/>
      <c r="F219" s="93"/>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89"/>
      <c r="D220" s="89"/>
      <c r="E220" s="93"/>
      <c r="F220" s="93"/>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89"/>
      <c r="D221" s="89"/>
      <c r="E221" s="93"/>
      <c r="F221" s="93"/>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89"/>
      <c r="D222" s="89"/>
      <c r="E222" s="93"/>
      <c r="F222" s="93"/>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89"/>
      <c r="D223" s="89"/>
      <c r="E223" s="93"/>
      <c r="F223" s="93"/>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89"/>
      <c r="D224" s="89"/>
      <c r="E224" s="93"/>
      <c r="F224" s="93"/>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89"/>
      <c r="D225" s="89"/>
      <c r="E225" s="93"/>
      <c r="F225" s="93"/>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89"/>
      <c r="D226" s="89"/>
      <c r="E226" s="93"/>
      <c r="F226" s="93"/>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89"/>
      <c r="D227" s="89"/>
      <c r="E227" s="93"/>
      <c r="F227" s="93"/>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89"/>
      <c r="D228" s="89"/>
      <c r="E228" s="93"/>
      <c r="F228" s="93"/>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89"/>
      <c r="D229" s="89"/>
      <c r="E229" s="93"/>
      <c r="F229" s="93"/>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89"/>
      <c r="D230" s="89"/>
      <c r="E230" s="93"/>
      <c r="F230" s="93"/>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89"/>
      <c r="D231" s="89"/>
      <c r="E231" s="93"/>
      <c r="F231" s="93"/>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89"/>
      <c r="D232" s="89"/>
      <c r="E232" s="93"/>
      <c r="F232" s="93"/>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89"/>
      <c r="D233" s="89"/>
      <c r="E233" s="93"/>
      <c r="F233" s="93"/>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89"/>
      <c r="D234" s="89"/>
      <c r="E234" s="93"/>
      <c r="F234" s="93"/>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89"/>
      <c r="D235" s="89"/>
      <c r="E235" s="93"/>
      <c r="F235" s="93"/>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89"/>
      <c r="D236" s="89"/>
      <c r="E236" s="93"/>
      <c r="F236" s="93"/>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89"/>
      <c r="D237" s="89"/>
      <c r="E237" s="93"/>
      <c r="F237" s="93"/>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89"/>
      <c r="D238" s="89"/>
      <c r="E238" s="93"/>
      <c r="F238" s="93"/>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89"/>
      <c r="D239" s="89"/>
      <c r="E239" s="93"/>
      <c r="F239" s="93"/>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89"/>
      <c r="D240" s="89"/>
      <c r="E240" s="93"/>
      <c r="F240" s="93"/>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89"/>
      <c r="D241" s="89"/>
      <c r="E241" s="93"/>
      <c r="F241" s="93"/>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89"/>
      <c r="D242" s="89"/>
      <c r="E242" s="93"/>
      <c r="F242" s="93"/>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89"/>
      <c r="D243" s="89"/>
      <c r="E243" s="93"/>
      <c r="F243" s="93"/>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89"/>
      <c r="D244" s="89"/>
      <c r="E244" s="93"/>
      <c r="F244" s="93"/>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89"/>
      <c r="D245" s="89"/>
      <c r="E245" s="93"/>
      <c r="F245" s="93"/>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89"/>
      <c r="D246" s="89"/>
      <c r="E246" s="93"/>
      <c r="F246" s="93"/>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89"/>
      <c r="D247" s="89"/>
      <c r="E247" s="93"/>
      <c r="F247" s="93"/>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89"/>
      <c r="D248" s="89"/>
      <c r="E248" s="93"/>
      <c r="F248" s="93"/>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89"/>
      <c r="D249" s="89"/>
      <c r="E249" s="93"/>
      <c r="F249" s="93"/>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89"/>
      <c r="D250" s="89"/>
      <c r="E250" s="93"/>
      <c r="F250" s="93"/>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89"/>
      <c r="D251" s="89"/>
      <c r="E251" s="93"/>
      <c r="F251" s="93"/>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89"/>
      <c r="D252" s="89"/>
      <c r="E252" s="93"/>
      <c r="F252" s="93"/>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89"/>
      <c r="D253" s="89"/>
      <c r="E253" s="93"/>
      <c r="F253" s="93"/>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89"/>
      <c r="D254" s="89"/>
      <c r="E254" s="93"/>
      <c r="F254" s="93"/>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89"/>
      <c r="D255" s="89"/>
      <c r="E255" s="93"/>
      <c r="F255" s="93"/>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89"/>
      <c r="D256" s="89"/>
      <c r="E256" s="93"/>
      <c r="F256" s="93"/>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89"/>
      <c r="D257" s="89"/>
      <c r="E257" s="93"/>
      <c r="F257" s="93"/>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89"/>
      <c r="D258" s="89"/>
      <c r="E258" s="93"/>
      <c r="F258" s="93"/>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89"/>
      <c r="D259" s="89"/>
      <c r="E259" s="93"/>
      <c r="F259" s="93"/>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89"/>
      <c r="D260" s="89"/>
      <c r="E260" s="93"/>
      <c r="F260" s="93"/>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89"/>
      <c r="D261" s="89"/>
      <c r="E261" s="93"/>
      <c r="F261" s="93"/>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89"/>
      <c r="D262" s="89"/>
      <c r="E262" s="93"/>
      <c r="F262" s="93"/>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89"/>
      <c r="D263" s="89"/>
      <c r="E263" s="93"/>
      <c r="F263" s="93"/>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89"/>
      <c r="D264" s="89"/>
      <c r="E264" s="93"/>
      <c r="F264" s="93"/>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89"/>
      <c r="D265" s="89"/>
      <c r="E265" s="93"/>
      <c r="F265" s="93"/>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89"/>
      <c r="D266" s="89"/>
      <c r="E266" s="93"/>
      <c r="F266" s="93"/>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89"/>
      <c r="D267" s="89"/>
      <c r="E267" s="93"/>
      <c r="F267" s="93"/>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89"/>
      <c r="D268" s="89"/>
      <c r="E268" s="93"/>
      <c r="F268" s="93"/>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89"/>
      <c r="D269" s="89"/>
      <c r="E269" s="93"/>
      <c r="F269" s="93"/>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89"/>
      <c r="D270" s="89"/>
      <c r="E270" s="93"/>
      <c r="F270" s="93"/>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89"/>
      <c r="D271" s="89"/>
      <c r="E271" s="93"/>
      <c r="F271" s="93"/>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89"/>
      <c r="D272" s="89"/>
      <c r="E272" s="93"/>
      <c r="F272" s="93"/>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89"/>
      <c r="D273" s="89"/>
      <c r="E273" s="93"/>
      <c r="F273" s="93"/>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89"/>
      <c r="D274" s="89"/>
      <c r="E274" s="93"/>
      <c r="F274" s="93"/>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89"/>
      <c r="D275" s="89"/>
      <c r="E275" s="93"/>
      <c r="F275" s="93"/>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89"/>
      <c r="D276" s="89"/>
      <c r="E276" s="93"/>
      <c r="F276" s="93"/>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89"/>
      <c r="D277" s="89"/>
      <c r="E277" s="93"/>
      <c r="F277" s="93"/>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89"/>
      <c r="D278" s="89"/>
      <c r="E278" s="93"/>
      <c r="F278" s="93"/>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89"/>
      <c r="D279" s="89"/>
      <c r="E279" s="93"/>
      <c r="F279" s="93"/>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89"/>
      <c r="D280" s="89"/>
      <c r="E280" s="93"/>
      <c r="F280" s="93"/>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89"/>
      <c r="D281" s="89"/>
      <c r="E281" s="93"/>
      <c r="F281" s="93"/>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89"/>
      <c r="D282" s="89"/>
      <c r="E282" s="93"/>
      <c r="F282" s="93"/>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89"/>
      <c r="D283" s="89"/>
      <c r="E283" s="93"/>
      <c r="F283" s="93"/>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89"/>
      <c r="D284" s="89"/>
      <c r="E284" s="93"/>
      <c r="F284" s="93"/>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89"/>
      <c r="D285" s="89"/>
      <c r="E285" s="93"/>
      <c r="F285" s="93"/>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89"/>
      <c r="D286" s="89"/>
      <c r="E286" s="93"/>
      <c r="F286" s="93"/>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89"/>
      <c r="D287" s="89"/>
      <c r="E287" s="93"/>
      <c r="F287" s="93"/>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89"/>
      <c r="D288" s="89"/>
      <c r="E288" s="93"/>
      <c r="F288" s="93"/>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89"/>
      <c r="D289" s="89"/>
      <c r="E289" s="93"/>
      <c r="F289" s="93"/>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89"/>
      <c r="D290" s="89"/>
      <c r="E290" s="93"/>
      <c r="F290" s="93"/>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89"/>
      <c r="D291" s="89"/>
      <c r="E291" s="93"/>
      <c r="F291" s="93"/>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89"/>
      <c r="D292" s="89"/>
      <c r="E292" s="93"/>
      <c r="F292" s="93"/>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89"/>
      <c r="D293" s="89"/>
      <c r="E293" s="93"/>
      <c r="F293" s="93"/>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89"/>
      <c r="D294" s="89"/>
      <c r="E294" s="93"/>
      <c r="F294" s="93"/>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89"/>
      <c r="D295" s="89"/>
      <c r="E295" s="93"/>
      <c r="F295" s="93"/>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89"/>
      <c r="D296" s="89"/>
      <c r="E296" s="93"/>
      <c r="F296" s="93"/>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89"/>
      <c r="D297" s="89"/>
      <c r="E297" s="93"/>
      <c r="F297" s="93"/>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89"/>
      <c r="D298" s="89"/>
      <c r="E298" s="93"/>
      <c r="F298" s="93"/>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89"/>
      <c r="D299" s="89"/>
      <c r="E299" s="93"/>
      <c r="F299" s="93"/>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89"/>
      <c r="D300" s="89"/>
      <c r="E300" s="93"/>
      <c r="F300" s="93"/>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89"/>
      <c r="D301" s="89"/>
      <c r="E301" s="93"/>
      <c r="F301" s="93"/>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89"/>
      <c r="D302" s="89"/>
      <c r="E302" s="93"/>
      <c r="F302" s="93"/>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89"/>
      <c r="D303" s="89"/>
      <c r="E303" s="93"/>
      <c r="F303" s="93"/>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89"/>
      <c r="D304" s="89"/>
      <c r="E304" s="93"/>
      <c r="F304" s="93"/>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89"/>
      <c r="D305" s="89"/>
      <c r="E305" s="93"/>
      <c r="F305" s="93"/>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89"/>
      <c r="D306" s="89"/>
      <c r="E306" s="93"/>
      <c r="F306" s="93"/>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89"/>
      <c r="D307" s="89"/>
      <c r="E307" s="93"/>
      <c r="F307" s="93"/>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89"/>
      <c r="D308" s="89"/>
      <c r="E308" s="93"/>
      <c r="F308" s="93"/>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89"/>
      <c r="D309" s="89"/>
      <c r="E309" s="93"/>
      <c r="F309" s="93"/>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89"/>
      <c r="D310" s="89"/>
      <c r="E310" s="93"/>
      <c r="F310" s="93"/>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89"/>
      <c r="D311" s="89"/>
      <c r="E311" s="93"/>
      <c r="F311" s="93"/>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89"/>
      <c r="D312" s="89"/>
      <c r="E312" s="93"/>
      <c r="F312" s="93"/>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89"/>
      <c r="D313" s="89"/>
      <c r="E313" s="93"/>
      <c r="F313" s="93"/>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89"/>
      <c r="D314" s="89"/>
      <c r="E314" s="93"/>
      <c r="F314" s="93"/>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89"/>
      <c r="D315" s="89"/>
      <c r="E315" s="93"/>
      <c r="F315" s="93"/>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89"/>
      <c r="D316" s="89"/>
      <c r="E316" s="93"/>
      <c r="F316" s="93"/>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89"/>
      <c r="D317" s="89"/>
      <c r="E317" s="93"/>
      <c r="F317" s="93"/>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89"/>
      <c r="D318" s="89"/>
      <c r="E318" s="93"/>
      <c r="F318" s="93"/>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89"/>
      <c r="D319" s="89"/>
      <c r="E319" s="93"/>
      <c r="F319" s="93"/>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89"/>
      <c r="D320" s="89"/>
      <c r="E320" s="93"/>
      <c r="F320" s="93"/>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89"/>
      <c r="D321" s="89"/>
      <c r="E321" s="93"/>
      <c r="F321" s="93"/>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89"/>
      <c r="D322" s="89"/>
      <c r="E322" s="93"/>
      <c r="F322" s="93"/>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89"/>
      <c r="D323" s="89"/>
      <c r="E323" s="93"/>
      <c r="F323" s="93"/>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89"/>
      <c r="D324" s="89"/>
      <c r="E324" s="93"/>
      <c r="F324" s="93"/>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89"/>
      <c r="D325" s="89"/>
      <c r="E325" s="93"/>
      <c r="F325" s="93"/>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89"/>
      <c r="D326" s="89"/>
      <c r="E326" s="93"/>
      <c r="F326" s="93"/>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89"/>
      <c r="D327" s="89"/>
      <c r="E327" s="93"/>
      <c r="F327" s="93"/>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89"/>
      <c r="D328" s="89"/>
      <c r="E328" s="93"/>
      <c r="F328" s="93"/>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89"/>
      <c r="D329" s="89"/>
      <c r="E329" s="93"/>
      <c r="F329" s="93"/>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89"/>
      <c r="D330" s="89"/>
      <c r="E330" s="93"/>
      <c r="F330" s="93"/>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89"/>
      <c r="D331" s="89"/>
      <c r="E331" s="93"/>
      <c r="F331" s="93"/>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89"/>
      <c r="D332" s="89"/>
      <c r="E332" s="93"/>
      <c r="F332" s="93"/>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89"/>
      <c r="D333" s="89"/>
      <c r="E333" s="93"/>
      <c r="F333" s="93"/>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89"/>
      <c r="D334" s="89"/>
      <c r="E334" s="93"/>
      <c r="F334" s="93"/>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89"/>
      <c r="D335" s="89"/>
      <c r="E335" s="93"/>
      <c r="F335" s="93"/>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89"/>
      <c r="D336" s="89"/>
      <c r="E336" s="93"/>
      <c r="F336" s="93"/>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89"/>
      <c r="D337" s="89"/>
      <c r="E337" s="93"/>
      <c r="F337" s="93"/>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89"/>
      <c r="D338" s="89"/>
      <c r="E338" s="93"/>
      <c r="F338" s="93"/>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89"/>
      <c r="D339" s="89"/>
      <c r="E339" s="93"/>
      <c r="F339" s="93"/>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89"/>
      <c r="D340" s="89"/>
      <c r="E340" s="93"/>
      <c r="F340" s="93"/>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89"/>
      <c r="D341" s="89"/>
      <c r="E341" s="93"/>
      <c r="F341" s="93"/>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89"/>
      <c r="D342" s="89"/>
      <c r="E342" s="93"/>
      <c r="F342" s="93"/>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89"/>
      <c r="D343" s="89"/>
      <c r="E343" s="93"/>
      <c r="F343" s="93"/>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89"/>
      <c r="D344" s="89"/>
      <c r="E344" s="93"/>
      <c r="F344" s="93"/>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89"/>
      <c r="D345" s="89"/>
      <c r="E345" s="93"/>
      <c r="F345" s="93"/>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89"/>
      <c r="D346" s="89"/>
      <c r="E346" s="93"/>
      <c r="F346" s="93"/>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89"/>
      <c r="D347" s="89"/>
      <c r="E347" s="93"/>
      <c r="F347" s="93"/>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89"/>
      <c r="D348" s="89"/>
      <c r="E348" s="93"/>
      <c r="F348" s="93"/>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89"/>
      <c r="D349" s="89"/>
      <c r="E349" s="93"/>
      <c r="F349" s="93"/>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89"/>
      <c r="D350" s="89"/>
      <c r="E350" s="93"/>
      <c r="F350" s="93"/>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89"/>
      <c r="D351" s="89"/>
      <c r="E351" s="93"/>
      <c r="F351" s="93"/>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89"/>
      <c r="D352" s="89"/>
      <c r="E352" s="93"/>
      <c r="F352" s="93"/>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89"/>
      <c r="D353" s="89"/>
      <c r="E353" s="93"/>
      <c r="F353" s="93"/>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89"/>
      <c r="D354" s="89"/>
      <c r="E354" s="93"/>
      <c r="F354" s="93"/>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89"/>
      <c r="D355" s="89"/>
      <c r="E355" s="93"/>
      <c r="F355" s="93"/>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89"/>
      <c r="D356" s="89"/>
      <c r="E356" s="93"/>
      <c r="F356" s="93"/>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89"/>
      <c r="D357" s="89"/>
      <c r="E357" s="93"/>
      <c r="F357" s="93"/>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89"/>
      <c r="D358" s="89"/>
      <c r="E358" s="93"/>
      <c r="F358" s="93"/>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89"/>
      <c r="D359" s="89"/>
      <c r="E359" s="93"/>
      <c r="F359" s="93"/>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89"/>
      <c r="D360" s="89"/>
      <c r="E360" s="93"/>
      <c r="F360" s="93"/>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89"/>
      <c r="D361" s="89"/>
      <c r="E361" s="93"/>
      <c r="F361" s="93"/>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89"/>
      <c r="D362" s="89"/>
      <c r="E362" s="93"/>
      <c r="F362" s="93"/>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89"/>
      <c r="D363" s="89"/>
      <c r="E363" s="93"/>
      <c r="F363" s="93"/>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89"/>
      <c r="D364" s="89"/>
      <c r="E364" s="93"/>
      <c r="F364" s="93"/>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89"/>
      <c r="D365" s="89"/>
      <c r="E365" s="93"/>
      <c r="F365" s="93"/>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89"/>
      <c r="D366" s="89"/>
      <c r="E366" s="93"/>
      <c r="F366" s="93"/>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89"/>
      <c r="D367" s="89"/>
      <c r="E367" s="93"/>
      <c r="F367" s="93"/>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89"/>
      <c r="D368" s="89"/>
      <c r="E368" s="93"/>
      <c r="F368" s="93"/>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89"/>
      <c r="D369" s="89"/>
      <c r="E369" s="93"/>
      <c r="F369" s="93"/>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89"/>
      <c r="D370" s="89"/>
      <c r="E370" s="93"/>
      <c r="F370" s="93"/>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89"/>
      <c r="D371" s="89"/>
      <c r="E371" s="93"/>
      <c r="F371" s="93"/>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89"/>
      <c r="D372" s="89"/>
      <c r="E372" s="93"/>
      <c r="F372" s="93"/>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89"/>
      <c r="D373" s="89"/>
      <c r="E373" s="93"/>
      <c r="F373" s="93"/>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89"/>
      <c r="D374" s="89"/>
      <c r="E374" s="93"/>
      <c r="F374" s="93"/>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89"/>
      <c r="D375" s="89"/>
      <c r="E375" s="93"/>
      <c r="F375" s="93"/>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89"/>
      <c r="D376" s="89"/>
      <c r="E376" s="93"/>
      <c r="F376" s="93"/>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89"/>
      <c r="D377" s="89"/>
      <c r="E377" s="93"/>
      <c r="F377" s="93"/>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89"/>
      <c r="D378" s="89"/>
      <c r="E378" s="93"/>
      <c r="F378" s="93"/>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89"/>
      <c r="D379" s="89"/>
      <c r="E379" s="93"/>
      <c r="F379" s="93"/>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89"/>
      <c r="D380" s="89"/>
      <c r="E380" s="93"/>
      <c r="F380" s="93"/>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89"/>
      <c r="D381" s="89"/>
      <c r="E381" s="93"/>
      <c r="F381" s="93"/>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89"/>
      <c r="D382" s="89"/>
      <c r="E382" s="93"/>
      <c r="F382" s="93"/>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89"/>
      <c r="D383" s="89"/>
      <c r="E383" s="93"/>
      <c r="F383" s="93"/>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89"/>
      <c r="D384" s="89"/>
      <c r="E384" s="93"/>
      <c r="F384" s="93"/>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89"/>
      <c r="D385" s="89"/>
      <c r="E385" s="93"/>
      <c r="F385" s="93"/>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89"/>
      <c r="D386" s="89"/>
      <c r="E386" s="93"/>
      <c r="F386" s="93"/>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89"/>
      <c r="D387" s="89"/>
      <c r="E387" s="93"/>
      <c r="F387" s="93"/>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89"/>
      <c r="D388" s="89"/>
      <c r="E388" s="93"/>
      <c r="F388" s="93"/>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89"/>
      <c r="D389" s="89"/>
      <c r="E389" s="93"/>
      <c r="F389" s="93"/>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89"/>
      <c r="D390" s="89"/>
      <c r="E390" s="93"/>
      <c r="F390" s="93"/>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89"/>
      <c r="D391" s="89"/>
      <c r="E391" s="93"/>
      <c r="F391" s="93"/>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89"/>
      <c r="D392" s="89"/>
      <c r="E392" s="93"/>
      <c r="F392" s="93"/>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89"/>
      <c r="D393" s="89"/>
      <c r="E393" s="93"/>
      <c r="F393" s="93"/>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89"/>
      <c r="D394" s="89"/>
      <c r="E394" s="93"/>
      <c r="F394" s="93"/>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89"/>
      <c r="D395" s="89"/>
      <c r="E395" s="93"/>
      <c r="F395" s="93"/>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89"/>
      <c r="D396" s="89"/>
      <c r="E396" s="93"/>
      <c r="F396" s="93"/>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89"/>
      <c r="D397" s="89"/>
      <c r="E397" s="93"/>
      <c r="F397" s="93"/>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89"/>
      <c r="D398" s="89"/>
      <c r="E398" s="93"/>
      <c r="F398" s="93"/>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89"/>
      <c r="D399" s="89"/>
      <c r="E399" s="93"/>
      <c r="F399" s="93"/>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89"/>
      <c r="D400" s="89"/>
      <c r="E400" s="93"/>
      <c r="F400" s="93"/>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89"/>
      <c r="D401" s="89"/>
      <c r="E401" s="93"/>
      <c r="F401" s="93"/>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89"/>
      <c r="D402" s="89"/>
      <c r="E402" s="93"/>
      <c r="F402" s="93"/>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89"/>
      <c r="D403" s="89"/>
      <c r="E403" s="93"/>
      <c r="F403" s="93"/>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89"/>
      <c r="D404" s="89"/>
      <c r="E404" s="93"/>
      <c r="F404" s="93"/>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89"/>
      <c r="D405" s="89"/>
      <c r="E405" s="93"/>
      <c r="F405" s="93"/>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89"/>
      <c r="D406" s="89"/>
      <c r="E406" s="93"/>
      <c r="F406" s="93"/>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89"/>
      <c r="D407" s="89"/>
      <c r="E407" s="93"/>
      <c r="F407" s="93"/>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89"/>
      <c r="D408" s="89"/>
      <c r="E408" s="93"/>
      <c r="F408" s="93"/>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89"/>
      <c r="D409" s="89"/>
      <c r="E409" s="93"/>
      <c r="F409" s="93"/>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89"/>
      <c r="D410" s="89"/>
      <c r="E410" s="93"/>
      <c r="F410" s="93"/>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89"/>
      <c r="D411" s="89"/>
      <c r="E411" s="93"/>
      <c r="F411" s="93"/>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89"/>
      <c r="D412" s="89"/>
      <c r="E412" s="93"/>
      <c r="F412" s="93"/>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89"/>
      <c r="D413" s="89"/>
      <c r="E413" s="93"/>
      <c r="F413" s="93"/>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89"/>
      <c r="D414" s="89"/>
      <c r="E414" s="93"/>
      <c r="F414" s="93"/>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89"/>
      <c r="D415" s="89"/>
      <c r="E415" s="93"/>
      <c r="F415" s="93"/>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89"/>
      <c r="D416" s="89"/>
      <c r="E416" s="93"/>
      <c r="F416" s="93"/>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89"/>
      <c r="D417" s="89"/>
      <c r="E417" s="93"/>
      <c r="F417" s="93"/>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89"/>
      <c r="D418" s="89"/>
      <c r="E418" s="93"/>
      <c r="F418" s="93"/>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89"/>
      <c r="D419" s="89"/>
      <c r="E419" s="93"/>
      <c r="F419" s="93"/>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89"/>
      <c r="D420" s="89"/>
      <c r="E420" s="93"/>
      <c r="F420" s="93"/>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89"/>
      <c r="D421" s="89"/>
      <c r="E421" s="93"/>
      <c r="F421" s="93"/>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89"/>
      <c r="D422" s="89"/>
      <c r="E422" s="93"/>
      <c r="F422" s="93"/>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89"/>
      <c r="D423" s="89"/>
      <c r="E423" s="93"/>
      <c r="F423" s="93"/>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89"/>
      <c r="D424" s="89"/>
      <c r="E424" s="93"/>
      <c r="F424" s="93"/>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89"/>
      <c r="D425" s="89"/>
      <c r="E425" s="93"/>
      <c r="F425" s="93"/>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89"/>
      <c r="D426" s="89"/>
      <c r="E426" s="93"/>
      <c r="F426" s="93"/>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89"/>
      <c r="D427" s="89"/>
      <c r="E427" s="93"/>
      <c r="F427" s="93"/>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89"/>
      <c r="D428" s="89"/>
      <c r="E428" s="93"/>
      <c r="F428" s="93"/>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89"/>
      <c r="D429" s="89"/>
      <c r="E429" s="93"/>
      <c r="F429" s="93"/>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89"/>
      <c r="D430" s="89"/>
      <c r="E430" s="93"/>
      <c r="F430" s="93"/>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89"/>
      <c r="D431" s="89"/>
      <c r="E431" s="93"/>
      <c r="F431" s="93"/>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89"/>
      <c r="D432" s="89"/>
      <c r="E432" s="93"/>
      <c r="F432" s="93"/>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89"/>
      <c r="D433" s="89"/>
      <c r="E433" s="93"/>
      <c r="F433" s="93"/>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89"/>
      <c r="D434" s="89"/>
      <c r="E434" s="93"/>
      <c r="F434" s="93"/>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89"/>
      <c r="D435" s="89"/>
      <c r="E435" s="93"/>
      <c r="F435" s="93"/>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89"/>
      <c r="D436" s="89"/>
      <c r="E436" s="93"/>
      <c r="F436" s="93"/>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89"/>
      <c r="D437" s="89"/>
      <c r="E437" s="93"/>
      <c r="F437" s="93"/>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89"/>
      <c r="D438" s="89"/>
      <c r="E438" s="93"/>
      <c r="F438" s="93"/>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89"/>
      <c r="D439" s="89"/>
      <c r="E439" s="93"/>
      <c r="F439" s="93"/>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89"/>
      <c r="D440" s="89"/>
      <c r="E440" s="93"/>
      <c r="F440" s="93"/>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89"/>
      <c r="D441" s="89"/>
      <c r="E441" s="93"/>
      <c r="F441" s="93"/>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89"/>
      <c r="D442" s="89"/>
      <c r="E442" s="93"/>
      <c r="F442" s="93"/>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89"/>
      <c r="D443" s="89"/>
      <c r="E443" s="93"/>
      <c r="F443" s="93"/>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89"/>
      <c r="D444" s="89"/>
      <c r="E444" s="93"/>
      <c r="F444" s="93"/>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89"/>
      <c r="D445" s="89"/>
      <c r="E445" s="93"/>
      <c r="F445" s="93"/>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89"/>
      <c r="D446" s="89"/>
      <c r="E446" s="93"/>
      <c r="F446" s="93"/>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89"/>
      <c r="D447" s="89"/>
      <c r="E447" s="93"/>
      <c r="F447" s="93"/>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89"/>
      <c r="D448" s="89"/>
      <c r="E448" s="93"/>
      <c r="F448" s="93"/>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89"/>
      <c r="D449" s="89"/>
      <c r="E449" s="93"/>
      <c r="F449" s="93"/>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89"/>
      <c r="D450" s="89"/>
      <c r="E450" s="93"/>
      <c r="F450" s="93"/>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89"/>
      <c r="D451" s="89"/>
      <c r="E451" s="93"/>
      <c r="F451" s="93"/>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89"/>
      <c r="D452" s="89"/>
      <c r="E452" s="93"/>
      <c r="F452" s="93"/>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89"/>
      <c r="D453" s="89"/>
      <c r="E453" s="93"/>
      <c r="F453" s="93"/>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89"/>
      <c r="D454" s="89"/>
      <c r="E454" s="93"/>
      <c r="F454" s="93"/>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89"/>
      <c r="D455" s="89"/>
      <c r="E455" s="93"/>
      <c r="F455" s="93"/>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89"/>
      <c r="D456" s="89"/>
      <c r="E456" s="93"/>
      <c r="F456" s="93"/>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89"/>
      <c r="D457" s="89"/>
      <c r="E457" s="93"/>
      <c r="F457" s="93"/>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89"/>
      <c r="D458" s="89"/>
      <c r="E458" s="93"/>
      <c r="F458" s="93"/>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89"/>
      <c r="D459" s="89"/>
      <c r="E459" s="93"/>
      <c r="F459" s="93"/>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89"/>
      <c r="D460" s="89"/>
      <c r="E460" s="93"/>
      <c r="F460" s="93"/>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89"/>
      <c r="D461" s="89"/>
      <c r="E461" s="93"/>
      <c r="F461" s="93"/>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89"/>
      <c r="D462" s="89"/>
      <c r="E462" s="93"/>
      <c r="F462" s="93"/>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89"/>
      <c r="D463" s="89"/>
      <c r="E463" s="93"/>
      <c r="F463" s="93"/>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89"/>
      <c r="D464" s="89"/>
      <c r="E464" s="93"/>
      <c r="F464" s="93"/>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89"/>
      <c r="D465" s="89"/>
      <c r="E465" s="93"/>
      <c r="F465" s="93"/>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89"/>
      <c r="D466" s="89"/>
      <c r="E466" s="93"/>
      <c r="F466" s="93"/>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89"/>
      <c r="D467" s="89"/>
      <c r="E467" s="93"/>
      <c r="F467" s="93"/>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89"/>
      <c r="D468" s="89"/>
      <c r="E468" s="93"/>
      <c r="F468" s="93"/>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89"/>
      <c r="D469" s="89"/>
      <c r="E469" s="93"/>
      <c r="F469" s="93"/>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89"/>
      <c r="D470" s="89"/>
      <c r="E470" s="93"/>
      <c r="F470" s="93"/>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89"/>
      <c r="D471" s="89"/>
      <c r="E471" s="93"/>
      <c r="F471" s="93"/>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89"/>
      <c r="D472" s="89"/>
      <c r="E472" s="93"/>
      <c r="F472" s="93"/>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89"/>
      <c r="D473" s="89"/>
      <c r="E473" s="93"/>
      <c r="F473" s="93"/>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89"/>
      <c r="D474" s="89"/>
      <c r="E474" s="93"/>
      <c r="F474" s="93"/>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89"/>
      <c r="D475" s="89"/>
      <c r="E475" s="93"/>
      <c r="F475" s="93"/>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89"/>
      <c r="D476" s="89"/>
      <c r="E476" s="93"/>
      <c r="F476" s="93"/>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89"/>
      <c r="D477" s="89"/>
      <c r="E477" s="93"/>
      <c r="F477" s="93"/>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89"/>
      <c r="D478" s="89"/>
      <c r="E478" s="93"/>
      <c r="F478" s="93"/>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89"/>
      <c r="D479" s="89"/>
      <c r="E479" s="93"/>
      <c r="F479" s="93"/>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89"/>
      <c r="D480" s="89"/>
      <c r="E480" s="93"/>
      <c r="F480" s="93"/>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89"/>
      <c r="D481" s="89"/>
      <c r="E481" s="93"/>
      <c r="F481" s="93"/>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89"/>
      <c r="D482" s="89"/>
      <c r="E482" s="93"/>
      <c r="F482" s="93"/>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89"/>
      <c r="D483" s="89"/>
      <c r="E483" s="93"/>
      <c r="F483" s="93"/>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89"/>
      <c r="D484" s="89"/>
      <c r="E484" s="93"/>
      <c r="F484" s="93"/>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89"/>
      <c r="D485" s="89"/>
      <c r="E485" s="93"/>
      <c r="F485" s="93"/>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89"/>
      <c r="D486" s="89"/>
      <c r="E486" s="93"/>
      <c r="F486" s="93"/>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89"/>
      <c r="D487" s="89"/>
      <c r="E487" s="93"/>
      <c r="F487" s="93"/>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89"/>
      <c r="D488" s="89"/>
      <c r="E488" s="93"/>
      <c r="F488" s="93"/>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89"/>
      <c r="D489" s="89"/>
      <c r="E489" s="93"/>
      <c r="F489" s="93"/>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89"/>
      <c r="D490" s="89"/>
      <c r="E490" s="93"/>
      <c r="F490" s="93"/>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89"/>
      <c r="D491" s="89"/>
      <c r="E491" s="93"/>
      <c r="F491" s="93"/>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89"/>
      <c r="D492" s="89"/>
      <c r="E492" s="93"/>
      <c r="F492" s="93"/>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89"/>
      <c r="D493" s="89"/>
      <c r="E493" s="93"/>
      <c r="F493" s="93"/>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89"/>
      <c r="D494" s="89"/>
      <c r="E494" s="93"/>
      <c r="F494" s="93"/>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89"/>
      <c r="D495" s="89"/>
      <c r="E495" s="93"/>
      <c r="F495" s="93"/>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89"/>
      <c r="D496" s="89"/>
      <c r="E496" s="93"/>
      <c r="F496" s="93"/>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89"/>
      <c r="D497" s="89"/>
      <c r="E497" s="93"/>
      <c r="F497" s="93"/>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89"/>
      <c r="D498" s="89"/>
      <c r="E498" s="93"/>
      <c r="F498" s="93"/>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89"/>
      <c r="D499" s="89"/>
      <c r="E499" s="93"/>
      <c r="F499" s="93"/>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89"/>
      <c r="D500" s="89"/>
      <c r="E500" s="93"/>
      <c r="F500" s="93"/>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89"/>
      <c r="D501" s="89"/>
      <c r="E501" s="93"/>
      <c r="F501" s="93"/>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89"/>
      <c r="D502" s="89"/>
      <c r="E502" s="93"/>
      <c r="F502" s="93"/>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89"/>
      <c r="D503" s="89"/>
      <c r="E503" s="93"/>
      <c r="F503" s="93"/>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89"/>
      <c r="D504" s="89"/>
      <c r="E504" s="93"/>
      <c r="F504" s="93"/>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89"/>
      <c r="D505" s="89"/>
      <c r="E505" s="93"/>
      <c r="F505" s="93"/>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89"/>
      <c r="D506" s="89"/>
      <c r="E506" s="93"/>
      <c r="F506" s="93"/>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89"/>
      <c r="D507" s="89"/>
      <c r="E507" s="93"/>
      <c r="F507" s="93"/>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89"/>
      <c r="D508" s="89"/>
      <c r="E508" s="93"/>
      <c r="F508" s="93"/>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89"/>
      <c r="D509" s="89"/>
      <c r="E509" s="93"/>
      <c r="F509" s="93"/>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89"/>
      <c r="D510" s="89"/>
      <c r="E510" s="93"/>
      <c r="F510" s="93"/>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89"/>
      <c r="D511" s="89"/>
      <c r="E511" s="93"/>
      <c r="F511" s="93"/>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89"/>
      <c r="D512" s="89"/>
      <c r="E512" s="93"/>
      <c r="F512" s="93"/>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89"/>
      <c r="D513" s="89"/>
      <c r="E513" s="93"/>
      <c r="F513" s="93"/>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89"/>
      <c r="D514" s="89"/>
      <c r="E514" s="93"/>
      <c r="F514" s="93"/>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89"/>
      <c r="D515" s="89"/>
      <c r="E515" s="93"/>
      <c r="F515" s="93"/>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89"/>
      <c r="D516" s="89"/>
      <c r="E516" s="93"/>
      <c r="F516" s="93"/>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89"/>
      <c r="D517" s="89"/>
      <c r="E517" s="93"/>
      <c r="F517" s="93"/>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89"/>
      <c r="D518" s="89"/>
      <c r="E518" s="93"/>
      <c r="F518" s="93"/>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89"/>
      <c r="D519" s="89"/>
      <c r="E519" s="93"/>
      <c r="F519" s="93"/>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89"/>
      <c r="D520" s="89"/>
      <c r="E520" s="93"/>
      <c r="F520" s="93"/>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89"/>
      <c r="D521" s="89"/>
      <c r="E521" s="93"/>
      <c r="F521" s="93"/>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89"/>
      <c r="D522" s="89"/>
      <c r="E522" s="93"/>
      <c r="F522" s="93"/>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89"/>
      <c r="D523" s="89"/>
      <c r="E523" s="93"/>
      <c r="F523" s="93"/>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89"/>
      <c r="D524" s="89"/>
      <c r="E524" s="93"/>
      <c r="F524" s="93"/>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89"/>
      <c r="D525" s="89"/>
      <c r="E525" s="93"/>
      <c r="F525" s="93"/>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89"/>
      <c r="D526" s="89"/>
      <c r="E526" s="93"/>
      <c r="F526" s="93"/>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89"/>
      <c r="D527" s="89"/>
      <c r="E527" s="93"/>
      <c r="F527" s="93"/>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89"/>
      <c r="D528" s="89"/>
      <c r="E528" s="93"/>
      <c r="F528" s="93"/>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89"/>
      <c r="D529" s="89"/>
      <c r="E529" s="93"/>
      <c r="F529" s="93"/>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89"/>
      <c r="D530" s="89"/>
      <c r="E530" s="93"/>
      <c r="F530" s="93"/>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89"/>
      <c r="D531" s="89"/>
      <c r="E531" s="93"/>
      <c r="F531" s="93"/>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89"/>
      <c r="D532" s="89"/>
      <c r="E532" s="93"/>
      <c r="F532" s="93"/>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89"/>
      <c r="D533" s="89"/>
      <c r="E533" s="93"/>
      <c r="F533" s="93"/>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89"/>
      <c r="D534" s="89"/>
      <c r="E534" s="93"/>
      <c r="F534" s="93"/>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89"/>
      <c r="D535" s="89"/>
      <c r="E535" s="93"/>
      <c r="F535" s="93"/>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89"/>
      <c r="D536" s="89"/>
      <c r="E536" s="93"/>
      <c r="F536" s="93"/>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89"/>
      <c r="D537" s="89"/>
      <c r="E537" s="93"/>
      <c r="F537" s="93"/>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89"/>
      <c r="D538" s="89"/>
      <c r="E538" s="93"/>
      <c r="F538" s="93"/>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89"/>
      <c r="D539" s="89"/>
      <c r="E539" s="93"/>
      <c r="F539" s="93"/>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89"/>
      <c r="D540" s="89"/>
      <c r="E540" s="93"/>
      <c r="F540" s="93"/>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89"/>
      <c r="D541" s="89"/>
      <c r="E541" s="93"/>
      <c r="F541" s="93"/>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89"/>
      <c r="D542" s="89"/>
      <c r="E542" s="93"/>
      <c r="F542" s="93"/>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89"/>
      <c r="D543" s="89"/>
      <c r="E543" s="93"/>
      <c r="F543" s="93"/>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89"/>
      <c r="D544" s="89"/>
      <c r="E544" s="93"/>
      <c r="F544" s="93"/>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89"/>
      <c r="D545" s="89"/>
      <c r="E545" s="93"/>
      <c r="F545" s="93"/>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89"/>
      <c r="D546" s="89"/>
      <c r="E546" s="93"/>
      <c r="F546" s="93"/>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89"/>
      <c r="D547" s="89"/>
      <c r="E547" s="93"/>
      <c r="F547" s="93"/>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89"/>
      <c r="D548" s="89"/>
      <c r="E548" s="93"/>
      <c r="F548" s="93"/>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89"/>
      <c r="D549" s="89"/>
      <c r="E549" s="93"/>
      <c r="F549" s="93"/>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89"/>
      <c r="D550" s="89"/>
      <c r="E550" s="93"/>
      <c r="F550" s="93"/>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89"/>
      <c r="D551" s="89"/>
      <c r="E551" s="93"/>
      <c r="F551" s="93"/>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89"/>
      <c r="D552" s="89"/>
      <c r="E552" s="93"/>
      <c r="F552" s="93"/>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89"/>
      <c r="D553" s="89"/>
      <c r="E553" s="93"/>
      <c r="F553" s="93"/>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89"/>
      <c r="D554" s="89"/>
      <c r="E554" s="93"/>
      <c r="F554" s="93"/>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89"/>
      <c r="D555" s="89"/>
      <c r="E555" s="93"/>
      <c r="F555" s="93"/>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89"/>
      <c r="D556" s="89"/>
      <c r="E556" s="93"/>
      <c r="F556" s="93"/>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89"/>
      <c r="D557" s="89"/>
      <c r="E557" s="93"/>
      <c r="F557" s="93"/>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89"/>
      <c r="D558" s="89"/>
      <c r="E558" s="93"/>
      <c r="F558" s="93"/>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89"/>
      <c r="D559" s="89"/>
      <c r="E559" s="93"/>
      <c r="F559" s="93"/>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89"/>
      <c r="D560" s="89"/>
      <c r="E560" s="93"/>
      <c r="F560" s="93"/>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89"/>
      <c r="D561" s="89"/>
      <c r="E561" s="93"/>
      <c r="F561" s="93"/>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89"/>
      <c r="D562" s="89"/>
      <c r="E562" s="93"/>
      <c r="F562" s="93"/>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89"/>
      <c r="D563" s="89"/>
      <c r="E563" s="93"/>
      <c r="F563" s="93"/>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89"/>
      <c r="D564" s="89"/>
      <c r="E564" s="93"/>
      <c r="F564" s="93"/>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89"/>
      <c r="D565" s="89"/>
      <c r="E565" s="93"/>
      <c r="F565" s="93"/>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89"/>
      <c r="D566" s="89"/>
      <c r="E566" s="93"/>
      <c r="F566" s="93"/>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89"/>
      <c r="D567" s="89"/>
      <c r="E567" s="93"/>
      <c r="F567" s="93"/>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89"/>
      <c r="D568" s="89"/>
      <c r="E568" s="93"/>
      <c r="F568" s="93"/>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89"/>
      <c r="D569" s="89"/>
      <c r="E569" s="93"/>
      <c r="F569" s="93"/>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89"/>
      <c r="D570" s="89"/>
      <c r="E570" s="93"/>
      <c r="F570" s="93"/>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89"/>
      <c r="D571" s="89"/>
      <c r="E571" s="93"/>
      <c r="F571" s="93"/>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89"/>
      <c r="D572" s="89"/>
      <c r="E572" s="93"/>
      <c r="F572" s="93"/>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89"/>
      <c r="D573" s="89"/>
      <c r="E573" s="93"/>
      <c r="F573" s="93"/>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89"/>
      <c r="D574" s="89"/>
      <c r="E574" s="93"/>
      <c r="F574" s="93"/>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89"/>
      <c r="D575" s="89"/>
      <c r="E575" s="93"/>
      <c r="F575" s="93"/>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89"/>
      <c r="D576" s="89"/>
      <c r="E576" s="93"/>
      <c r="F576" s="93"/>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89"/>
      <c r="D577" s="89"/>
      <c r="E577" s="93"/>
      <c r="F577" s="93"/>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89"/>
      <c r="D578" s="89"/>
      <c r="E578" s="93"/>
      <c r="F578" s="93"/>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89"/>
      <c r="D579" s="89"/>
      <c r="E579" s="93"/>
      <c r="F579" s="93"/>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89"/>
      <c r="D580" s="89"/>
      <c r="E580" s="93"/>
      <c r="F580" s="93"/>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89"/>
      <c r="D581" s="89"/>
      <c r="E581" s="93"/>
      <c r="F581" s="93"/>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89"/>
      <c r="D582" s="89"/>
      <c r="E582" s="93"/>
      <c r="F582" s="93"/>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89"/>
      <c r="D583" s="89"/>
      <c r="E583" s="93"/>
      <c r="F583" s="93"/>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89"/>
      <c r="D584" s="89"/>
      <c r="E584" s="93"/>
      <c r="F584" s="93"/>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89"/>
      <c r="D585" s="89"/>
      <c r="E585" s="93"/>
      <c r="F585" s="93"/>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89"/>
      <c r="D586" s="89"/>
      <c r="E586" s="93"/>
      <c r="F586" s="93"/>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89"/>
      <c r="D587" s="89"/>
      <c r="E587" s="93"/>
      <c r="F587" s="93"/>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89"/>
      <c r="D588" s="89"/>
      <c r="E588" s="93"/>
      <c r="F588" s="93"/>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89"/>
      <c r="D589" s="89"/>
      <c r="E589" s="93"/>
      <c r="F589" s="93"/>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89"/>
      <c r="D590" s="89"/>
      <c r="E590" s="93"/>
      <c r="F590" s="93"/>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89"/>
      <c r="D591" s="89"/>
      <c r="E591" s="93"/>
      <c r="F591" s="93"/>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89"/>
      <c r="D592" s="89"/>
      <c r="E592" s="93"/>
      <c r="F592" s="93"/>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89"/>
      <c r="D593" s="89"/>
      <c r="E593" s="93"/>
      <c r="F593" s="93"/>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89"/>
      <c r="D594" s="89"/>
      <c r="E594" s="93"/>
      <c r="F594" s="93"/>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89"/>
      <c r="D595" s="89"/>
      <c r="E595" s="93"/>
      <c r="F595" s="93"/>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89"/>
      <c r="D596" s="89"/>
      <c r="E596" s="93"/>
      <c r="F596" s="93"/>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89"/>
      <c r="D597" s="89"/>
      <c r="E597" s="93"/>
      <c r="F597" s="93"/>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89"/>
      <c r="D598" s="89"/>
      <c r="E598" s="93"/>
      <c r="F598" s="93"/>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89"/>
      <c r="D599" s="89"/>
      <c r="E599" s="93"/>
      <c r="F599" s="93"/>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89"/>
      <c r="D600" s="89"/>
      <c r="E600" s="93"/>
      <c r="F600" s="93"/>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89"/>
      <c r="D601" s="89"/>
      <c r="E601" s="93"/>
      <c r="F601" s="93"/>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89"/>
      <c r="D602" s="89"/>
      <c r="E602" s="93"/>
      <c r="F602" s="93"/>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89"/>
      <c r="D603" s="89"/>
      <c r="E603" s="93"/>
      <c r="F603" s="93"/>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89"/>
      <c r="D604" s="89"/>
      <c r="E604" s="93"/>
      <c r="F604" s="93"/>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89"/>
      <c r="D605" s="89"/>
      <c r="E605" s="93"/>
      <c r="F605" s="93"/>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89"/>
      <c r="D606" s="89"/>
      <c r="E606" s="93"/>
      <c r="F606" s="93"/>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89"/>
      <c r="D607" s="89"/>
      <c r="E607" s="93"/>
      <c r="F607" s="93"/>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89"/>
      <c r="D608" s="89"/>
      <c r="E608" s="93"/>
      <c r="F608" s="93"/>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89"/>
      <c r="D609" s="89"/>
      <c r="E609" s="93"/>
      <c r="F609" s="93"/>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89"/>
      <c r="D610" s="89"/>
      <c r="E610" s="93"/>
      <c r="F610" s="93"/>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89"/>
      <c r="D611" s="89"/>
      <c r="E611" s="93"/>
      <c r="F611" s="93"/>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89"/>
      <c r="D612" s="89"/>
      <c r="E612" s="93"/>
      <c r="F612" s="93"/>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89"/>
      <c r="D613" s="89"/>
      <c r="E613" s="93"/>
      <c r="F613" s="93"/>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89"/>
      <c r="D614" s="89"/>
      <c r="E614" s="93"/>
      <c r="F614" s="93"/>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89"/>
      <c r="D615" s="89"/>
      <c r="E615" s="93"/>
      <c r="F615" s="93"/>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89"/>
      <c r="D616" s="89"/>
      <c r="E616" s="93"/>
      <c r="F616" s="93"/>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89"/>
      <c r="D617" s="89"/>
      <c r="E617" s="93"/>
      <c r="F617" s="93"/>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89"/>
      <c r="D618" s="89"/>
      <c r="E618" s="93"/>
      <c r="F618" s="93"/>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89"/>
      <c r="D619" s="89"/>
      <c r="E619" s="93"/>
      <c r="F619" s="93"/>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89"/>
      <c r="D620" s="89"/>
      <c r="E620" s="93"/>
      <c r="F620" s="93"/>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89"/>
      <c r="D621" s="89"/>
      <c r="E621" s="93"/>
      <c r="F621" s="93"/>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89"/>
      <c r="D622" s="89"/>
      <c r="E622" s="93"/>
      <c r="F622" s="93"/>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89"/>
      <c r="D623" s="89"/>
      <c r="E623" s="93"/>
      <c r="F623" s="93"/>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89"/>
      <c r="D624" s="89"/>
      <c r="E624" s="93"/>
      <c r="F624" s="93"/>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89"/>
      <c r="D625" s="89"/>
      <c r="E625" s="93"/>
      <c r="F625" s="93"/>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89"/>
      <c r="D626" s="89"/>
      <c r="E626" s="93"/>
      <c r="F626" s="93"/>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89"/>
      <c r="D627" s="89"/>
      <c r="E627" s="93"/>
      <c r="F627" s="93"/>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89"/>
      <c r="D628" s="89"/>
      <c r="E628" s="93"/>
      <c r="F628" s="93"/>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89"/>
      <c r="D629" s="89"/>
      <c r="E629" s="93"/>
      <c r="F629" s="93"/>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89"/>
      <c r="D630" s="89"/>
      <c r="E630" s="93"/>
      <c r="F630" s="93"/>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89"/>
      <c r="D631" s="89"/>
      <c r="E631" s="93"/>
      <c r="F631" s="93"/>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89"/>
      <c r="D632" s="89"/>
      <c r="E632" s="93"/>
      <c r="F632" s="93"/>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89"/>
      <c r="D633" s="89"/>
      <c r="E633" s="93"/>
      <c r="F633" s="93"/>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89"/>
      <c r="D634" s="89"/>
      <c r="E634" s="93"/>
      <c r="F634" s="93"/>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89"/>
      <c r="D635" s="89"/>
      <c r="E635" s="93"/>
      <c r="F635" s="93"/>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89"/>
      <c r="D636" s="89"/>
      <c r="E636" s="93"/>
      <c r="F636" s="93"/>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89"/>
      <c r="D637" s="89"/>
      <c r="E637" s="93"/>
      <c r="F637" s="93"/>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89"/>
      <c r="D638" s="89"/>
      <c r="E638" s="93"/>
      <c r="F638" s="93"/>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89"/>
      <c r="D639" s="89"/>
      <c r="E639" s="93"/>
      <c r="F639" s="93"/>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89"/>
      <c r="D640" s="89"/>
      <c r="E640" s="93"/>
      <c r="F640" s="93"/>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89"/>
      <c r="D641" s="89"/>
      <c r="E641" s="93"/>
      <c r="F641" s="93"/>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89"/>
      <c r="D642" s="89"/>
      <c r="E642" s="93"/>
      <c r="F642" s="93"/>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89"/>
      <c r="D643" s="89"/>
      <c r="E643" s="93"/>
      <c r="F643" s="93"/>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89"/>
      <c r="D644" s="89"/>
      <c r="E644" s="93"/>
      <c r="F644" s="93"/>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89"/>
      <c r="D645" s="89"/>
      <c r="E645" s="93"/>
      <c r="F645" s="93"/>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89"/>
      <c r="D646" s="89"/>
      <c r="E646" s="93"/>
      <c r="F646" s="93"/>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89"/>
      <c r="D647" s="89"/>
      <c r="E647" s="93"/>
      <c r="F647" s="93"/>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89"/>
      <c r="D648" s="89"/>
      <c r="E648" s="93"/>
      <c r="F648" s="93"/>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89"/>
      <c r="D649" s="89"/>
      <c r="E649" s="93"/>
      <c r="F649" s="93"/>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89"/>
      <c r="D650" s="89"/>
      <c r="E650" s="93"/>
      <c r="F650" s="93"/>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89"/>
      <c r="D651" s="89"/>
      <c r="E651" s="93"/>
      <c r="F651" s="93"/>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89"/>
      <c r="D652" s="89"/>
      <c r="E652" s="93"/>
      <c r="F652" s="93"/>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89"/>
      <c r="D653" s="89"/>
      <c r="E653" s="93"/>
      <c r="F653" s="93"/>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89"/>
      <c r="D654" s="89"/>
      <c r="E654" s="93"/>
      <c r="F654" s="93"/>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89"/>
      <c r="D655" s="89"/>
      <c r="E655" s="93"/>
      <c r="F655" s="93"/>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89"/>
      <c r="D656" s="89"/>
      <c r="E656" s="93"/>
      <c r="F656" s="93"/>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89"/>
      <c r="D657" s="89"/>
      <c r="E657" s="93"/>
      <c r="F657" s="93"/>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89"/>
      <c r="D658" s="89"/>
      <c r="E658" s="93"/>
      <c r="F658" s="93"/>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89"/>
      <c r="D659" s="89"/>
      <c r="E659" s="93"/>
      <c r="F659" s="93"/>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89"/>
      <c r="D660" s="89"/>
      <c r="E660" s="93"/>
      <c r="F660" s="93"/>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89"/>
      <c r="D661" s="89"/>
      <c r="E661" s="93"/>
      <c r="F661" s="93"/>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89"/>
      <c r="D662" s="89"/>
      <c r="E662" s="93"/>
      <c r="F662" s="93"/>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89"/>
      <c r="D663" s="89"/>
      <c r="E663" s="93"/>
      <c r="F663" s="93"/>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89"/>
      <c r="D664" s="89"/>
      <c r="E664" s="93"/>
      <c r="F664" s="93"/>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89"/>
      <c r="D665" s="89"/>
      <c r="E665" s="93"/>
      <c r="F665" s="93"/>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89"/>
      <c r="D666" s="89"/>
      <c r="E666" s="93"/>
      <c r="F666" s="93"/>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89"/>
      <c r="D667" s="89"/>
      <c r="E667" s="93"/>
      <c r="F667" s="93"/>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89"/>
      <c r="D668" s="89"/>
      <c r="E668" s="93"/>
      <c r="F668" s="93"/>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89"/>
      <c r="D669" s="89"/>
      <c r="E669" s="93"/>
      <c r="F669" s="93"/>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89"/>
      <c r="D670" s="89"/>
      <c r="E670" s="93"/>
      <c r="F670" s="93"/>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89"/>
      <c r="D671" s="89"/>
      <c r="E671" s="93"/>
      <c r="F671" s="93"/>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89"/>
      <c r="D672" s="89"/>
      <c r="E672" s="93"/>
      <c r="F672" s="93"/>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89"/>
      <c r="D673" s="89"/>
      <c r="E673" s="93"/>
      <c r="F673" s="93"/>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89"/>
      <c r="D674" s="89"/>
      <c r="E674" s="93"/>
      <c r="F674" s="93"/>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89"/>
      <c r="D675" s="89"/>
      <c r="E675" s="93"/>
      <c r="F675" s="93"/>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89"/>
      <c r="D676" s="89"/>
      <c r="E676" s="93"/>
      <c r="F676" s="93"/>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89"/>
      <c r="D677" s="89"/>
      <c r="E677" s="93"/>
      <c r="F677" s="93"/>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89"/>
      <c r="D678" s="89"/>
      <c r="E678" s="93"/>
      <c r="F678" s="93"/>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89"/>
      <c r="D679" s="89"/>
      <c r="E679" s="93"/>
      <c r="F679" s="93"/>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89"/>
      <c r="D680" s="89"/>
      <c r="E680" s="93"/>
      <c r="F680" s="93"/>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89"/>
      <c r="D681" s="89"/>
      <c r="E681" s="93"/>
      <c r="F681" s="93"/>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89"/>
      <c r="D682" s="89"/>
      <c r="E682" s="93"/>
      <c r="F682" s="93"/>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89"/>
      <c r="D683" s="89"/>
      <c r="E683" s="93"/>
      <c r="F683" s="93"/>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89"/>
      <c r="D684" s="89"/>
      <c r="E684" s="93"/>
      <c r="F684" s="93"/>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89"/>
      <c r="D685" s="89"/>
      <c r="E685" s="93"/>
      <c r="F685" s="93"/>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89"/>
      <c r="D686" s="89"/>
      <c r="E686" s="93"/>
      <c r="F686" s="93"/>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89"/>
      <c r="D687" s="89"/>
      <c r="E687" s="93"/>
      <c r="F687" s="93"/>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89"/>
      <c r="D688" s="89"/>
      <c r="E688" s="93"/>
      <c r="F688" s="93"/>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89"/>
      <c r="D689" s="89"/>
      <c r="E689" s="93"/>
      <c r="F689" s="93"/>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89"/>
      <c r="D690" s="89"/>
      <c r="E690" s="93"/>
      <c r="F690" s="93"/>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89"/>
      <c r="D691" s="89"/>
      <c r="E691" s="93"/>
      <c r="F691" s="93"/>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89"/>
      <c r="D692" s="89"/>
      <c r="E692" s="93"/>
      <c r="F692" s="93"/>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89"/>
      <c r="D693" s="89"/>
      <c r="E693" s="93"/>
      <c r="F693" s="93"/>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89"/>
      <c r="D694" s="89"/>
      <c r="E694" s="93"/>
      <c r="F694" s="93"/>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89"/>
      <c r="D695" s="89"/>
      <c r="E695" s="93"/>
      <c r="F695" s="93"/>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89"/>
      <c r="D696" s="89"/>
      <c r="E696" s="93"/>
      <c r="F696" s="93"/>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89"/>
      <c r="D697" s="89"/>
      <c r="E697" s="93"/>
      <c r="F697" s="93"/>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89"/>
      <c r="D698" s="89"/>
      <c r="E698" s="93"/>
      <c r="F698" s="93"/>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89"/>
      <c r="D699" s="89"/>
      <c r="E699" s="93"/>
      <c r="F699" s="93"/>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89"/>
      <c r="D700" s="89"/>
      <c r="E700" s="93"/>
      <c r="F700" s="93"/>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89"/>
      <c r="D701" s="89"/>
      <c r="E701" s="93"/>
      <c r="F701" s="93"/>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89"/>
      <c r="D702" s="89"/>
      <c r="E702" s="93"/>
      <c r="F702" s="93"/>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89"/>
      <c r="D703" s="89"/>
      <c r="E703" s="93"/>
      <c r="F703" s="93"/>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89"/>
      <c r="D704" s="89"/>
      <c r="E704" s="93"/>
      <c r="F704" s="93"/>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89"/>
      <c r="D705" s="89"/>
      <c r="E705" s="93"/>
      <c r="F705" s="93"/>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89"/>
      <c r="D706" s="89"/>
      <c r="E706" s="93"/>
      <c r="F706" s="93"/>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89"/>
      <c r="D707" s="89"/>
      <c r="E707" s="93"/>
      <c r="F707" s="93"/>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89"/>
      <c r="D708" s="89"/>
      <c r="E708" s="93"/>
      <c r="F708" s="93"/>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89"/>
      <c r="D709" s="89"/>
      <c r="E709" s="93"/>
      <c r="F709" s="93"/>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89"/>
      <c r="D710" s="89"/>
      <c r="E710" s="93"/>
      <c r="F710" s="93"/>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89"/>
      <c r="D711" s="89"/>
      <c r="E711" s="93"/>
      <c r="F711" s="93"/>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89"/>
      <c r="D712" s="89"/>
      <c r="E712" s="93"/>
      <c r="F712" s="93"/>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89"/>
      <c r="D713" s="89"/>
      <c r="E713" s="93"/>
      <c r="F713" s="93"/>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89"/>
      <c r="D714" s="89"/>
      <c r="E714" s="93"/>
      <c r="F714" s="93"/>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89"/>
      <c r="D715" s="89"/>
      <c r="E715" s="93"/>
      <c r="F715" s="93"/>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89"/>
      <c r="D716" s="89"/>
      <c r="E716" s="93"/>
      <c r="F716" s="93"/>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89"/>
      <c r="D717" s="89"/>
      <c r="E717" s="93"/>
      <c r="F717" s="93"/>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89"/>
      <c r="D718" s="89"/>
      <c r="E718" s="93"/>
      <c r="F718" s="93"/>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89"/>
      <c r="D719" s="89"/>
      <c r="E719" s="93"/>
      <c r="F719" s="93"/>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89"/>
      <c r="D720" s="89"/>
      <c r="E720" s="93"/>
      <c r="F720" s="93"/>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89"/>
      <c r="D721" s="89"/>
      <c r="E721" s="93"/>
      <c r="F721" s="93"/>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89"/>
      <c r="D722" s="89"/>
      <c r="E722" s="93"/>
      <c r="F722" s="93"/>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89"/>
      <c r="D723" s="89"/>
      <c r="E723" s="93"/>
      <c r="F723" s="93"/>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89"/>
      <c r="D724" s="89"/>
      <c r="E724" s="93"/>
      <c r="F724" s="93"/>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89"/>
      <c r="D725" s="89"/>
      <c r="E725" s="93"/>
      <c r="F725" s="93"/>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89"/>
      <c r="D726" s="89"/>
      <c r="E726" s="93"/>
      <c r="F726" s="93"/>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89"/>
      <c r="D727" s="89"/>
      <c r="E727" s="93"/>
      <c r="F727" s="93"/>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89"/>
      <c r="D728" s="89"/>
      <c r="E728" s="93"/>
      <c r="F728" s="93"/>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89"/>
      <c r="D729" s="89"/>
      <c r="E729" s="93"/>
      <c r="F729" s="93"/>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89"/>
      <c r="D730" s="89"/>
      <c r="E730" s="93"/>
      <c r="F730" s="93"/>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89"/>
      <c r="D731" s="89"/>
      <c r="E731" s="93"/>
      <c r="F731" s="93"/>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89"/>
      <c r="D732" s="89"/>
      <c r="E732" s="93"/>
      <c r="F732" s="93"/>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89"/>
      <c r="D733" s="89"/>
      <c r="E733" s="93"/>
      <c r="F733" s="93"/>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89"/>
      <c r="D734" s="89"/>
      <c r="E734" s="93"/>
      <c r="F734" s="93"/>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89"/>
      <c r="D735" s="89"/>
      <c r="E735" s="93"/>
      <c r="F735" s="93"/>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89"/>
      <c r="D736" s="89"/>
      <c r="E736" s="93"/>
      <c r="F736" s="93"/>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89"/>
      <c r="D737" s="89"/>
      <c r="E737" s="93"/>
      <c r="F737" s="93"/>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89"/>
      <c r="D738" s="89"/>
      <c r="E738" s="93"/>
      <c r="F738" s="93"/>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89"/>
      <c r="D739" s="89"/>
      <c r="E739" s="93"/>
      <c r="F739" s="93"/>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89"/>
      <c r="D740" s="89"/>
      <c r="E740" s="93"/>
      <c r="F740" s="93"/>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89"/>
      <c r="D741" s="89"/>
      <c r="E741" s="93"/>
      <c r="F741" s="93"/>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89"/>
      <c r="D742" s="89"/>
      <c r="E742" s="93"/>
      <c r="F742" s="93"/>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89"/>
      <c r="D743" s="89"/>
      <c r="E743" s="93"/>
      <c r="F743" s="93"/>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89"/>
      <c r="D744" s="89"/>
      <c r="E744" s="93"/>
      <c r="F744" s="93"/>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89"/>
      <c r="D745" s="89"/>
      <c r="E745" s="93"/>
      <c r="F745" s="93"/>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89"/>
      <c r="D746" s="89"/>
      <c r="E746" s="93"/>
      <c r="F746" s="93"/>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89"/>
      <c r="D747" s="89"/>
      <c r="E747" s="93"/>
      <c r="F747" s="93"/>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89"/>
      <c r="D748" s="89"/>
      <c r="E748" s="93"/>
      <c r="F748" s="93"/>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89"/>
      <c r="D749" s="89"/>
      <c r="E749" s="93"/>
      <c r="F749" s="93"/>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89"/>
      <c r="D750" s="89"/>
      <c r="E750" s="93"/>
      <c r="F750" s="93"/>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89"/>
      <c r="D751" s="89"/>
      <c r="E751" s="93"/>
      <c r="F751" s="93"/>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89"/>
      <c r="D752" s="89"/>
      <c r="E752" s="93"/>
      <c r="F752" s="93"/>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89"/>
      <c r="D753" s="89"/>
      <c r="E753" s="93"/>
      <c r="F753" s="93"/>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89"/>
      <c r="D754" s="89"/>
      <c r="E754" s="93"/>
      <c r="F754" s="93"/>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89"/>
      <c r="D755" s="89"/>
      <c r="E755" s="93"/>
      <c r="F755" s="93"/>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89"/>
      <c r="D756" s="89"/>
      <c r="E756" s="93"/>
      <c r="F756" s="93"/>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89"/>
      <c r="D757" s="89"/>
      <c r="E757" s="93"/>
      <c r="F757" s="93"/>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89"/>
      <c r="D758" s="89"/>
      <c r="E758" s="93"/>
      <c r="F758" s="93"/>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89"/>
      <c r="D759" s="89"/>
      <c r="E759" s="93"/>
      <c r="F759" s="93"/>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89"/>
      <c r="D760" s="89"/>
      <c r="E760" s="93"/>
      <c r="F760" s="93"/>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89"/>
      <c r="D761" s="89"/>
      <c r="E761" s="93"/>
      <c r="F761" s="93"/>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89"/>
      <c r="D762" s="89"/>
      <c r="E762" s="93"/>
      <c r="F762" s="93"/>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89"/>
      <c r="D763" s="89"/>
      <c r="E763" s="93"/>
      <c r="F763" s="93"/>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89"/>
      <c r="D764" s="89"/>
      <c r="E764" s="93"/>
      <c r="F764" s="93"/>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89"/>
      <c r="D765" s="89"/>
      <c r="E765" s="93"/>
      <c r="F765" s="93"/>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89"/>
      <c r="D766" s="89"/>
      <c r="E766" s="93"/>
      <c r="F766" s="93"/>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89"/>
      <c r="D767" s="89"/>
      <c r="E767" s="93"/>
      <c r="F767" s="93"/>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89"/>
      <c r="D768" s="89"/>
      <c r="E768" s="93"/>
      <c r="F768" s="93"/>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89"/>
      <c r="D769" s="89"/>
      <c r="E769" s="93"/>
      <c r="F769" s="93"/>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89"/>
      <c r="D770" s="89"/>
      <c r="E770" s="93"/>
      <c r="F770" s="93"/>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89"/>
      <c r="D771" s="89"/>
      <c r="E771" s="93"/>
      <c r="F771" s="93"/>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89"/>
      <c r="D772" s="89"/>
      <c r="E772" s="93"/>
      <c r="F772" s="93"/>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89"/>
      <c r="D773" s="89"/>
      <c r="E773" s="93"/>
      <c r="F773" s="93"/>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89"/>
      <c r="D774" s="89"/>
      <c r="E774" s="93"/>
      <c r="F774" s="93"/>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89"/>
      <c r="D775" s="89"/>
      <c r="E775" s="93"/>
      <c r="F775" s="93"/>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89"/>
      <c r="D776" s="89"/>
      <c r="E776" s="93"/>
      <c r="F776" s="93"/>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89"/>
      <c r="D777" s="89"/>
      <c r="E777" s="93"/>
      <c r="F777" s="93"/>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89"/>
      <c r="D778" s="89"/>
      <c r="E778" s="93"/>
      <c r="F778" s="93"/>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89"/>
      <c r="D779" s="89"/>
      <c r="E779" s="93"/>
      <c r="F779" s="93"/>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89"/>
      <c r="D780" s="89"/>
      <c r="E780" s="93"/>
      <c r="F780" s="93"/>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89"/>
      <c r="D781" s="89"/>
      <c r="E781" s="93"/>
      <c r="F781" s="93"/>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89"/>
      <c r="D782" s="89"/>
      <c r="E782" s="93"/>
      <c r="F782" s="93"/>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89"/>
      <c r="D783" s="89"/>
      <c r="E783" s="93"/>
      <c r="F783" s="93"/>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89"/>
      <c r="D784" s="89"/>
      <c r="E784" s="93"/>
      <c r="F784" s="93"/>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89"/>
      <c r="D785" s="89"/>
      <c r="E785" s="93"/>
      <c r="F785" s="93"/>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89"/>
      <c r="D786" s="89"/>
      <c r="E786" s="93"/>
      <c r="F786" s="93"/>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89"/>
      <c r="D787" s="89"/>
      <c r="E787" s="93"/>
      <c r="F787" s="93"/>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89"/>
      <c r="D788" s="89"/>
      <c r="E788" s="93"/>
      <c r="F788" s="93"/>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89"/>
      <c r="D789" s="89"/>
      <c r="E789" s="93"/>
      <c r="F789" s="93"/>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89"/>
      <c r="D790" s="89"/>
      <c r="E790" s="93"/>
      <c r="F790" s="93"/>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89"/>
      <c r="D791" s="89"/>
      <c r="E791" s="93"/>
      <c r="F791" s="93"/>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89"/>
      <c r="D792" s="89"/>
      <c r="E792" s="93"/>
      <c r="F792" s="93"/>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89"/>
      <c r="D793" s="89"/>
      <c r="E793" s="93"/>
      <c r="F793" s="93"/>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89"/>
      <c r="D794" s="89"/>
      <c r="E794" s="93"/>
      <c r="F794" s="93"/>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89"/>
      <c r="D795" s="89"/>
      <c r="E795" s="93"/>
      <c r="F795" s="93"/>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89"/>
      <c r="D796" s="89"/>
      <c r="E796" s="93"/>
      <c r="F796" s="93"/>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89"/>
      <c r="D797" s="89"/>
      <c r="E797" s="93"/>
      <c r="F797" s="93"/>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89"/>
      <c r="D798" s="89"/>
      <c r="E798" s="93"/>
      <c r="F798" s="93"/>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89"/>
      <c r="D799" s="89"/>
      <c r="E799" s="93"/>
      <c r="F799" s="93"/>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89"/>
      <c r="D800" s="89"/>
      <c r="E800" s="93"/>
      <c r="F800" s="93"/>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89"/>
      <c r="D801" s="89"/>
      <c r="E801" s="93"/>
      <c r="F801" s="93"/>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89"/>
      <c r="D802" s="89"/>
      <c r="E802" s="93"/>
      <c r="F802" s="93"/>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89"/>
      <c r="D803" s="89"/>
      <c r="E803" s="93"/>
      <c r="F803" s="93"/>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89"/>
      <c r="D804" s="89"/>
      <c r="E804" s="93"/>
      <c r="F804" s="93"/>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89"/>
      <c r="D805" s="89"/>
      <c r="E805" s="93"/>
      <c r="F805" s="93"/>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89"/>
      <c r="D806" s="89"/>
      <c r="E806" s="93"/>
      <c r="F806" s="93"/>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89"/>
      <c r="D807" s="89"/>
      <c r="E807" s="93"/>
      <c r="F807" s="93"/>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89"/>
      <c r="D808" s="89"/>
      <c r="E808" s="93"/>
      <c r="F808" s="93"/>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89"/>
      <c r="D809" s="89"/>
      <c r="E809" s="93"/>
      <c r="F809" s="93"/>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89"/>
      <c r="D810" s="89"/>
      <c r="E810" s="93"/>
      <c r="F810" s="93"/>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89"/>
      <c r="D811" s="89"/>
      <c r="E811" s="93"/>
      <c r="F811" s="93"/>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89"/>
      <c r="D812" s="89"/>
      <c r="E812" s="93"/>
      <c r="F812" s="93"/>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89"/>
      <c r="D813" s="89"/>
      <c r="E813" s="93"/>
      <c r="F813" s="93"/>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89"/>
      <c r="D814" s="89"/>
      <c r="E814" s="93"/>
      <c r="F814" s="93"/>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89"/>
      <c r="D815" s="89"/>
      <c r="E815" s="93"/>
      <c r="F815" s="93"/>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89"/>
      <c r="D816" s="89"/>
      <c r="E816" s="93"/>
      <c r="F816" s="93"/>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89"/>
      <c r="D817" s="89"/>
      <c r="E817" s="93"/>
      <c r="F817" s="93"/>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89"/>
      <c r="D818" s="89"/>
      <c r="E818" s="93"/>
      <c r="F818" s="93"/>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89"/>
      <c r="D819" s="89"/>
      <c r="E819" s="93"/>
      <c r="F819" s="93"/>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89"/>
      <c r="D820" s="89"/>
      <c r="E820" s="93"/>
      <c r="F820" s="93"/>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89"/>
      <c r="D821" s="89"/>
      <c r="E821" s="93"/>
      <c r="F821" s="93"/>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89"/>
      <c r="D822" s="89"/>
      <c r="E822" s="93"/>
      <c r="F822" s="93"/>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89"/>
      <c r="D823" s="89"/>
      <c r="E823" s="93"/>
      <c r="F823" s="93"/>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89"/>
      <c r="D824" s="89"/>
      <c r="E824" s="93"/>
      <c r="F824" s="93"/>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89"/>
      <c r="D825" s="89"/>
      <c r="E825" s="93"/>
      <c r="F825" s="93"/>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89"/>
      <c r="D826" s="89"/>
      <c r="E826" s="93"/>
      <c r="F826" s="93"/>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89"/>
      <c r="D827" s="89"/>
      <c r="E827" s="93"/>
      <c r="F827" s="93"/>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89"/>
      <c r="D828" s="89"/>
      <c r="E828" s="93"/>
      <c r="F828" s="93"/>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89"/>
      <c r="D829" s="89"/>
      <c r="E829" s="93"/>
      <c r="F829" s="93"/>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89"/>
      <c r="D830" s="89"/>
      <c r="E830" s="93"/>
      <c r="F830" s="93"/>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89"/>
      <c r="D831" s="89"/>
      <c r="E831" s="93"/>
      <c r="F831" s="93"/>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89"/>
      <c r="D832" s="89"/>
      <c r="E832" s="93"/>
      <c r="F832" s="93"/>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89"/>
      <c r="D833" s="89"/>
      <c r="E833" s="93"/>
      <c r="F833" s="93"/>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89"/>
      <c r="D834" s="89"/>
      <c r="E834" s="93"/>
      <c r="F834" s="93"/>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89"/>
      <c r="D835" s="89"/>
      <c r="E835" s="93"/>
      <c r="F835" s="93"/>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89"/>
      <c r="D836" s="89"/>
      <c r="E836" s="93"/>
      <c r="F836" s="93"/>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89"/>
      <c r="D837" s="89"/>
      <c r="E837" s="93"/>
      <c r="F837" s="93"/>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89"/>
      <c r="D838" s="89"/>
      <c r="E838" s="93"/>
      <c r="F838" s="93"/>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89"/>
      <c r="D839" s="89"/>
      <c r="E839" s="93"/>
      <c r="F839" s="93"/>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89"/>
      <c r="D840" s="89"/>
      <c r="E840" s="93"/>
      <c r="F840" s="93"/>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89"/>
      <c r="D841" s="89"/>
      <c r="E841" s="93"/>
      <c r="F841" s="93"/>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89"/>
      <c r="D842" s="89"/>
      <c r="E842" s="93"/>
      <c r="F842" s="93"/>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89"/>
      <c r="D843" s="89"/>
      <c r="E843" s="93"/>
      <c r="F843" s="93"/>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89"/>
      <c r="D844" s="89"/>
      <c r="E844" s="93"/>
      <c r="F844" s="93"/>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89"/>
      <c r="D845" s="89"/>
      <c r="E845" s="93"/>
      <c r="F845" s="93"/>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89"/>
      <c r="D846" s="89"/>
      <c r="E846" s="93"/>
      <c r="F846" s="93"/>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89"/>
      <c r="D847" s="89"/>
      <c r="E847" s="93"/>
      <c r="F847" s="93"/>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89"/>
      <c r="D848" s="89"/>
      <c r="E848" s="93"/>
      <c r="F848" s="93"/>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89"/>
      <c r="D849" s="89"/>
      <c r="E849" s="93"/>
      <c r="F849" s="93"/>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89"/>
      <c r="D850" s="89"/>
      <c r="E850" s="93"/>
      <c r="F850" s="93"/>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89"/>
      <c r="D851" s="89"/>
      <c r="E851" s="93"/>
      <c r="F851" s="93"/>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89"/>
      <c r="D852" s="89"/>
      <c r="E852" s="93"/>
      <c r="F852" s="93"/>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89"/>
      <c r="D853" s="89"/>
      <c r="E853" s="93"/>
      <c r="F853" s="93"/>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89"/>
      <c r="D854" s="89"/>
      <c r="E854" s="93"/>
      <c r="F854" s="93"/>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89"/>
      <c r="D855" s="89"/>
      <c r="E855" s="93"/>
      <c r="F855" s="93"/>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89"/>
      <c r="D856" s="89"/>
      <c r="E856" s="93"/>
      <c r="F856" s="93"/>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89"/>
      <c r="D857" s="89"/>
      <c r="E857" s="93"/>
      <c r="F857" s="93"/>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89"/>
      <c r="D858" s="89"/>
      <c r="E858" s="93"/>
      <c r="F858" s="93"/>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89"/>
      <c r="D859" s="89"/>
      <c r="E859" s="93"/>
      <c r="F859" s="93"/>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89"/>
      <c r="D860" s="89"/>
      <c r="E860" s="93"/>
      <c r="F860" s="93"/>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89"/>
      <c r="D861" s="89"/>
      <c r="E861" s="93"/>
      <c r="F861" s="93"/>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89"/>
      <c r="D862" s="89"/>
      <c r="E862" s="93"/>
      <c r="F862" s="93"/>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89"/>
      <c r="D863" s="89"/>
      <c r="E863" s="93"/>
      <c r="F863" s="93"/>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89"/>
      <c r="D864" s="89"/>
      <c r="E864" s="93"/>
      <c r="F864" s="93"/>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89"/>
      <c r="D865" s="89"/>
      <c r="E865" s="93"/>
      <c r="F865" s="93"/>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89"/>
      <c r="D866" s="89"/>
      <c r="E866" s="93"/>
      <c r="F866" s="93"/>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89"/>
      <c r="D867" s="89"/>
      <c r="E867" s="93"/>
      <c r="F867" s="93"/>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89"/>
      <c r="D868" s="89"/>
      <c r="E868" s="93"/>
      <c r="F868" s="93"/>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89"/>
      <c r="D869" s="89"/>
      <c r="E869" s="93"/>
      <c r="F869" s="93"/>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89"/>
      <c r="D870" s="89"/>
      <c r="E870" s="93"/>
      <c r="F870" s="93"/>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89"/>
      <c r="D871" s="89"/>
      <c r="E871" s="93"/>
      <c r="F871" s="93"/>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89"/>
      <c r="D872" s="89"/>
      <c r="E872" s="93"/>
      <c r="F872" s="93"/>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89"/>
      <c r="D873" s="89"/>
      <c r="E873" s="93"/>
      <c r="F873" s="93"/>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89"/>
      <c r="D874" s="89"/>
      <c r="E874" s="93"/>
      <c r="F874" s="93"/>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89"/>
      <c r="D875" s="89"/>
      <c r="E875" s="93"/>
      <c r="F875" s="93"/>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89"/>
      <c r="D876" s="89"/>
      <c r="E876" s="93"/>
      <c r="F876" s="93"/>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89"/>
      <c r="D877" s="89"/>
      <c r="E877" s="93"/>
      <c r="F877" s="93"/>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89"/>
      <c r="D878" s="89"/>
      <c r="E878" s="93"/>
      <c r="F878" s="93"/>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89"/>
      <c r="D879" s="89"/>
      <c r="E879" s="93"/>
      <c r="F879" s="93"/>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89"/>
      <c r="D880" s="89"/>
      <c r="E880" s="93"/>
      <c r="F880" s="93"/>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89"/>
      <c r="D881" s="89"/>
      <c r="E881" s="93"/>
      <c r="F881" s="93"/>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89"/>
      <c r="D882" s="89"/>
      <c r="E882" s="93"/>
      <c r="F882" s="93"/>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89"/>
      <c r="D883" s="89"/>
      <c r="E883" s="93"/>
      <c r="F883" s="93"/>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89"/>
      <c r="D884" s="89"/>
      <c r="E884" s="93"/>
      <c r="F884" s="93"/>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89"/>
      <c r="D885" s="89"/>
      <c r="E885" s="93"/>
      <c r="F885" s="93"/>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89"/>
      <c r="D886" s="89"/>
      <c r="E886" s="93"/>
      <c r="F886" s="93"/>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89"/>
      <c r="D887" s="89"/>
      <c r="E887" s="93"/>
      <c r="F887" s="93"/>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89"/>
      <c r="D888" s="89"/>
      <c r="E888" s="93"/>
      <c r="F888" s="93"/>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89"/>
      <c r="D889" s="89"/>
      <c r="E889" s="93"/>
      <c r="F889" s="93"/>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89"/>
      <c r="D890" s="89"/>
      <c r="E890" s="93"/>
      <c r="F890" s="93"/>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89"/>
      <c r="D891" s="89"/>
      <c r="E891" s="93"/>
      <c r="F891" s="93"/>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89"/>
      <c r="D892" s="89"/>
      <c r="E892" s="93"/>
      <c r="F892" s="93"/>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89"/>
      <c r="D893" s="89"/>
      <c r="E893" s="93"/>
      <c r="F893" s="93"/>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89"/>
      <c r="D894" s="89"/>
      <c r="E894" s="93"/>
      <c r="F894" s="93"/>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89"/>
      <c r="D895" s="89"/>
      <c r="E895" s="93"/>
      <c r="F895" s="93"/>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89"/>
      <c r="D896" s="89"/>
      <c r="E896" s="93"/>
      <c r="F896" s="93"/>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89"/>
      <c r="D897" s="89"/>
      <c r="E897" s="93"/>
      <c r="F897" s="93"/>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89"/>
      <c r="D898" s="89"/>
      <c r="E898" s="93"/>
      <c r="F898" s="93"/>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89"/>
      <c r="D899" s="89"/>
      <c r="E899" s="93"/>
      <c r="F899" s="93"/>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89"/>
      <c r="D900" s="89"/>
      <c r="E900" s="93"/>
      <c r="F900" s="93"/>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89"/>
      <c r="D901" s="89"/>
      <c r="E901" s="93"/>
      <c r="F901" s="93"/>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89"/>
      <c r="D902" s="89"/>
      <c r="E902" s="93"/>
      <c r="F902" s="93"/>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89"/>
      <c r="D903" s="89"/>
      <c r="E903" s="93"/>
      <c r="F903" s="93"/>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89"/>
      <c r="D904" s="89"/>
      <c r="E904" s="93"/>
      <c r="F904" s="93"/>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89"/>
      <c r="D905" s="89"/>
      <c r="E905" s="93"/>
      <c r="F905" s="93"/>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89"/>
      <c r="D906" s="89"/>
      <c r="E906" s="93"/>
      <c r="F906" s="93"/>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89"/>
      <c r="D907" s="89"/>
      <c r="E907" s="93"/>
      <c r="F907" s="93"/>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89"/>
      <c r="D908" s="89"/>
      <c r="E908" s="93"/>
      <c r="F908" s="93"/>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89"/>
      <c r="D909" s="89"/>
      <c r="E909" s="93"/>
      <c r="F909" s="93"/>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89"/>
      <c r="D910" s="89"/>
      <c r="E910" s="93"/>
      <c r="F910" s="93"/>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89"/>
      <c r="D911" s="89"/>
      <c r="E911" s="93"/>
      <c r="F911" s="93"/>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89"/>
      <c r="D912" s="89"/>
      <c r="E912" s="93"/>
      <c r="F912" s="93"/>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89"/>
      <c r="D913" s="89"/>
      <c r="E913" s="93"/>
      <c r="F913" s="93"/>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89"/>
      <c r="D914" s="89"/>
      <c r="E914" s="93"/>
      <c r="F914" s="93"/>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89"/>
      <c r="D915" s="89"/>
      <c r="E915" s="93"/>
      <c r="F915" s="93"/>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89"/>
      <c r="D916" s="89"/>
      <c r="E916" s="93"/>
      <c r="F916" s="93"/>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89"/>
      <c r="D917" s="89"/>
      <c r="E917" s="93"/>
      <c r="F917" s="93"/>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89"/>
      <c r="D918" s="89"/>
      <c r="E918" s="93"/>
      <c r="F918" s="93"/>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89"/>
      <c r="D919" s="89"/>
      <c r="E919" s="93"/>
      <c r="F919" s="93"/>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89"/>
      <c r="D920" s="89"/>
      <c r="E920" s="93"/>
      <c r="F920" s="93"/>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89"/>
      <c r="D921" s="89"/>
      <c r="E921" s="93"/>
      <c r="F921" s="93"/>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89"/>
      <c r="D922" s="89"/>
      <c r="E922" s="93"/>
      <c r="F922" s="93"/>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89"/>
      <c r="D923" s="89"/>
      <c r="E923" s="93"/>
      <c r="F923" s="93"/>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89"/>
      <c r="D924" s="89"/>
      <c r="E924" s="93"/>
      <c r="F924" s="93"/>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89"/>
      <c r="D925" s="89"/>
      <c r="E925" s="93"/>
      <c r="F925" s="93"/>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89"/>
      <c r="D926" s="89"/>
      <c r="E926" s="93"/>
      <c r="F926" s="93"/>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89"/>
      <c r="D927" s="89"/>
      <c r="E927" s="93"/>
      <c r="F927" s="93"/>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89"/>
      <c r="D928" s="89"/>
      <c r="E928" s="93"/>
      <c r="F928" s="93"/>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89"/>
      <c r="D929" s="89"/>
      <c r="E929" s="93"/>
      <c r="F929" s="93"/>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89"/>
      <c r="D930" s="89"/>
      <c r="E930" s="93"/>
      <c r="F930" s="93"/>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89"/>
      <c r="D931" s="89"/>
      <c r="E931" s="93"/>
      <c r="F931" s="93"/>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89"/>
      <c r="D932" s="89"/>
      <c r="E932" s="93"/>
      <c r="F932" s="93"/>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89"/>
      <c r="D933" s="89"/>
      <c r="E933" s="93"/>
      <c r="F933" s="93"/>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89"/>
      <c r="D934" s="89"/>
      <c r="E934" s="93"/>
      <c r="F934" s="93"/>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89"/>
      <c r="D935" s="89"/>
      <c r="E935" s="93"/>
      <c r="F935" s="93"/>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89"/>
      <c r="D936" s="89"/>
      <c r="E936" s="93"/>
      <c r="F936" s="93"/>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89"/>
      <c r="D937" s="89"/>
      <c r="E937" s="93"/>
      <c r="F937" s="93"/>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89"/>
      <c r="D938" s="89"/>
      <c r="E938" s="93"/>
      <c r="F938" s="93"/>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89"/>
      <c r="D939" s="89"/>
      <c r="E939" s="93"/>
      <c r="F939" s="93"/>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89"/>
      <c r="D940" s="89"/>
      <c r="E940" s="93"/>
      <c r="F940" s="93"/>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89"/>
      <c r="D941" s="89"/>
      <c r="E941" s="93"/>
      <c r="F941" s="93"/>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89"/>
      <c r="D942" s="89"/>
      <c r="E942" s="93"/>
      <c r="F942" s="93"/>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89"/>
      <c r="D943" s="89"/>
      <c r="E943" s="93"/>
      <c r="F943" s="93"/>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89"/>
      <c r="D944" s="89"/>
      <c r="E944" s="93"/>
      <c r="F944" s="93"/>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89"/>
      <c r="D945" s="89"/>
      <c r="E945" s="93"/>
      <c r="F945" s="93"/>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89"/>
      <c r="D946" s="89"/>
      <c r="E946" s="93"/>
      <c r="F946" s="93"/>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89"/>
      <c r="D947" s="89"/>
      <c r="E947" s="93"/>
      <c r="F947" s="93"/>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89"/>
      <c r="D948" s="89"/>
      <c r="E948" s="93"/>
      <c r="F948" s="93"/>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89"/>
      <c r="D949" s="89"/>
      <c r="E949" s="93"/>
      <c r="F949" s="93"/>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89"/>
      <c r="D950" s="89"/>
      <c r="E950" s="93"/>
      <c r="F950" s="93"/>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89"/>
      <c r="D951" s="89"/>
      <c r="E951" s="93"/>
      <c r="F951" s="93"/>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89"/>
      <c r="D952" s="89"/>
      <c r="E952" s="93"/>
      <c r="F952" s="93"/>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89"/>
      <c r="D953" s="89"/>
      <c r="E953" s="93"/>
      <c r="F953" s="93"/>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89"/>
      <c r="D954" s="89"/>
      <c r="E954" s="93"/>
      <c r="F954" s="93"/>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89"/>
      <c r="D955" s="89"/>
      <c r="E955" s="93"/>
      <c r="F955" s="93"/>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89"/>
      <c r="D956" s="89"/>
      <c r="E956" s="93"/>
      <c r="F956" s="93"/>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89"/>
      <c r="D957" s="89"/>
      <c r="E957" s="93"/>
      <c r="F957" s="93"/>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89"/>
      <c r="D958" s="89"/>
      <c r="E958" s="93"/>
      <c r="F958" s="93"/>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89"/>
      <c r="D959" s="89"/>
      <c r="E959" s="93"/>
      <c r="F959" s="93"/>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89"/>
      <c r="D960" s="89"/>
      <c r="E960" s="93"/>
      <c r="F960" s="93"/>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89"/>
      <c r="D961" s="89"/>
      <c r="E961" s="93"/>
      <c r="F961" s="93"/>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89"/>
      <c r="D962" s="89"/>
      <c r="E962" s="93"/>
      <c r="F962" s="93"/>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89"/>
      <c r="D963" s="89"/>
      <c r="E963" s="93"/>
      <c r="F963" s="93"/>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89"/>
      <c r="D964" s="89"/>
      <c r="E964" s="93"/>
      <c r="F964" s="93"/>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89"/>
      <c r="D965" s="89"/>
      <c r="E965" s="93"/>
      <c r="F965" s="93"/>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89"/>
      <c r="D966" s="89"/>
      <c r="E966" s="93"/>
      <c r="F966" s="93"/>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89"/>
      <c r="D967" s="89"/>
      <c r="E967" s="93"/>
      <c r="F967" s="93"/>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89"/>
      <c r="D968" s="89"/>
      <c r="E968" s="93"/>
      <c r="F968" s="93"/>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89"/>
      <c r="D969" s="89"/>
      <c r="E969" s="93"/>
      <c r="F969" s="93"/>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89"/>
      <c r="D970" s="89"/>
      <c r="E970" s="93"/>
      <c r="F970" s="93"/>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89"/>
      <c r="D971" s="89"/>
      <c r="E971" s="93"/>
      <c r="F971" s="93"/>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89"/>
      <c r="D972" s="89"/>
      <c r="E972" s="93"/>
      <c r="F972" s="93"/>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89"/>
      <c r="D973" s="89"/>
      <c r="E973" s="93"/>
      <c r="F973" s="93"/>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89"/>
      <c r="D974" s="89"/>
      <c r="E974" s="93"/>
      <c r="F974" s="93"/>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89"/>
      <c r="D975" s="89"/>
      <c r="E975" s="93"/>
      <c r="F975" s="93"/>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89"/>
      <c r="D976" s="89"/>
      <c r="E976" s="93"/>
      <c r="F976" s="93"/>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89"/>
      <c r="D977" s="89"/>
      <c r="E977" s="93"/>
      <c r="F977" s="93"/>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89"/>
      <c r="D978" s="89"/>
      <c r="E978" s="93"/>
      <c r="F978" s="93"/>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89"/>
      <c r="D979" s="89"/>
      <c r="E979" s="93"/>
      <c r="F979" s="93"/>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89"/>
      <c r="D980" s="89"/>
      <c r="E980" s="93"/>
      <c r="F980" s="93"/>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89"/>
      <c r="D981" s="89"/>
      <c r="E981" s="93"/>
      <c r="F981" s="93"/>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89"/>
      <c r="D982" s="89"/>
      <c r="E982" s="93"/>
      <c r="F982" s="93"/>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89"/>
      <c r="D983" s="89"/>
      <c r="E983" s="93"/>
      <c r="F983" s="93"/>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89"/>
      <c r="D984" s="89"/>
      <c r="E984" s="93"/>
      <c r="F984" s="93"/>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89"/>
      <c r="D985" s="89"/>
      <c r="E985" s="93"/>
      <c r="F985" s="93"/>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89"/>
      <c r="D986" s="89"/>
      <c r="E986" s="93"/>
      <c r="F986" s="93"/>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89"/>
      <c r="D987" s="89"/>
      <c r="E987" s="93"/>
      <c r="F987" s="93"/>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89"/>
      <c r="D988" s="89"/>
      <c r="E988" s="93"/>
      <c r="F988" s="93"/>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89"/>
      <c r="D989" s="89"/>
      <c r="E989" s="93"/>
      <c r="F989" s="93"/>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89"/>
      <c r="D990" s="89"/>
      <c r="E990" s="93"/>
      <c r="F990" s="93"/>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89"/>
      <c r="D991" s="89"/>
      <c r="E991" s="93"/>
      <c r="F991" s="93"/>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89"/>
      <c r="D992" s="89"/>
      <c r="E992" s="93"/>
      <c r="F992" s="93"/>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89"/>
      <c r="D993" s="89"/>
      <c r="E993" s="93"/>
      <c r="F993" s="93"/>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89"/>
      <c r="D994" s="89"/>
      <c r="E994" s="93"/>
      <c r="F994" s="93"/>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89"/>
      <c r="D995" s="89"/>
      <c r="E995" s="93"/>
      <c r="F995" s="93"/>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89"/>
      <c r="D996" s="89"/>
      <c r="E996" s="93"/>
      <c r="F996" s="93"/>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89"/>
      <c r="D997" s="89"/>
      <c r="E997" s="93"/>
      <c r="F997" s="93"/>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89"/>
      <c r="D998" s="89"/>
      <c r="E998" s="93"/>
      <c r="F998" s="93"/>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89"/>
      <c r="D999" s="89"/>
      <c r="E999" s="93"/>
      <c r="F999" s="93"/>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89"/>
      <c r="D1000" s="89"/>
      <c r="E1000" s="93"/>
      <c r="F1000" s="93"/>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89"/>
      <c r="D1001" s="89"/>
      <c r="E1001" s="93"/>
      <c r="F1001" s="93"/>
      <c r="G1001" s="1"/>
      <c r="H1001" s="1"/>
      <c r="I1001" s="1"/>
      <c r="J1001" s="1"/>
      <c r="K1001" s="1"/>
      <c r="L1001" s="1"/>
      <c r="M1001" s="1"/>
      <c r="N1001" s="1"/>
      <c r="O1001" s="1"/>
      <c r="P1001" s="1"/>
      <c r="Q1001" s="1"/>
      <c r="R1001" s="1"/>
      <c r="S1001" s="1"/>
      <c r="T1001" s="1"/>
      <c r="U1001" s="1"/>
      <c r="V1001" s="1"/>
      <c r="W1001" s="1"/>
      <c r="X1001" s="1"/>
      <c r="Y1001" s="1"/>
      <c r="Z1001" s="1"/>
    </row>
  </sheetData>
  <mergeCells count="11">
    <mergeCell ref="A3:B3"/>
    <mergeCell ref="G2:L2"/>
    <mergeCell ref="A1:L1"/>
    <mergeCell ref="A2:B2"/>
    <mergeCell ref="E2:F2"/>
    <mergeCell ref="C2:D2"/>
    <mergeCell ref="E3:F3"/>
    <mergeCell ref="K3:L3"/>
    <mergeCell ref="G3:H3"/>
    <mergeCell ref="I3:J3"/>
    <mergeCell ref="C3:D3"/>
  </mergeCells>
  <pageMargins left="0.75" right="0.75" top="1" bottom="1" header="0.3" footer="0.3"/>
  <pageSetup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1001"/>
  <sheetViews>
    <sheetView workbookViewId="0">
      <pane xSplit="1" ySplit="4" topLeftCell="B23" activePane="bottomRight" state="frozen"/>
      <selection pane="topRight" activeCell="B1" sqref="B1"/>
      <selection pane="bottomLeft" activeCell="A5" sqref="A5"/>
      <selection pane="bottomRight" activeCell="C4" sqref="C1:D65536"/>
    </sheetView>
  </sheetViews>
  <sheetFormatPr defaultColWidth="17.28515625" defaultRowHeight="15" customHeight="1" x14ac:dyDescent="0.2"/>
  <cols>
    <col min="1" max="1" width="7.5703125" customWidth="1"/>
    <col min="2" max="2" width="9.85546875" customWidth="1"/>
    <col min="3" max="3" width="8.5703125" style="85" customWidth="1"/>
    <col min="4" max="4" width="11.5703125" style="85" customWidth="1"/>
    <col min="5" max="5" width="9.85546875" style="70" customWidth="1"/>
    <col min="6" max="6" width="8.85546875" style="70" customWidth="1"/>
    <col min="7" max="7" width="7.85546875" customWidth="1"/>
    <col min="8" max="8" width="9.140625" customWidth="1"/>
    <col min="9" max="9" width="9.5703125" customWidth="1"/>
    <col min="10" max="10" width="12.28515625" customWidth="1"/>
    <col min="11" max="11" width="9.7109375" customWidth="1"/>
    <col min="12" max="12" width="12.7109375" customWidth="1"/>
    <col min="13" max="22" width="11.42578125" customWidth="1"/>
    <col min="23" max="24" width="10" customWidth="1"/>
  </cols>
  <sheetData>
    <row r="1" spans="1:24" ht="12.75" customHeight="1" x14ac:dyDescent="0.2">
      <c r="A1" s="163" t="s">
        <v>174</v>
      </c>
      <c r="B1" s="162"/>
      <c r="C1" s="162"/>
      <c r="D1" s="162"/>
      <c r="E1" s="162"/>
      <c r="F1" s="162"/>
      <c r="G1" s="162"/>
      <c r="H1" s="162"/>
      <c r="I1" s="162"/>
      <c r="J1" s="162"/>
      <c r="K1" s="162"/>
      <c r="L1" s="160"/>
      <c r="M1" s="1"/>
      <c r="N1" s="1"/>
      <c r="O1" s="1"/>
      <c r="P1" s="1"/>
      <c r="Q1" s="1"/>
      <c r="R1" s="1"/>
      <c r="S1" s="1"/>
      <c r="T1" s="1"/>
      <c r="U1" s="1"/>
      <c r="V1" s="1"/>
      <c r="W1" s="1"/>
      <c r="X1" s="1"/>
    </row>
    <row r="2" spans="1:24" ht="12" customHeight="1" x14ac:dyDescent="0.2">
      <c r="A2" s="155" t="s">
        <v>103</v>
      </c>
      <c r="B2" s="160"/>
      <c r="C2" s="156" t="s">
        <v>401</v>
      </c>
      <c r="D2" s="167"/>
      <c r="E2" s="157" t="s">
        <v>175</v>
      </c>
      <c r="F2" s="164"/>
      <c r="G2" s="161"/>
      <c r="H2" s="162"/>
      <c r="I2" s="162"/>
      <c r="J2" s="162"/>
      <c r="K2" s="162"/>
      <c r="L2" s="160"/>
      <c r="M2" s="1"/>
      <c r="N2" s="1"/>
      <c r="O2" s="1"/>
      <c r="P2" s="1"/>
      <c r="Q2" s="1"/>
      <c r="R2" s="1"/>
      <c r="S2" s="1"/>
      <c r="T2" s="1"/>
      <c r="U2" s="1"/>
      <c r="V2" s="1"/>
      <c r="W2" s="1"/>
      <c r="X2" s="1"/>
    </row>
    <row r="3" spans="1:24" ht="12" customHeight="1" x14ac:dyDescent="0.2">
      <c r="A3" s="159" t="s">
        <v>101</v>
      </c>
      <c r="B3" s="160"/>
      <c r="C3" s="152" t="s">
        <v>40</v>
      </c>
      <c r="D3" s="167"/>
      <c r="E3" s="148" t="s">
        <v>43</v>
      </c>
      <c r="F3" s="164"/>
      <c r="G3" s="147" t="s">
        <v>107</v>
      </c>
      <c r="H3" s="160"/>
      <c r="I3" s="147" t="s">
        <v>30</v>
      </c>
      <c r="J3" s="160"/>
      <c r="K3" s="147" t="s">
        <v>108</v>
      </c>
      <c r="L3" s="160"/>
      <c r="M3" s="1"/>
      <c r="N3" s="1"/>
      <c r="O3" s="1"/>
      <c r="P3" s="1"/>
      <c r="Q3" s="1"/>
      <c r="R3" s="1"/>
      <c r="S3" s="1"/>
      <c r="T3" s="1"/>
      <c r="U3" s="1"/>
      <c r="V3" s="1"/>
      <c r="W3" s="1"/>
      <c r="X3" s="1"/>
    </row>
    <row r="4" spans="1:24" ht="12" customHeight="1" x14ac:dyDescent="0.2">
      <c r="A4" s="18"/>
      <c r="B4" s="12">
        <f>+B12+B13+B23+B24+B30+B31+B40+B41+B46+B47</f>
        <v>11715</v>
      </c>
      <c r="C4" s="78">
        <f>+C12+C23+C30+C40+C46</f>
        <v>1480</v>
      </c>
      <c r="D4" s="79">
        <f>IF((I4=0),"",(C4/I4))</f>
        <v>0.27798647633358375</v>
      </c>
      <c r="E4" s="63">
        <f>+E12+E23+E30+E40+E46</f>
        <v>3774</v>
      </c>
      <c r="F4" s="64">
        <f>IF((I4=0),"",(E4/I4))</f>
        <v>0.70886551465063863</v>
      </c>
      <c r="G4" s="12">
        <f>+G12+G23+G30+G40+G46</f>
        <v>70</v>
      </c>
      <c r="H4" s="13">
        <f>IF((I4=0),"",(G4/I4))</f>
        <v>1.3148009015777611E-2</v>
      </c>
      <c r="I4" s="12">
        <f>+I12+I23+I30+I40+I46</f>
        <v>5324</v>
      </c>
      <c r="J4" s="13">
        <f>IF((B4=0),"",(I4/B4))</f>
        <v>0.4544600938967136</v>
      </c>
      <c r="K4" s="12">
        <f>+K12+K23+K30+K40+K46</f>
        <v>6305</v>
      </c>
      <c r="L4" s="13">
        <f>IF((B4=0),"",(K4/B4))</f>
        <v>0.53819889031156631</v>
      </c>
      <c r="M4" s="1"/>
      <c r="N4" s="1"/>
      <c r="O4" s="1"/>
      <c r="P4" s="1"/>
      <c r="Q4" s="1"/>
      <c r="R4" s="1"/>
      <c r="S4" s="1"/>
      <c r="T4" s="1"/>
      <c r="U4" s="1"/>
      <c r="V4" s="1"/>
      <c r="W4" s="1"/>
      <c r="X4" s="1"/>
    </row>
    <row r="5" spans="1:24" ht="12" customHeight="1" x14ac:dyDescent="0.2">
      <c r="A5" s="14" t="s">
        <v>176</v>
      </c>
      <c r="B5" s="32" t="s">
        <v>177</v>
      </c>
      <c r="C5" s="86"/>
      <c r="D5" s="86"/>
      <c r="E5" s="90"/>
      <c r="F5" s="90"/>
      <c r="G5" s="16"/>
      <c r="H5" s="16"/>
      <c r="I5" s="16"/>
      <c r="J5" s="16"/>
      <c r="K5" s="16"/>
      <c r="L5" s="16"/>
      <c r="M5" s="1"/>
      <c r="N5" s="1"/>
      <c r="O5" s="1"/>
      <c r="P5" s="1"/>
      <c r="Q5" s="1"/>
      <c r="R5" s="1"/>
      <c r="S5" s="1"/>
      <c r="T5" s="1"/>
      <c r="U5" s="1"/>
      <c r="V5" s="1"/>
      <c r="W5" s="1"/>
      <c r="X5" s="1"/>
    </row>
    <row r="6" spans="1:24" ht="12" customHeight="1" x14ac:dyDescent="0.2">
      <c r="A6" s="15" t="s">
        <v>402</v>
      </c>
      <c r="B6" s="15">
        <v>438</v>
      </c>
      <c r="C6" s="81">
        <v>81</v>
      </c>
      <c r="D6" s="82">
        <f t="shared" ref="D6:D12" si="0">IF((I6=0),"",(C6/I6))</f>
        <v>0.25632911392405061</v>
      </c>
      <c r="E6" s="66">
        <v>229</v>
      </c>
      <c r="F6" s="67">
        <f t="shared" ref="F6:F12" si="1">IF((I6=0),"",(E6/I6))</f>
        <v>0.72468354430379744</v>
      </c>
      <c r="G6" s="15">
        <v>6</v>
      </c>
      <c r="H6" s="17">
        <f>IF((I6=0),"",(G6/I6))</f>
        <v>1.8987341772151899E-2</v>
      </c>
      <c r="I6" s="15">
        <f t="shared" ref="I6:I11" si="2">SUM(C6,E6,G6)</f>
        <v>316</v>
      </c>
      <c r="J6" s="17">
        <f t="shared" ref="J6:J12" si="3">IF((B6=0),"",(I6/B6))</f>
        <v>0.72146118721461183</v>
      </c>
      <c r="K6" s="15">
        <f t="shared" ref="K6:K11" si="4">B6-I6</f>
        <v>122</v>
      </c>
      <c r="L6" s="17">
        <f t="shared" ref="L6:L12" si="5">IF((B6=0),"",(K6/B6))</f>
        <v>0.27853881278538811</v>
      </c>
      <c r="M6" s="1"/>
      <c r="N6" s="1"/>
      <c r="O6" s="1"/>
      <c r="P6" s="1"/>
      <c r="Q6" s="1"/>
      <c r="R6" s="1"/>
      <c r="S6" s="1"/>
      <c r="T6" s="1"/>
      <c r="U6" s="1"/>
      <c r="V6" s="1"/>
      <c r="W6" s="1"/>
      <c r="X6" s="1"/>
    </row>
    <row r="7" spans="1:24" ht="12" customHeight="1" x14ac:dyDescent="0.2">
      <c r="A7" s="15" t="s">
        <v>403</v>
      </c>
      <c r="B7" s="15">
        <v>454</v>
      </c>
      <c r="C7" s="81">
        <v>33</v>
      </c>
      <c r="D7" s="82">
        <f t="shared" si="0"/>
        <v>0.20245398773006135</v>
      </c>
      <c r="E7" s="66">
        <v>130</v>
      </c>
      <c r="F7" s="67">
        <f t="shared" si="1"/>
        <v>0.7975460122699386</v>
      </c>
      <c r="G7" s="15">
        <v>0</v>
      </c>
      <c r="H7" s="17">
        <f t="shared" ref="H7:H12" si="6">IF((I7=0),"",(G7/I7))</f>
        <v>0</v>
      </c>
      <c r="I7" s="15">
        <f t="shared" si="2"/>
        <v>163</v>
      </c>
      <c r="J7" s="17">
        <f t="shared" si="3"/>
        <v>0.3590308370044053</v>
      </c>
      <c r="K7" s="29">
        <f t="shared" si="4"/>
        <v>291</v>
      </c>
      <c r="L7" s="17">
        <f t="shared" si="5"/>
        <v>0.6409691629955947</v>
      </c>
      <c r="M7" s="1"/>
      <c r="N7" s="1"/>
      <c r="O7" s="1"/>
      <c r="P7" s="1"/>
      <c r="Q7" s="1"/>
      <c r="R7" s="1"/>
      <c r="S7" s="1"/>
      <c r="T7" s="1"/>
      <c r="U7" s="1"/>
      <c r="V7" s="1"/>
      <c r="W7" s="1"/>
      <c r="X7" s="1"/>
    </row>
    <row r="8" spans="1:24" ht="12" customHeight="1" x14ac:dyDescent="0.2">
      <c r="A8" s="15" t="s">
        <v>404</v>
      </c>
      <c r="B8" s="15">
        <v>384</v>
      </c>
      <c r="C8" s="81">
        <v>62</v>
      </c>
      <c r="D8" s="82">
        <f t="shared" si="0"/>
        <v>0.27927927927927926</v>
      </c>
      <c r="E8" s="66">
        <v>156</v>
      </c>
      <c r="F8" s="67">
        <f t="shared" si="1"/>
        <v>0.70270270270270274</v>
      </c>
      <c r="G8" s="15">
        <v>4</v>
      </c>
      <c r="H8" s="17">
        <f t="shared" si="6"/>
        <v>1.8018018018018018E-2</v>
      </c>
      <c r="I8" s="15">
        <f t="shared" si="2"/>
        <v>222</v>
      </c>
      <c r="J8" s="17">
        <f t="shared" si="3"/>
        <v>0.578125</v>
      </c>
      <c r="K8" s="29">
        <f t="shared" si="4"/>
        <v>162</v>
      </c>
      <c r="L8" s="17">
        <f t="shared" si="5"/>
        <v>0.421875</v>
      </c>
      <c r="M8" s="1"/>
      <c r="N8" s="1"/>
      <c r="O8" s="1"/>
      <c r="P8" s="1"/>
      <c r="Q8" s="1"/>
      <c r="R8" s="1"/>
      <c r="S8" s="1"/>
      <c r="T8" s="1"/>
      <c r="U8" s="1"/>
      <c r="V8" s="1"/>
      <c r="W8" s="1"/>
      <c r="X8" s="1"/>
    </row>
    <row r="9" spans="1:24" ht="12" customHeight="1" x14ac:dyDescent="0.2">
      <c r="A9" s="15" t="s">
        <v>405</v>
      </c>
      <c r="B9" s="15">
        <v>413</v>
      </c>
      <c r="C9" s="81">
        <v>41</v>
      </c>
      <c r="D9" s="82">
        <f t="shared" si="0"/>
        <v>0.22651933701657459</v>
      </c>
      <c r="E9" s="66">
        <v>138</v>
      </c>
      <c r="F9" s="67">
        <f t="shared" si="1"/>
        <v>0.76243093922651939</v>
      </c>
      <c r="G9" s="15">
        <v>2</v>
      </c>
      <c r="H9" s="17">
        <f t="shared" si="6"/>
        <v>1.1049723756906077E-2</v>
      </c>
      <c r="I9" s="15">
        <f t="shared" si="2"/>
        <v>181</v>
      </c>
      <c r="J9" s="17">
        <f t="shared" si="3"/>
        <v>0.43825665859564167</v>
      </c>
      <c r="K9" s="29">
        <f t="shared" si="4"/>
        <v>232</v>
      </c>
      <c r="L9" s="17">
        <f t="shared" si="5"/>
        <v>0.56174334140435833</v>
      </c>
      <c r="M9" s="1"/>
      <c r="N9" s="1"/>
      <c r="O9" s="1"/>
      <c r="P9" s="1"/>
      <c r="Q9" s="1"/>
      <c r="R9" s="1"/>
      <c r="S9" s="1"/>
      <c r="T9" s="1"/>
      <c r="U9" s="1"/>
      <c r="V9" s="1"/>
      <c r="W9" s="1"/>
      <c r="X9" s="1"/>
    </row>
    <row r="10" spans="1:24" ht="12" customHeight="1" x14ac:dyDescent="0.2">
      <c r="A10" s="15" t="s">
        <v>406</v>
      </c>
      <c r="B10" s="15">
        <v>369</v>
      </c>
      <c r="C10" s="81">
        <v>27</v>
      </c>
      <c r="D10" s="82">
        <f t="shared" si="0"/>
        <v>0.18620689655172415</v>
      </c>
      <c r="E10" s="66">
        <v>114</v>
      </c>
      <c r="F10" s="67">
        <f t="shared" si="1"/>
        <v>0.78620689655172415</v>
      </c>
      <c r="G10" s="15">
        <v>4</v>
      </c>
      <c r="H10" s="17">
        <f t="shared" si="6"/>
        <v>2.7586206896551724E-2</v>
      </c>
      <c r="I10" s="15">
        <f t="shared" si="2"/>
        <v>145</v>
      </c>
      <c r="J10" s="17">
        <f t="shared" si="3"/>
        <v>0.39295392953929537</v>
      </c>
      <c r="K10" s="29">
        <f t="shared" si="4"/>
        <v>224</v>
      </c>
      <c r="L10" s="17">
        <f t="shared" si="5"/>
        <v>0.60704607046070458</v>
      </c>
      <c r="M10" s="1"/>
      <c r="N10" s="1"/>
      <c r="O10" s="1"/>
      <c r="P10" s="1"/>
      <c r="Q10" s="1"/>
      <c r="R10" s="1"/>
      <c r="S10" s="1"/>
      <c r="T10" s="1"/>
      <c r="U10" s="1"/>
      <c r="V10" s="1"/>
      <c r="W10" s="1"/>
      <c r="X10" s="1"/>
    </row>
    <row r="11" spans="1:24" ht="12" customHeight="1" x14ac:dyDescent="0.2">
      <c r="A11" s="15" t="s">
        <v>123</v>
      </c>
      <c r="B11" s="15">
        <v>360</v>
      </c>
      <c r="C11" s="81">
        <v>48</v>
      </c>
      <c r="D11" s="82">
        <f t="shared" si="0"/>
        <v>0.29268292682926828</v>
      </c>
      <c r="E11" s="66">
        <v>116</v>
      </c>
      <c r="F11" s="67">
        <f t="shared" si="1"/>
        <v>0.70731707317073167</v>
      </c>
      <c r="G11" s="15">
        <v>0</v>
      </c>
      <c r="H11" s="17">
        <f t="shared" si="6"/>
        <v>0</v>
      </c>
      <c r="I11" s="15">
        <f t="shared" si="2"/>
        <v>164</v>
      </c>
      <c r="J11" s="17">
        <f t="shared" si="3"/>
        <v>0.45555555555555555</v>
      </c>
      <c r="K11" s="29">
        <f t="shared" si="4"/>
        <v>196</v>
      </c>
      <c r="L11" s="17">
        <f t="shared" si="5"/>
        <v>0.5444444444444444</v>
      </c>
      <c r="M11" s="1"/>
      <c r="N11" s="1"/>
      <c r="O11" s="1"/>
      <c r="P11" s="1"/>
      <c r="Q11" s="1"/>
      <c r="R11" s="1"/>
      <c r="S11" s="1"/>
      <c r="T11" s="1"/>
      <c r="U11" s="1"/>
      <c r="V11" s="1"/>
      <c r="W11" s="1"/>
      <c r="X11" s="1"/>
    </row>
    <row r="12" spans="1:24" ht="12" customHeight="1" x14ac:dyDescent="0.2">
      <c r="A12" s="12" t="s">
        <v>120</v>
      </c>
      <c r="B12" s="12">
        <f>SUM(B6:B11)</f>
        <v>2418</v>
      </c>
      <c r="C12" s="78">
        <f>SUM(C6:C11)</f>
        <v>292</v>
      </c>
      <c r="D12" s="79">
        <f t="shared" si="0"/>
        <v>0.24517212426532325</v>
      </c>
      <c r="E12" s="63">
        <f>SUM(E6:E11)</f>
        <v>883</v>
      </c>
      <c r="F12" s="64">
        <f t="shared" si="1"/>
        <v>0.74139378673383716</v>
      </c>
      <c r="G12" s="12">
        <f>SUM(G6:G11)</f>
        <v>16</v>
      </c>
      <c r="H12" s="13">
        <f t="shared" si="6"/>
        <v>1.343408900083963E-2</v>
      </c>
      <c r="I12" s="12">
        <f>SUM(I6:I11)</f>
        <v>1191</v>
      </c>
      <c r="J12" s="13">
        <f t="shared" si="3"/>
        <v>0.49255583126550867</v>
      </c>
      <c r="K12" s="12">
        <f>SUM(K6:K11)</f>
        <v>1227</v>
      </c>
      <c r="L12" s="13">
        <f t="shared" si="5"/>
        <v>0.50744416873449127</v>
      </c>
      <c r="M12" s="1"/>
      <c r="N12" s="1"/>
      <c r="O12" s="1"/>
      <c r="P12" s="1"/>
      <c r="Q12" s="1"/>
      <c r="R12" s="1"/>
      <c r="S12" s="1"/>
      <c r="T12" s="1"/>
      <c r="U12" s="1"/>
      <c r="V12" s="1"/>
      <c r="W12" s="1"/>
      <c r="X12" s="1"/>
    </row>
    <row r="13" spans="1:24" s="41" customFormat="1" ht="12" customHeight="1" x14ac:dyDescent="0.2">
      <c r="A13" s="32" t="s">
        <v>542</v>
      </c>
      <c r="B13" s="32">
        <v>16</v>
      </c>
      <c r="C13" s="78"/>
      <c r="D13" s="79"/>
      <c r="E13" s="63"/>
      <c r="F13" s="64"/>
      <c r="G13" s="32"/>
      <c r="H13" s="28"/>
      <c r="I13" s="32"/>
      <c r="J13" s="28"/>
      <c r="K13" s="32"/>
      <c r="L13" s="28"/>
      <c r="M13" s="1"/>
      <c r="N13" s="1"/>
      <c r="O13" s="1"/>
      <c r="P13" s="1"/>
      <c r="Q13" s="1"/>
      <c r="R13" s="1"/>
      <c r="S13" s="1"/>
      <c r="T13" s="1"/>
      <c r="U13" s="1"/>
      <c r="V13" s="1"/>
      <c r="W13" s="1"/>
      <c r="X13" s="1"/>
    </row>
    <row r="14" spans="1:24" ht="12" customHeight="1" x14ac:dyDescent="0.2">
      <c r="A14" s="14" t="s">
        <v>179</v>
      </c>
      <c r="B14" s="32" t="s">
        <v>180</v>
      </c>
      <c r="C14" s="86"/>
      <c r="D14" s="86"/>
      <c r="E14" s="90"/>
      <c r="F14" s="90"/>
      <c r="G14" s="16"/>
      <c r="H14" s="16"/>
      <c r="I14" s="16"/>
      <c r="J14" s="16"/>
      <c r="K14" s="16"/>
      <c r="L14" s="16"/>
      <c r="M14" s="1"/>
      <c r="N14" s="1"/>
      <c r="O14" s="1"/>
      <c r="P14" s="1"/>
      <c r="Q14" s="1"/>
      <c r="R14" s="1"/>
      <c r="S14" s="1"/>
      <c r="T14" s="1"/>
      <c r="U14" s="1"/>
      <c r="V14" s="1"/>
      <c r="W14" s="1"/>
      <c r="X14" s="1"/>
    </row>
    <row r="15" spans="1:24" ht="12" customHeight="1" x14ac:dyDescent="0.2">
      <c r="A15" s="15" t="s">
        <v>407</v>
      </c>
      <c r="B15" s="15">
        <v>432</v>
      </c>
      <c r="C15" s="81">
        <v>50</v>
      </c>
      <c r="D15" s="82">
        <f t="shared" ref="D15:D23" si="7">IF((I15=0),"",(C15/I15))</f>
        <v>0.27932960893854747</v>
      </c>
      <c r="E15" s="66">
        <v>128</v>
      </c>
      <c r="F15" s="67">
        <f t="shared" ref="F15:F23" si="8">IF((I15=0),"",(E15/I15))</f>
        <v>0.71508379888268159</v>
      </c>
      <c r="G15" s="15">
        <v>1</v>
      </c>
      <c r="H15" s="17">
        <f t="shared" ref="H15:H23" si="9">IF((I15=0),"",(G15/I15))</f>
        <v>5.5865921787709499E-3</v>
      </c>
      <c r="I15" s="15">
        <f>SUM(C15,E15,G15)</f>
        <v>179</v>
      </c>
      <c r="J15" s="17">
        <f t="shared" ref="J15:J23" si="10">IF((B15=0),"",(I15/B15))</f>
        <v>0.41435185185185186</v>
      </c>
      <c r="K15" s="29">
        <f t="shared" ref="K15:K22" si="11">B15-I15</f>
        <v>253</v>
      </c>
      <c r="L15" s="17">
        <f t="shared" ref="L15:L23" si="12">IF((B15=0),"",(K15/B15))</f>
        <v>0.58564814814814814</v>
      </c>
      <c r="M15" s="1"/>
      <c r="N15" s="1"/>
      <c r="O15" s="1"/>
      <c r="P15" s="1"/>
      <c r="Q15" s="1"/>
      <c r="R15" s="1"/>
      <c r="S15" s="1"/>
      <c r="T15" s="1"/>
      <c r="U15" s="1"/>
      <c r="V15" s="1"/>
      <c r="W15" s="1"/>
      <c r="X15" s="1"/>
    </row>
    <row r="16" spans="1:24" ht="12" customHeight="1" x14ac:dyDescent="0.2">
      <c r="A16" s="15" t="s">
        <v>408</v>
      </c>
      <c r="B16" s="15">
        <v>397</v>
      </c>
      <c r="C16" s="81">
        <v>41</v>
      </c>
      <c r="D16" s="82">
        <f t="shared" si="7"/>
        <v>0.24550898203592814</v>
      </c>
      <c r="E16" s="66">
        <v>125</v>
      </c>
      <c r="F16" s="67">
        <f t="shared" si="8"/>
        <v>0.74850299401197606</v>
      </c>
      <c r="G16" s="15">
        <v>1</v>
      </c>
      <c r="H16" s="17">
        <f t="shared" si="9"/>
        <v>5.9880239520958087E-3</v>
      </c>
      <c r="I16" s="15">
        <f t="shared" ref="I16:I22" si="13">SUM(C16,E16,G16)</f>
        <v>167</v>
      </c>
      <c r="J16" s="17">
        <f t="shared" si="10"/>
        <v>0.42065491183879095</v>
      </c>
      <c r="K16" s="29">
        <f t="shared" si="11"/>
        <v>230</v>
      </c>
      <c r="L16" s="17">
        <f t="shared" si="12"/>
        <v>0.57934508816120911</v>
      </c>
      <c r="M16" s="1"/>
      <c r="N16" s="1"/>
      <c r="O16" s="1"/>
      <c r="P16" s="1"/>
      <c r="Q16" s="1"/>
      <c r="R16" s="1"/>
      <c r="S16" s="1"/>
      <c r="T16" s="1"/>
      <c r="U16" s="1"/>
      <c r="V16" s="1"/>
      <c r="W16" s="1"/>
      <c r="X16" s="1"/>
    </row>
    <row r="17" spans="1:24" ht="12" customHeight="1" x14ac:dyDescent="0.2">
      <c r="A17" s="15" t="s">
        <v>409</v>
      </c>
      <c r="B17" s="15">
        <v>458</v>
      </c>
      <c r="C17" s="81">
        <v>45</v>
      </c>
      <c r="D17" s="82">
        <f t="shared" si="7"/>
        <v>0.21428571428571427</v>
      </c>
      <c r="E17" s="66">
        <v>163</v>
      </c>
      <c r="F17" s="67">
        <f t="shared" si="8"/>
        <v>0.77619047619047621</v>
      </c>
      <c r="G17" s="15">
        <v>2</v>
      </c>
      <c r="H17" s="17">
        <f t="shared" si="9"/>
        <v>9.5238095238095247E-3</v>
      </c>
      <c r="I17" s="15">
        <f t="shared" si="13"/>
        <v>210</v>
      </c>
      <c r="J17" s="17">
        <f t="shared" si="10"/>
        <v>0.45851528384279477</v>
      </c>
      <c r="K17" s="29">
        <f t="shared" si="11"/>
        <v>248</v>
      </c>
      <c r="L17" s="17">
        <f t="shared" si="12"/>
        <v>0.54148471615720528</v>
      </c>
      <c r="M17" s="1"/>
      <c r="N17" s="1"/>
      <c r="O17" s="1"/>
      <c r="P17" s="1"/>
      <c r="Q17" s="1"/>
      <c r="R17" s="1"/>
      <c r="S17" s="1"/>
      <c r="T17" s="1"/>
      <c r="U17" s="1"/>
      <c r="V17" s="1"/>
      <c r="W17" s="1"/>
      <c r="X17" s="1"/>
    </row>
    <row r="18" spans="1:24" ht="12" customHeight="1" x14ac:dyDescent="0.2">
      <c r="A18" s="15" t="s">
        <v>410</v>
      </c>
      <c r="B18" s="15">
        <v>469</v>
      </c>
      <c r="C18" s="81">
        <v>50</v>
      </c>
      <c r="D18" s="82">
        <f t="shared" si="7"/>
        <v>0.27624309392265195</v>
      </c>
      <c r="E18" s="66">
        <v>126</v>
      </c>
      <c r="F18" s="67">
        <f t="shared" si="8"/>
        <v>0.69613259668508287</v>
      </c>
      <c r="G18" s="15">
        <v>5</v>
      </c>
      <c r="H18" s="17">
        <f t="shared" si="9"/>
        <v>2.7624309392265192E-2</v>
      </c>
      <c r="I18" s="15">
        <f t="shared" si="13"/>
        <v>181</v>
      </c>
      <c r="J18" s="17">
        <f t="shared" si="10"/>
        <v>0.38592750533049042</v>
      </c>
      <c r="K18" s="29">
        <f t="shared" si="11"/>
        <v>288</v>
      </c>
      <c r="L18" s="17">
        <f t="shared" si="12"/>
        <v>0.61407249466950964</v>
      </c>
      <c r="M18" s="1"/>
      <c r="N18" s="1"/>
      <c r="O18" s="1"/>
      <c r="P18" s="1"/>
      <c r="Q18" s="1"/>
      <c r="R18" s="1"/>
      <c r="S18" s="1"/>
      <c r="T18" s="1"/>
      <c r="U18" s="1"/>
      <c r="V18" s="1"/>
      <c r="W18" s="1"/>
      <c r="X18" s="1"/>
    </row>
    <row r="19" spans="1:24" ht="12" customHeight="1" x14ac:dyDescent="0.2">
      <c r="A19" s="15" t="s">
        <v>411</v>
      </c>
      <c r="B19" s="15">
        <v>430</v>
      </c>
      <c r="C19" s="81">
        <v>47</v>
      </c>
      <c r="D19" s="82">
        <f t="shared" si="7"/>
        <v>0.28143712574850299</v>
      </c>
      <c r="E19" s="66">
        <v>118</v>
      </c>
      <c r="F19" s="67">
        <f t="shared" si="8"/>
        <v>0.70658682634730541</v>
      </c>
      <c r="G19" s="15">
        <v>2</v>
      </c>
      <c r="H19" s="17">
        <f t="shared" si="9"/>
        <v>1.1976047904191617E-2</v>
      </c>
      <c r="I19" s="15">
        <f t="shared" si="13"/>
        <v>167</v>
      </c>
      <c r="J19" s="17">
        <f t="shared" si="10"/>
        <v>0.38837209302325582</v>
      </c>
      <c r="K19" s="29">
        <f t="shared" si="11"/>
        <v>263</v>
      </c>
      <c r="L19" s="17">
        <f t="shared" si="12"/>
        <v>0.61162790697674418</v>
      </c>
      <c r="M19" s="1"/>
      <c r="N19" s="1"/>
      <c r="O19" s="1"/>
      <c r="P19" s="1"/>
      <c r="Q19" s="1"/>
      <c r="R19" s="1"/>
      <c r="S19" s="1"/>
      <c r="T19" s="1"/>
      <c r="U19" s="1"/>
      <c r="V19" s="1"/>
      <c r="W19" s="1"/>
      <c r="X19" s="1"/>
    </row>
    <row r="20" spans="1:24" ht="12" customHeight="1" x14ac:dyDescent="0.2">
      <c r="A20" s="15" t="s">
        <v>412</v>
      </c>
      <c r="B20" s="15">
        <v>465</v>
      </c>
      <c r="C20" s="81">
        <v>38</v>
      </c>
      <c r="D20" s="82">
        <f t="shared" si="7"/>
        <v>0.2</v>
      </c>
      <c r="E20" s="66">
        <v>145</v>
      </c>
      <c r="F20" s="67">
        <f t="shared" si="8"/>
        <v>0.76315789473684215</v>
      </c>
      <c r="G20" s="15">
        <v>7</v>
      </c>
      <c r="H20" s="17">
        <f t="shared" si="9"/>
        <v>3.6842105263157891E-2</v>
      </c>
      <c r="I20" s="15">
        <f t="shared" si="13"/>
        <v>190</v>
      </c>
      <c r="J20" s="17">
        <f t="shared" si="10"/>
        <v>0.40860215053763443</v>
      </c>
      <c r="K20" s="29">
        <f t="shared" si="11"/>
        <v>275</v>
      </c>
      <c r="L20" s="17">
        <f t="shared" si="12"/>
        <v>0.59139784946236562</v>
      </c>
      <c r="M20" s="1"/>
      <c r="N20" s="1"/>
      <c r="O20" s="1"/>
      <c r="P20" s="1"/>
      <c r="Q20" s="1"/>
      <c r="R20" s="1"/>
      <c r="S20" s="1"/>
      <c r="T20" s="1"/>
      <c r="U20" s="1"/>
      <c r="V20" s="1"/>
      <c r="W20" s="1"/>
      <c r="X20" s="1"/>
    </row>
    <row r="21" spans="1:24" ht="12" customHeight="1" x14ac:dyDescent="0.2">
      <c r="A21" s="15" t="s">
        <v>413</v>
      </c>
      <c r="B21" s="15">
        <v>476</v>
      </c>
      <c r="C21" s="81">
        <v>39</v>
      </c>
      <c r="D21" s="82">
        <f t="shared" si="7"/>
        <v>0.19696969696969696</v>
      </c>
      <c r="E21" s="66">
        <v>159</v>
      </c>
      <c r="F21" s="67">
        <f t="shared" si="8"/>
        <v>0.80303030303030298</v>
      </c>
      <c r="G21" s="15">
        <v>0</v>
      </c>
      <c r="H21" s="17">
        <f t="shared" si="9"/>
        <v>0</v>
      </c>
      <c r="I21" s="15">
        <f t="shared" si="13"/>
        <v>198</v>
      </c>
      <c r="J21" s="17">
        <f t="shared" si="10"/>
        <v>0.41596638655462187</v>
      </c>
      <c r="K21" s="29">
        <f t="shared" si="11"/>
        <v>278</v>
      </c>
      <c r="L21" s="17">
        <f t="shared" si="12"/>
        <v>0.58403361344537819</v>
      </c>
      <c r="M21" s="1"/>
      <c r="N21" s="1"/>
      <c r="O21" s="1"/>
      <c r="P21" s="1"/>
      <c r="Q21" s="1"/>
      <c r="R21" s="1"/>
      <c r="S21" s="1"/>
      <c r="T21" s="1"/>
      <c r="U21" s="1"/>
      <c r="V21" s="1"/>
      <c r="W21" s="1"/>
      <c r="X21" s="1"/>
    </row>
    <row r="22" spans="1:24" ht="12" customHeight="1" x14ac:dyDescent="0.2">
      <c r="A22" s="15" t="s">
        <v>414</v>
      </c>
      <c r="B22" s="15">
        <v>435</v>
      </c>
      <c r="C22" s="81">
        <v>36</v>
      </c>
      <c r="D22" s="82">
        <f t="shared" si="7"/>
        <v>0.18556701030927836</v>
      </c>
      <c r="E22" s="66">
        <v>150</v>
      </c>
      <c r="F22" s="67">
        <f t="shared" si="8"/>
        <v>0.77319587628865982</v>
      </c>
      <c r="G22" s="15">
        <v>8</v>
      </c>
      <c r="H22" s="17">
        <f t="shared" si="9"/>
        <v>4.1237113402061855E-2</v>
      </c>
      <c r="I22" s="15">
        <f t="shared" si="13"/>
        <v>194</v>
      </c>
      <c r="J22" s="17">
        <f t="shared" si="10"/>
        <v>0.4459770114942529</v>
      </c>
      <c r="K22" s="29">
        <f t="shared" si="11"/>
        <v>241</v>
      </c>
      <c r="L22" s="17">
        <f t="shared" si="12"/>
        <v>0.55402298850574716</v>
      </c>
      <c r="M22" s="1"/>
      <c r="N22" s="1"/>
      <c r="O22" s="1"/>
      <c r="P22" s="1"/>
      <c r="Q22" s="1"/>
      <c r="R22" s="1"/>
      <c r="S22" s="1"/>
      <c r="T22" s="1"/>
      <c r="U22" s="1"/>
      <c r="V22" s="1"/>
      <c r="W22" s="1"/>
      <c r="X22" s="1"/>
    </row>
    <row r="23" spans="1:24" ht="12" customHeight="1" x14ac:dyDescent="0.2">
      <c r="A23" s="12" t="s">
        <v>120</v>
      </c>
      <c r="B23" s="12">
        <f>SUM(B15:B22)</f>
        <v>3562</v>
      </c>
      <c r="C23" s="78">
        <f>SUM(C15:C22)</f>
        <v>346</v>
      </c>
      <c r="D23" s="79">
        <f t="shared" si="7"/>
        <v>0.23283983849259757</v>
      </c>
      <c r="E23" s="63">
        <f>SUM(E15:E22)</f>
        <v>1114</v>
      </c>
      <c r="F23" s="64">
        <f t="shared" si="8"/>
        <v>0.74966352624495292</v>
      </c>
      <c r="G23" s="12">
        <f>SUM(G15:G22)</f>
        <v>26</v>
      </c>
      <c r="H23" s="13">
        <f t="shared" si="9"/>
        <v>1.7496635262449527E-2</v>
      </c>
      <c r="I23" s="12">
        <f>SUM(I15:I22)</f>
        <v>1486</v>
      </c>
      <c r="J23" s="13">
        <f t="shared" si="10"/>
        <v>0.4171813587871982</v>
      </c>
      <c r="K23" s="12">
        <f>SUM(K15:K22)</f>
        <v>2076</v>
      </c>
      <c r="L23" s="13">
        <f t="shared" si="12"/>
        <v>0.5828186412128018</v>
      </c>
      <c r="M23" s="1"/>
      <c r="N23" s="1"/>
      <c r="O23" s="1"/>
      <c r="P23" s="1"/>
      <c r="Q23" s="1"/>
      <c r="R23" s="1"/>
      <c r="S23" s="1"/>
      <c r="T23" s="1"/>
      <c r="U23" s="1"/>
      <c r="V23" s="1"/>
      <c r="W23" s="1"/>
      <c r="X23" s="1"/>
    </row>
    <row r="24" spans="1:24" s="42" customFormat="1" ht="12" customHeight="1" x14ac:dyDescent="0.2">
      <c r="A24" s="32" t="s">
        <v>542</v>
      </c>
      <c r="B24" s="32">
        <v>27</v>
      </c>
      <c r="C24" s="78"/>
      <c r="D24" s="79"/>
      <c r="E24" s="63"/>
      <c r="F24" s="64"/>
      <c r="G24" s="32"/>
      <c r="H24" s="28"/>
      <c r="I24" s="32"/>
      <c r="J24" s="28"/>
      <c r="K24" s="32"/>
      <c r="L24" s="28"/>
      <c r="M24" s="1"/>
      <c r="N24" s="1"/>
      <c r="O24" s="1"/>
      <c r="P24" s="1"/>
      <c r="Q24" s="1"/>
      <c r="R24" s="1"/>
      <c r="S24" s="1"/>
      <c r="T24" s="1"/>
      <c r="U24" s="1"/>
      <c r="V24" s="1"/>
      <c r="W24" s="1"/>
      <c r="X24" s="1"/>
    </row>
    <row r="25" spans="1:24" ht="12" customHeight="1" x14ac:dyDescent="0.2">
      <c r="A25" s="14" t="s">
        <v>181</v>
      </c>
      <c r="B25" s="32" t="s">
        <v>415</v>
      </c>
      <c r="C25" s="86"/>
      <c r="D25" s="86"/>
      <c r="E25" s="90"/>
      <c r="F25" s="90"/>
      <c r="G25" s="16"/>
      <c r="H25" s="16"/>
      <c r="I25" s="16"/>
      <c r="J25" s="16"/>
      <c r="K25" s="16"/>
      <c r="L25" s="16"/>
      <c r="M25" s="1"/>
      <c r="N25" s="1"/>
      <c r="O25" s="1"/>
      <c r="P25" s="1"/>
      <c r="Q25" s="1"/>
      <c r="R25" s="1"/>
      <c r="S25" s="1"/>
      <c r="T25" s="1"/>
      <c r="U25" s="1"/>
      <c r="V25" s="1"/>
      <c r="W25" s="1"/>
      <c r="X25" s="1"/>
    </row>
    <row r="26" spans="1:24" ht="12" customHeight="1" x14ac:dyDescent="0.2">
      <c r="A26" s="15" t="s">
        <v>125</v>
      </c>
      <c r="B26" s="15">
        <v>423</v>
      </c>
      <c r="C26" s="81">
        <v>95</v>
      </c>
      <c r="D26" s="82">
        <f>IF((I26=0),"",(C26/I26))</f>
        <v>0.3925619834710744</v>
      </c>
      <c r="E26" s="66">
        <v>145</v>
      </c>
      <c r="F26" s="67">
        <f>IF((I26=0),"",(E26/I26))</f>
        <v>0.59917355371900827</v>
      </c>
      <c r="G26" s="15">
        <v>2</v>
      </c>
      <c r="H26" s="17">
        <f>IF((I26=0),"",(G26/I26))</f>
        <v>8.2644628099173556E-3</v>
      </c>
      <c r="I26" s="15">
        <f>SUM(C26,E26,G26)</f>
        <v>242</v>
      </c>
      <c r="J26" s="17">
        <f>IF((B26=0),"",(I26/B26))</f>
        <v>0.5721040189125296</v>
      </c>
      <c r="K26" s="29">
        <f>B26-I26</f>
        <v>181</v>
      </c>
      <c r="L26" s="17">
        <f>IF((B26=0),"",(K26/B26))</f>
        <v>0.42789598108747046</v>
      </c>
      <c r="M26" s="1"/>
      <c r="N26" s="1"/>
      <c r="O26" s="1"/>
      <c r="P26" s="1"/>
      <c r="Q26" s="1"/>
      <c r="R26" s="1"/>
      <c r="S26" s="1"/>
      <c r="T26" s="1"/>
      <c r="U26" s="1"/>
      <c r="V26" s="1"/>
      <c r="W26" s="1"/>
      <c r="X26" s="1"/>
    </row>
    <row r="27" spans="1:24" ht="12" customHeight="1" x14ac:dyDescent="0.2">
      <c r="A27" s="15" t="s">
        <v>230</v>
      </c>
      <c r="B27" s="15">
        <v>380</v>
      </c>
      <c r="C27" s="81">
        <v>54</v>
      </c>
      <c r="D27" s="82">
        <f>IF((I27=0),"",(C27/I27))</f>
        <v>0.2608695652173913</v>
      </c>
      <c r="E27" s="66">
        <v>152</v>
      </c>
      <c r="F27" s="67">
        <f>IF((I27=0),"",(E27/I27))</f>
        <v>0.7342995169082126</v>
      </c>
      <c r="G27" s="15">
        <v>1</v>
      </c>
      <c r="H27" s="17">
        <f>IF((I27=0),"",(G27/I27))</f>
        <v>4.830917874396135E-3</v>
      </c>
      <c r="I27" s="15">
        <f>SUM(C27,E27,G27)</f>
        <v>207</v>
      </c>
      <c r="J27" s="17">
        <f>IF((B27=0),"",(I27/B27))</f>
        <v>0.54473684210526319</v>
      </c>
      <c r="K27" s="29">
        <f>B27-I27</f>
        <v>173</v>
      </c>
      <c r="L27" s="17">
        <f>IF((B27=0),"",(K27/B27))</f>
        <v>0.45526315789473687</v>
      </c>
      <c r="M27" s="1"/>
      <c r="N27" s="1"/>
      <c r="O27" s="1"/>
      <c r="P27" s="1"/>
      <c r="Q27" s="1"/>
      <c r="R27" s="1"/>
      <c r="S27" s="1"/>
      <c r="T27" s="1"/>
      <c r="U27" s="1"/>
      <c r="V27" s="1"/>
      <c r="W27" s="1"/>
      <c r="X27" s="1"/>
    </row>
    <row r="28" spans="1:24" ht="12" customHeight="1" x14ac:dyDescent="0.2">
      <c r="A28" s="15" t="s">
        <v>315</v>
      </c>
      <c r="B28" s="15">
        <v>429</v>
      </c>
      <c r="C28" s="81">
        <v>95</v>
      </c>
      <c r="D28" s="82">
        <f>IF((I28=0),"",(C28/I28))</f>
        <v>0.38775510204081631</v>
      </c>
      <c r="E28" s="66">
        <v>148</v>
      </c>
      <c r="F28" s="67">
        <f>IF((I28=0),"",(E28/I28))</f>
        <v>0.60408163265306125</v>
      </c>
      <c r="G28" s="15">
        <v>2</v>
      </c>
      <c r="H28" s="17">
        <f>IF((I28=0),"",(G28/I28))</f>
        <v>8.1632653061224497E-3</v>
      </c>
      <c r="I28" s="15">
        <f>SUM(C28,E28,G28)</f>
        <v>245</v>
      </c>
      <c r="J28" s="17">
        <f>IF((B28=0),"",(I28/B28))</f>
        <v>0.57109557109557108</v>
      </c>
      <c r="K28" s="29">
        <f>B28-I28</f>
        <v>184</v>
      </c>
      <c r="L28" s="17">
        <f>IF((B28=0),"",(K28/B28))</f>
        <v>0.42890442890442892</v>
      </c>
      <c r="M28" s="1"/>
      <c r="N28" s="1"/>
      <c r="O28" s="1"/>
      <c r="P28" s="1"/>
      <c r="Q28" s="1"/>
      <c r="R28" s="1"/>
      <c r="S28" s="1"/>
      <c r="T28" s="1"/>
      <c r="U28" s="1"/>
      <c r="V28" s="1"/>
      <c r="W28" s="1"/>
      <c r="X28" s="1"/>
    </row>
    <row r="29" spans="1:24" ht="12" customHeight="1" x14ac:dyDescent="0.2">
      <c r="A29" s="15" t="s">
        <v>134</v>
      </c>
      <c r="B29" s="15">
        <v>432</v>
      </c>
      <c r="C29" s="81">
        <v>72</v>
      </c>
      <c r="D29" s="82">
        <f>IF((I29=0),"",(C29/I29))</f>
        <v>0.31578947368421051</v>
      </c>
      <c r="E29" s="66">
        <v>153</v>
      </c>
      <c r="F29" s="67">
        <f>IF((I29=0),"",(E29/I29))</f>
        <v>0.67105263157894735</v>
      </c>
      <c r="G29" s="15">
        <v>3</v>
      </c>
      <c r="H29" s="17">
        <f>IF((I29=0),"",(G29/I29))</f>
        <v>1.3157894736842105E-2</v>
      </c>
      <c r="I29" s="15">
        <f>SUM(C29,E29,G29)</f>
        <v>228</v>
      </c>
      <c r="J29" s="17">
        <f>IF((B29=0),"",(I29/B29))</f>
        <v>0.52777777777777779</v>
      </c>
      <c r="K29" s="29">
        <f>B29-I29</f>
        <v>204</v>
      </c>
      <c r="L29" s="17">
        <f>IF((B29=0),"",(K29/B29))</f>
        <v>0.47222222222222221</v>
      </c>
      <c r="M29" s="1"/>
      <c r="N29" s="1"/>
      <c r="O29" s="1"/>
      <c r="P29" s="1"/>
      <c r="Q29" s="1"/>
      <c r="R29" s="1"/>
      <c r="S29" s="1"/>
      <c r="T29" s="1"/>
      <c r="U29" s="1"/>
      <c r="V29" s="1"/>
      <c r="W29" s="1"/>
      <c r="X29" s="1"/>
    </row>
    <row r="30" spans="1:24" ht="12" customHeight="1" x14ac:dyDescent="0.2">
      <c r="A30" s="12" t="s">
        <v>120</v>
      </c>
      <c r="B30" s="12">
        <f>SUM(B26:B29)</f>
        <v>1664</v>
      </c>
      <c r="C30" s="78">
        <f>SUM(C26:C29)</f>
        <v>316</v>
      </c>
      <c r="D30" s="79">
        <f>IF((I30=0),"",(C30/I30))</f>
        <v>0.34273318872017355</v>
      </c>
      <c r="E30" s="63">
        <f>SUM(E26:E29)</f>
        <v>598</v>
      </c>
      <c r="F30" s="64">
        <f>IF((I30=0),"",(E30/I30))</f>
        <v>0.64859002169197399</v>
      </c>
      <c r="G30" s="12">
        <f>SUM(G26:G29)</f>
        <v>8</v>
      </c>
      <c r="H30" s="13">
        <f>IF((I30=0),"",(G30/I30))</f>
        <v>8.6767895878524948E-3</v>
      </c>
      <c r="I30" s="12">
        <f>SUM(I26:I29)</f>
        <v>922</v>
      </c>
      <c r="J30" s="13">
        <f>IF((B30=0),"",(I30/B30))</f>
        <v>0.55408653846153844</v>
      </c>
      <c r="K30" s="12">
        <f>SUM(K26:K29)</f>
        <v>742</v>
      </c>
      <c r="L30" s="13">
        <f>IF((B30=0),"",(K30/B30))</f>
        <v>0.44591346153846156</v>
      </c>
      <c r="M30" s="1"/>
      <c r="N30" s="1"/>
      <c r="O30" s="1"/>
      <c r="P30" s="1"/>
      <c r="Q30" s="1"/>
      <c r="R30" s="1"/>
      <c r="S30" s="1"/>
      <c r="T30" s="1"/>
      <c r="U30" s="1"/>
      <c r="V30" s="1"/>
      <c r="W30" s="1"/>
      <c r="X30" s="1"/>
    </row>
    <row r="31" spans="1:24" s="42" customFormat="1" ht="12" customHeight="1" x14ac:dyDescent="0.2">
      <c r="A31" s="32" t="s">
        <v>542</v>
      </c>
      <c r="B31" s="32">
        <v>16</v>
      </c>
      <c r="C31" s="78"/>
      <c r="D31" s="79"/>
      <c r="E31" s="63"/>
      <c r="F31" s="64"/>
      <c r="G31" s="32"/>
      <c r="H31" s="28"/>
      <c r="I31" s="32"/>
      <c r="J31" s="28"/>
      <c r="K31" s="32"/>
      <c r="L31" s="28"/>
      <c r="M31" s="1"/>
      <c r="N31" s="1"/>
      <c r="O31" s="1"/>
      <c r="P31" s="1"/>
      <c r="Q31" s="1"/>
      <c r="R31" s="1"/>
      <c r="S31" s="1"/>
      <c r="T31" s="1"/>
      <c r="U31" s="1"/>
      <c r="V31" s="1"/>
      <c r="W31" s="1"/>
      <c r="X31" s="1"/>
    </row>
    <row r="32" spans="1:24" ht="12" customHeight="1" x14ac:dyDescent="0.2">
      <c r="A32" s="14" t="s">
        <v>183</v>
      </c>
      <c r="B32" s="32" t="s">
        <v>416</v>
      </c>
      <c r="C32" s="86"/>
      <c r="D32" s="86"/>
      <c r="E32" s="90"/>
      <c r="F32" s="90"/>
      <c r="G32" s="16"/>
      <c r="H32" s="16"/>
      <c r="I32" s="16"/>
      <c r="J32" s="16"/>
      <c r="K32" s="16"/>
      <c r="L32" s="16"/>
      <c r="M32" s="1"/>
      <c r="N32" s="1"/>
      <c r="O32" s="1"/>
      <c r="P32" s="1"/>
      <c r="Q32" s="1"/>
      <c r="R32" s="1"/>
      <c r="S32" s="1"/>
      <c r="T32" s="1"/>
      <c r="U32" s="1"/>
      <c r="V32" s="1"/>
      <c r="W32" s="1"/>
      <c r="X32" s="1"/>
    </row>
    <row r="33" spans="1:24" ht="12" customHeight="1" x14ac:dyDescent="0.2">
      <c r="A33" s="15" t="s">
        <v>417</v>
      </c>
      <c r="B33" s="15">
        <v>391</v>
      </c>
      <c r="C33" s="81">
        <v>70</v>
      </c>
      <c r="D33" s="82">
        <f t="shared" ref="D33:D40" si="14">IF((I33=0),"",(C33/I33))</f>
        <v>0.37634408602150538</v>
      </c>
      <c r="E33" s="66">
        <v>114</v>
      </c>
      <c r="F33" s="67">
        <f t="shared" ref="F33:F40" si="15">IF((I33=0),"",(E33/I33))</f>
        <v>0.61290322580645162</v>
      </c>
      <c r="G33" s="15">
        <v>2</v>
      </c>
      <c r="H33" s="17">
        <f t="shared" ref="H33:H40" si="16">IF((I33=0),"",(G33/I33))</f>
        <v>1.0752688172043012E-2</v>
      </c>
      <c r="I33" s="15">
        <f>SUM(C33,E33,G33)</f>
        <v>186</v>
      </c>
      <c r="J33" s="17">
        <f t="shared" ref="J33:J40" si="17">IF((B33=0),"",(I33/B33))</f>
        <v>0.47570332480818417</v>
      </c>
      <c r="K33" s="29">
        <f t="shared" ref="K33:K39" si="18">B33-I33</f>
        <v>205</v>
      </c>
      <c r="L33" s="17">
        <f t="shared" ref="L33:L40" si="19">IF((B33=0),"",(K33/B33))</f>
        <v>0.52429667519181589</v>
      </c>
      <c r="M33" s="1"/>
      <c r="N33" s="1"/>
      <c r="O33" s="1"/>
      <c r="P33" s="1"/>
      <c r="Q33" s="1"/>
      <c r="R33" s="1"/>
      <c r="S33" s="1"/>
      <c r="T33" s="1"/>
      <c r="U33" s="1"/>
      <c r="V33" s="1"/>
      <c r="W33" s="1"/>
      <c r="X33" s="1"/>
    </row>
    <row r="34" spans="1:24" ht="12" customHeight="1" x14ac:dyDescent="0.2">
      <c r="A34" s="15" t="s">
        <v>418</v>
      </c>
      <c r="B34" s="15">
        <v>453</v>
      </c>
      <c r="C34" s="81">
        <v>52</v>
      </c>
      <c r="D34" s="82">
        <f t="shared" si="14"/>
        <v>0.28415300546448086</v>
      </c>
      <c r="E34" s="66">
        <v>128</v>
      </c>
      <c r="F34" s="67">
        <f t="shared" si="15"/>
        <v>0.69945355191256831</v>
      </c>
      <c r="G34" s="15">
        <v>3</v>
      </c>
      <c r="H34" s="17">
        <f t="shared" si="16"/>
        <v>1.6393442622950821E-2</v>
      </c>
      <c r="I34" s="15">
        <f t="shared" ref="I34:I39" si="20">SUM(C34,E34,G34)</f>
        <v>183</v>
      </c>
      <c r="J34" s="17">
        <f t="shared" si="17"/>
        <v>0.40397350993377484</v>
      </c>
      <c r="K34" s="29">
        <f t="shared" si="18"/>
        <v>270</v>
      </c>
      <c r="L34" s="17">
        <f t="shared" si="19"/>
        <v>0.59602649006622521</v>
      </c>
      <c r="M34" s="1"/>
      <c r="N34" s="1"/>
      <c r="O34" s="1"/>
      <c r="P34" s="1"/>
      <c r="Q34" s="1"/>
      <c r="R34" s="1"/>
      <c r="S34" s="1"/>
      <c r="T34" s="1"/>
      <c r="U34" s="1"/>
      <c r="V34" s="1"/>
      <c r="W34" s="1"/>
      <c r="X34" s="1"/>
    </row>
    <row r="35" spans="1:24" ht="12" customHeight="1" x14ac:dyDescent="0.2">
      <c r="A35" s="15" t="s">
        <v>222</v>
      </c>
      <c r="B35" s="15">
        <v>435</v>
      </c>
      <c r="C35" s="81">
        <v>71</v>
      </c>
      <c r="D35" s="82">
        <f t="shared" si="14"/>
        <v>0.35323383084577115</v>
      </c>
      <c r="E35" s="66">
        <v>129</v>
      </c>
      <c r="F35" s="67">
        <f t="shared" si="15"/>
        <v>0.64179104477611937</v>
      </c>
      <c r="G35" s="15">
        <v>1</v>
      </c>
      <c r="H35" s="17">
        <f t="shared" si="16"/>
        <v>4.9751243781094526E-3</v>
      </c>
      <c r="I35" s="15">
        <f t="shared" si="20"/>
        <v>201</v>
      </c>
      <c r="J35" s="17">
        <f t="shared" si="17"/>
        <v>0.46206896551724136</v>
      </c>
      <c r="K35" s="29">
        <f t="shared" si="18"/>
        <v>234</v>
      </c>
      <c r="L35" s="17">
        <f t="shared" si="19"/>
        <v>0.53793103448275859</v>
      </c>
      <c r="M35" s="1"/>
      <c r="N35" s="1"/>
      <c r="O35" s="1"/>
      <c r="P35" s="1"/>
      <c r="Q35" s="1"/>
      <c r="R35" s="1"/>
      <c r="S35" s="1"/>
      <c r="T35" s="1"/>
      <c r="U35" s="1"/>
      <c r="V35" s="1"/>
      <c r="W35" s="1"/>
      <c r="X35" s="1"/>
    </row>
    <row r="36" spans="1:24" ht="12" customHeight="1" x14ac:dyDescent="0.2">
      <c r="A36" s="15" t="s">
        <v>115</v>
      </c>
      <c r="B36" s="15">
        <v>439</v>
      </c>
      <c r="C36" s="81">
        <v>66</v>
      </c>
      <c r="D36" s="82">
        <f t="shared" si="14"/>
        <v>0.33</v>
      </c>
      <c r="E36" s="66">
        <v>134</v>
      </c>
      <c r="F36" s="67">
        <f t="shared" si="15"/>
        <v>0.67</v>
      </c>
      <c r="G36" s="15">
        <v>0</v>
      </c>
      <c r="H36" s="17">
        <f t="shared" si="16"/>
        <v>0</v>
      </c>
      <c r="I36" s="15">
        <f t="shared" si="20"/>
        <v>200</v>
      </c>
      <c r="J36" s="17">
        <f t="shared" si="17"/>
        <v>0.45558086560364464</v>
      </c>
      <c r="K36" s="29">
        <f t="shared" si="18"/>
        <v>239</v>
      </c>
      <c r="L36" s="17">
        <f t="shared" si="19"/>
        <v>0.54441913439635536</v>
      </c>
      <c r="M36" s="1"/>
      <c r="N36" s="1"/>
      <c r="O36" s="1"/>
      <c r="P36" s="1"/>
      <c r="Q36" s="1"/>
      <c r="R36" s="1"/>
      <c r="S36" s="1"/>
      <c r="T36" s="1"/>
      <c r="U36" s="1"/>
      <c r="V36" s="1"/>
      <c r="W36" s="1"/>
      <c r="X36" s="1"/>
    </row>
    <row r="37" spans="1:24" ht="12" customHeight="1" x14ac:dyDescent="0.2">
      <c r="A37" s="15" t="s">
        <v>139</v>
      </c>
      <c r="B37" s="15">
        <v>391</v>
      </c>
      <c r="C37" s="81">
        <v>43</v>
      </c>
      <c r="D37" s="82">
        <f t="shared" si="14"/>
        <v>0.26380368098159507</v>
      </c>
      <c r="E37" s="66">
        <v>120</v>
      </c>
      <c r="F37" s="67">
        <f t="shared" si="15"/>
        <v>0.73619631901840488</v>
      </c>
      <c r="G37" s="15">
        <v>0</v>
      </c>
      <c r="H37" s="17">
        <f t="shared" si="16"/>
        <v>0</v>
      </c>
      <c r="I37" s="15">
        <f t="shared" si="20"/>
        <v>163</v>
      </c>
      <c r="J37" s="17">
        <f t="shared" si="17"/>
        <v>0.41687979539641945</v>
      </c>
      <c r="K37" s="29">
        <f t="shared" si="18"/>
        <v>228</v>
      </c>
      <c r="L37" s="17">
        <f t="shared" si="19"/>
        <v>0.58312020460358061</v>
      </c>
      <c r="M37" s="1"/>
      <c r="N37" s="1"/>
      <c r="O37" s="1"/>
      <c r="P37" s="1"/>
      <c r="Q37" s="1"/>
      <c r="R37" s="1"/>
      <c r="S37" s="1"/>
      <c r="T37" s="1"/>
      <c r="U37" s="1"/>
      <c r="V37" s="1"/>
      <c r="W37" s="1"/>
      <c r="X37" s="1"/>
    </row>
    <row r="38" spans="1:24" ht="12" customHeight="1" x14ac:dyDescent="0.2">
      <c r="A38" s="15" t="s">
        <v>419</v>
      </c>
      <c r="B38" s="15">
        <v>341</v>
      </c>
      <c r="C38" s="81">
        <v>31</v>
      </c>
      <c r="D38" s="82">
        <f t="shared" si="14"/>
        <v>0.23846153846153847</v>
      </c>
      <c r="E38" s="66">
        <v>97</v>
      </c>
      <c r="F38" s="67">
        <f t="shared" si="15"/>
        <v>0.74615384615384617</v>
      </c>
      <c r="G38" s="15">
        <v>2</v>
      </c>
      <c r="H38" s="17">
        <f t="shared" si="16"/>
        <v>1.5384615384615385E-2</v>
      </c>
      <c r="I38" s="15">
        <f t="shared" si="20"/>
        <v>130</v>
      </c>
      <c r="J38" s="17">
        <f t="shared" si="17"/>
        <v>0.38123167155425219</v>
      </c>
      <c r="K38" s="29">
        <f t="shared" si="18"/>
        <v>211</v>
      </c>
      <c r="L38" s="17">
        <f t="shared" si="19"/>
        <v>0.61876832844574781</v>
      </c>
      <c r="M38" s="1"/>
      <c r="N38" s="1"/>
      <c r="O38" s="1"/>
      <c r="P38" s="1"/>
      <c r="Q38" s="1"/>
      <c r="R38" s="1"/>
      <c r="S38" s="1"/>
      <c r="T38" s="1"/>
      <c r="U38" s="1"/>
      <c r="V38" s="1"/>
      <c r="W38" s="1"/>
      <c r="X38" s="1"/>
    </row>
    <row r="39" spans="1:24" ht="12" customHeight="1" x14ac:dyDescent="0.2">
      <c r="A39" s="15" t="s">
        <v>420</v>
      </c>
      <c r="B39" s="15">
        <v>380</v>
      </c>
      <c r="C39" s="81">
        <v>52</v>
      </c>
      <c r="D39" s="82">
        <f t="shared" si="14"/>
        <v>0.33548387096774196</v>
      </c>
      <c r="E39" s="66">
        <v>102</v>
      </c>
      <c r="F39" s="67">
        <f t="shared" si="15"/>
        <v>0.65806451612903227</v>
      </c>
      <c r="G39" s="15">
        <v>1</v>
      </c>
      <c r="H39" s="17">
        <f t="shared" si="16"/>
        <v>6.4516129032258064E-3</v>
      </c>
      <c r="I39" s="15">
        <f t="shared" si="20"/>
        <v>155</v>
      </c>
      <c r="J39" s="17">
        <f t="shared" si="17"/>
        <v>0.40789473684210525</v>
      </c>
      <c r="K39" s="29">
        <f t="shared" si="18"/>
        <v>225</v>
      </c>
      <c r="L39" s="17">
        <f t="shared" si="19"/>
        <v>0.59210526315789469</v>
      </c>
      <c r="M39" s="1"/>
      <c r="N39" s="1"/>
      <c r="O39" s="1"/>
      <c r="P39" s="1"/>
      <c r="Q39" s="1"/>
      <c r="R39" s="1"/>
      <c r="S39" s="1"/>
      <c r="T39" s="1"/>
      <c r="U39" s="1"/>
      <c r="V39" s="1"/>
      <c r="W39" s="1"/>
      <c r="X39" s="1"/>
    </row>
    <row r="40" spans="1:24" ht="12" customHeight="1" x14ac:dyDescent="0.2">
      <c r="A40" s="12" t="s">
        <v>120</v>
      </c>
      <c r="B40" s="12">
        <f>SUM(B33:B39)</f>
        <v>2830</v>
      </c>
      <c r="C40" s="78">
        <f>SUM(C33:C39)</f>
        <v>385</v>
      </c>
      <c r="D40" s="79">
        <f t="shared" si="14"/>
        <v>0.31609195402298851</v>
      </c>
      <c r="E40" s="63">
        <f>SUM(E33:E39)</f>
        <v>824</v>
      </c>
      <c r="F40" s="64">
        <f t="shared" si="15"/>
        <v>0.67651888341543509</v>
      </c>
      <c r="G40" s="12">
        <f>SUM(G33:G39)</f>
        <v>9</v>
      </c>
      <c r="H40" s="13">
        <f t="shared" si="16"/>
        <v>7.3891625615763543E-3</v>
      </c>
      <c r="I40" s="12">
        <f>SUM(I33:I39)</f>
        <v>1218</v>
      </c>
      <c r="J40" s="13">
        <f t="shared" si="17"/>
        <v>0.43038869257950529</v>
      </c>
      <c r="K40" s="12">
        <f>SUM(K33:K39)</f>
        <v>1612</v>
      </c>
      <c r="L40" s="13">
        <f t="shared" si="19"/>
        <v>0.56961130742049471</v>
      </c>
      <c r="M40" s="1"/>
      <c r="N40" s="1"/>
      <c r="O40" s="1"/>
      <c r="P40" s="1"/>
      <c r="Q40" s="1"/>
      <c r="R40" s="1"/>
      <c r="S40" s="1"/>
      <c r="T40" s="1"/>
      <c r="U40" s="1"/>
      <c r="V40" s="1"/>
      <c r="W40" s="1"/>
      <c r="X40" s="1"/>
    </row>
    <row r="41" spans="1:24" s="42" customFormat="1" ht="12" customHeight="1" x14ac:dyDescent="0.2">
      <c r="A41" s="32" t="s">
        <v>542</v>
      </c>
      <c r="B41" s="32">
        <v>17</v>
      </c>
      <c r="C41" s="78"/>
      <c r="D41" s="79"/>
      <c r="E41" s="63"/>
      <c r="F41" s="64"/>
      <c r="G41" s="32"/>
      <c r="H41" s="28"/>
      <c r="I41" s="32"/>
      <c r="J41" s="28"/>
      <c r="K41" s="32"/>
      <c r="L41" s="28"/>
      <c r="M41" s="1"/>
      <c r="N41" s="1"/>
      <c r="O41" s="1"/>
      <c r="P41" s="1"/>
      <c r="Q41" s="1"/>
      <c r="R41" s="1"/>
      <c r="S41" s="1"/>
      <c r="T41" s="1"/>
      <c r="U41" s="1"/>
      <c r="V41" s="1"/>
      <c r="W41" s="1"/>
      <c r="X41" s="1"/>
    </row>
    <row r="42" spans="1:24" ht="12" customHeight="1" x14ac:dyDescent="0.2">
      <c r="A42" s="14" t="s">
        <v>184</v>
      </c>
      <c r="B42" s="32" t="s">
        <v>185</v>
      </c>
      <c r="C42" s="86"/>
      <c r="D42" s="86"/>
      <c r="E42" s="90"/>
      <c r="F42" s="90"/>
      <c r="G42" s="16"/>
      <c r="H42" s="16"/>
      <c r="I42" s="16"/>
      <c r="J42" s="16"/>
      <c r="K42" s="16"/>
      <c r="L42" s="16"/>
      <c r="M42" s="1"/>
      <c r="N42" s="1"/>
      <c r="O42" s="1"/>
      <c r="P42" s="1"/>
      <c r="Q42" s="1"/>
      <c r="R42" s="1"/>
      <c r="S42" s="1"/>
      <c r="T42" s="1"/>
      <c r="U42" s="1"/>
      <c r="V42" s="1"/>
      <c r="W42" s="1"/>
      <c r="X42" s="1"/>
    </row>
    <row r="43" spans="1:24" ht="12" customHeight="1" x14ac:dyDescent="0.2">
      <c r="A43" s="15" t="s">
        <v>191</v>
      </c>
      <c r="B43" s="15">
        <v>404</v>
      </c>
      <c r="C43" s="81">
        <v>54</v>
      </c>
      <c r="D43" s="82">
        <f>IF((I43=0),"",(C43/I43))</f>
        <v>0.31034482758620691</v>
      </c>
      <c r="E43" s="66">
        <v>118</v>
      </c>
      <c r="F43" s="67">
        <f>IF((I43=0),"",(E43/I43))</f>
        <v>0.67816091954022983</v>
      </c>
      <c r="G43" s="15">
        <v>2</v>
      </c>
      <c r="H43" s="17">
        <f>IF((I43=0),"",(G43/I43))</f>
        <v>1.1494252873563218E-2</v>
      </c>
      <c r="I43" s="15">
        <f>SUM(C43,E43,G43)</f>
        <v>174</v>
      </c>
      <c r="J43" s="17">
        <f>IF((B43=0),"",(I43/B43))</f>
        <v>0.43069306930693069</v>
      </c>
      <c r="K43" s="29">
        <f>B43-I43</f>
        <v>230</v>
      </c>
      <c r="L43" s="17">
        <f>IF((B43=0),"",(K43/B43))</f>
        <v>0.56930693069306926</v>
      </c>
      <c r="M43" s="1"/>
      <c r="N43" s="1"/>
      <c r="O43" s="1"/>
      <c r="P43" s="1"/>
      <c r="Q43" s="1"/>
      <c r="R43" s="1"/>
      <c r="S43" s="1"/>
      <c r="T43" s="1"/>
      <c r="U43" s="1"/>
      <c r="V43" s="1"/>
      <c r="W43" s="1"/>
      <c r="X43" s="1"/>
    </row>
    <row r="44" spans="1:24" ht="12" customHeight="1" x14ac:dyDescent="0.2">
      <c r="A44" s="15" t="s">
        <v>192</v>
      </c>
      <c r="B44" s="15">
        <v>373</v>
      </c>
      <c r="C44" s="81">
        <v>42</v>
      </c>
      <c r="D44" s="82">
        <f>IF((I44=0),"",(C44/I44))</f>
        <v>0.24852071005917159</v>
      </c>
      <c r="E44" s="66">
        <v>125</v>
      </c>
      <c r="F44" s="67">
        <f>IF((I44=0),"",(E44/I44))</f>
        <v>0.73964497041420119</v>
      </c>
      <c r="G44" s="15">
        <v>2</v>
      </c>
      <c r="H44" s="17">
        <f>IF((I44=0),"",(G44/I44))</f>
        <v>1.1834319526627219E-2</v>
      </c>
      <c r="I44" s="15">
        <f>SUM(C44,E44,G44)</f>
        <v>169</v>
      </c>
      <c r="J44" s="17">
        <f>IF((B44=0),"",(I44/B44))</f>
        <v>0.45308310991957107</v>
      </c>
      <c r="K44" s="29">
        <f>B44-I44</f>
        <v>204</v>
      </c>
      <c r="L44" s="17">
        <f>IF((B44=0),"",(K44/B44))</f>
        <v>0.54691689008042899</v>
      </c>
      <c r="M44" s="1"/>
      <c r="N44" s="1"/>
      <c r="O44" s="1"/>
      <c r="P44" s="1"/>
      <c r="Q44" s="1"/>
      <c r="R44" s="1"/>
      <c r="S44" s="1"/>
      <c r="T44" s="1"/>
      <c r="U44" s="1"/>
      <c r="V44" s="1"/>
      <c r="W44" s="1"/>
      <c r="X44" s="1"/>
    </row>
    <row r="45" spans="1:24" ht="12" customHeight="1" x14ac:dyDescent="0.2">
      <c r="A45" s="15" t="s">
        <v>193</v>
      </c>
      <c r="B45" s="15">
        <v>378</v>
      </c>
      <c r="C45" s="81">
        <v>45</v>
      </c>
      <c r="D45" s="82">
        <f>IF((I45=0),"",(C45/I45))</f>
        <v>0.27439024390243905</v>
      </c>
      <c r="E45" s="66">
        <v>112</v>
      </c>
      <c r="F45" s="67">
        <f>IF((I45=0),"",(E45/I45))</f>
        <v>0.68292682926829273</v>
      </c>
      <c r="G45" s="15">
        <v>7</v>
      </c>
      <c r="H45" s="17">
        <f>IF((I45=0),"",(G45/I45))</f>
        <v>4.2682926829268296E-2</v>
      </c>
      <c r="I45" s="15">
        <f>SUM(C45,E45,G45)</f>
        <v>164</v>
      </c>
      <c r="J45" s="17">
        <f>IF((B45=0),"",(I45/B45))</f>
        <v>0.43386243386243384</v>
      </c>
      <c r="K45" s="29">
        <f>B45-I45</f>
        <v>214</v>
      </c>
      <c r="L45" s="17">
        <f>IF((B45=0),"",(K45/B45))</f>
        <v>0.56613756613756616</v>
      </c>
      <c r="M45" s="1"/>
      <c r="N45" s="1"/>
      <c r="O45" s="1"/>
      <c r="P45" s="1"/>
      <c r="Q45" s="1"/>
      <c r="R45" s="1"/>
      <c r="S45" s="1"/>
      <c r="T45" s="1"/>
      <c r="U45" s="1"/>
      <c r="V45" s="1"/>
      <c r="W45" s="1"/>
      <c r="X45" s="1"/>
    </row>
    <row r="46" spans="1:24" ht="12" customHeight="1" x14ac:dyDescent="0.2">
      <c r="A46" s="12" t="s">
        <v>120</v>
      </c>
      <c r="B46" s="12">
        <f>SUM(B43:B45)</f>
        <v>1155</v>
      </c>
      <c r="C46" s="78">
        <f>SUM(C43:C45)</f>
        <v>141</v>
      </c>
      <c r="D46" s="79">
        <f>IF((I46=0),"",(C46/I46))</f>
        <v>0.27810650887573962</v>
      </c>
      <c r="E46" s="63">
        <f>SUM(E43:E45)</f>
        <v>355</v>
      </c>
      <c r="F46" s="64">
        <f>IF((I46=0),"",(E46/I46))</f>
        <v>0.70019723865877714</v>
      </c>
      <c r="G46" s="12">
        <f>SUM(G43:G45)</f>
        <v>11</v>
      </c>
      <c r="H46" s="13">
        <f>IF((I46=0),"",(G46/I46))</f>
        <v>2.1696252465483234E-2</v>
      </c>
      <c r="I46" s="12">
        <f>SUM(I43:I45)</f>
        <v>507</v>
      </c>
      <c r="J46" s="13">
        <f>IF((B46=0),"",(I46/B46))</f>
        <v>0.43896103896103894</v>
      </c>
      <c r="K46" s="12">
        <f>SUM(K43:K45)</f>
        <v>648</v>
      </c>
      <c r="L46" s="13">
        <f>IF((B46=0),"",(K46/B46))</f>
        <v>0.561038961038961</v>
      </c>
      <c r="M46" s="1"/>
      <c r="N46" s="1"/>
      <c r="O46" s="1"/>
      <c r="P46" s="1"/>
      <c r="Q46" s="1"/>
      <c r="R46" s="1"/>
      <c r="S46" s="1"/>
      <c r="T46" s="1"/>
      <c r="U46" s="1"/>
      <c r="V46" s="1"/>
      <c r="W46" s="1"/>
      <c r="X46" s="1"/>
    </row>
    <row r="47" spans="1:24" ht="12.75" customHeight="1" x14ac:dyDescent="0.2">
      <c r="A47" s="43" t="s">
        <v>542</v>
      </c>
      <c r="B47" s="43">
        <v>10</v>
      </c>
      <c r="C47" s="89"/>
      <c r="D47" s="89"/>
      <c r="E47" s="93"/>
      <c r="F47" s="93"/>
      <c r="G47" s="1"/>
      <c r="H47" s="1"/>
      <c r="I47" s="1"/>
      <c r="J47" s="1"/>
      <c r="K47" s="1"/>
      <c r="L47" s="1"/>
      <c r="M47" s="1"/>
      <c r="N47" s="1"/>
      <c r="O47" s="1"/>
      <c r="P47" s="1"/>
      <c r="Q47" s="1"/>
      <c r="R47" s="1"/>
      <c r="S47" s="1"/>
      <c r="T47" s="1"/>
      <c r="U47" s="1"/>
      <c r="V47" s="1"/>
      <c r="W47" s="1"/>
      <c r="X47" s="1"/>
    </row>
    <row r="48" spans="1:24" ht="12.75" customHeight="1" x14ac:dyDescent="0.2">
      <c r="A48" s="1"/>
      <c r="B48" s="1"/>
      <c r="C48" s="89"/>
      <c r="D48" s="89"/>
      <c r="E48" s="93"/>
      <c r="F48" s="93"/>
      <c r="G48" s="1"/>
      <c r="H48" s="1"/>
      <c r="I48" s="1"/>
      <c r="J48" s="1"/>
      <c r="K48" s="1"/>
      <c r="L48" s="1"/>
      <c r="M48" s="1"/>
      <c r="N48" s="1"/>
      <c r="O48" s="1"/>
      <c r="P48" s="1"/>
      <c r="Q48" s="1"/>
      <c r="R48" s="1"/>
      <c r="S48" s="1"/>
      <c r="T48" s="1"/>
      <c r="U48" s="1"/>
      <c r="V48" s="1"/>
      <c r="W48" s="1"/>
      <c r="X48" s="1"/>
    </row>
    <row r="49" spans="1:24" ht="12.75" customHeight="1" x14ac:dyDescent="0.2">
      <c r="A49" s="1"/>
      <c r="B49" s="1"/>
      <c r="C49" s="89"/>
      <c r="D49" s="89"/>
      <c r="E49" s="93"/>
      <c r="F49" s="93"/>
      <c r="G49" s="1"/>
      <c r="H49" s="1"/>
      <c r="I49" s="1"/>
      <c r="J49" s="1"/>
      <c r="K49" s="1"/>
      <c r="L49" s="1"/>
      <c r="M49" s="1"/>
      <c r="N49" s="1"/>
      <c r="O49" s="1"/>
      <c r="P49" s="1"/>
      <c r="Q49" s="1"/>
      <c r="R49" s="1"/>
      <c r="S49" s="1"/>
      <c r="T49" s="1"/>
      <c r="U49" s="1"/>
      <c r="V49" s="1"/>
      <c r="W49" s="1"/>
      <c r="X49" s="1"/>
    </row>
    <row r="50" spans="1:24" ht="12.75" customHeight="1" x14ac:dyDescent="0.2">
      <c r="A50" s="1"/>
      <c r="B50" s="1"/>
      <c r="C50" s="89"/>
      <c r="D50" s="89"/>
      <c r="E50" s="93"/>
      <c r="F50" s="93"/>
      <c r="G50" s="1"/>
      <c r="H50" s="1"/>
      <c r="I50" s="1"/>
      <c r="J50" s="1"/>
      <c r="K50" s="1"/>
      <c r="L50" s="1"/>
      <c r="M50" s="1"/>
      <c r="N50" s="1"/>
      <c r="O50" s="1"/>
      <c r="P50" s="1"/>
      <c r="Q50" s="1"/>
      <c r="R50" s="1"/>
      <c r="S50" s="1"/>
      <c r="T50" s="1"/>
      <c r="U50" s="1"/>
      <c r="V50" s="1"/>
      <c r="W50" s="1"/>
      <c r="X50" s="1"/>
    </row>
    <row r="51" spans="1:24" ht="12.75" customHeight="1" x14ac:dyDescent="0.2">
      <c r="A51" s="1"/>
      <c r="B51" s="1"/>
      <c r="C51" s="89"/>
      <c r="D51" s="89"/>
      <c r="E51" s="93"/>
      <c r="F51" s="93"/>
      <c r="G51" s="1"/>
      <c r="H51" s="1"/>
      <c r="I51" s="1"/>
      <c r="J51" s="1"/>
      <c r="K51" s="1"/>
      <c r="L51" s="1"/>
      <c r="M51" s="1"/>
      <c r="N51" s="1"/>
      <c r="O51" s="1"/>
      <c r="P51" s="1"/>
      <c r="Q51" s="1"/>
      <c r="R51" s="1"/>
      <c r="S51" s="1"/>
      <c r="T51" s="1"/>
      <c r="U51" s="1"/>
      <c r="V51" s="1"/>
      <c r="W51" s="1"/>
      <c r="X51" s="1"/>
    </row>
    <row r="52" spans="1:24" ht="12.75" customHeight="1" x14ac:dyDescent="0.2">
      <c r="A52" s="1"/>
      <c r="B52" s="1"/>
      <c r="C52" s="89"/>
      <c r="D52" s="89"/>
      <c r="E52" s="93"/>
      <c r="F52" s="93"/>
      <c r="G52" s="1"/>
      <c r="H52" s="1"/>
      <c r="I52" s="1"/>
      <c r="J52" s="1"/>
      <c r="K52" s="1"/>
      <c r="L52" s="1"/>
      <c r="M52" s="1"/>
      <c r="N52" s="1"/>
      <c r="O52" s="1"/>
      <c r="P52" s="1"/>
      <c r="Q52" s="1"/>
      <c r="R52" s="1"/>
      <c r="S52" s="1"/>
      <c r="T52" s="1"/>
      <c r="U52" s="1"/>
      <c r="V52" s="1"/>
      <c r="W52" s="1"/>
      <c r="X52" s="1"/>
    </row>
    <row r="53" spans="1:24" ht="12.75" customHeight="1" x14ac:dyDescent="0.2">
      <c r="A53" s="1"/>
      <c r="B53" s="1"/>
      <c r="C53" s="89"/>
      <c r="D53" s="89"/>
      <c r="E53" s="93"/>
      <c r="F53" s="93"/>
      <c r="G53" s="1"/>
      <c r="H53" s="1"/>
      <c r="I53" s="1"/>
      <c r="J53" s="1"/>
      <c r="K53" s="1"/>
      <c r="L53" s="1"/>
      <c r="M53" s="1"/>
      <c r="N53" s="1"/>
      <c r="O53" s="1"/>
      <c r="P53" s="1"/>
      <c r="Q53" s="1"/>
      <c r="R53" s="1"/>
      <c r="S53" s="1"/>
      <c r="T53" s="1"/>
      <c r="U53" s="1"/>
      <c r="V53" s="1"/>
      <c r="W53" s="1"/>
      <c r="X53" s="1"/>
    </row>
    <row r="54" spans="1:24" ht="12.75" customHeight="1" x14ac:dyDescent="0.2">
      <c r="A54" s="1"/>
      <c r="B54" s="1"/>
      <c r="C54" s="89"/>
      <c r="D54" s="89"/>
      <c r="E54" s="93"/>
      <c r="F54" s="93"/>
      <c r="G54" s="1"/>
      <c r="H54" s="1"/>
      <c r="I54" s="1"/>
      <c r="J54" s="1"/>
      <c r="K54" s="1"/>
      <c r="L54" s="1"/>
      <c r="M54" s="1"/>
      <c r="N54" s="1"/>
      <c r="O54" s="1"/>
      <c r="P54" s="1"/>
      <c r="Q54" s="1"/>
      <c r="R54" s="1"/>
      <c r="S54" s="1"/>
      <c r="T54" s="1"/>
      <c r="U54" s="1"/>
      <c r="V54" s="1"/>
      <c r="W54" s="1"/>
      <c r="X54" s="1"/>
    </row>
    <row r="55" spans="1:24" ht="12.75" customHeight="1" x14ac:dyDescent="0.2">
      <c r="A55" s="1"/>
      <c r="B55" s="1"/>
      <c r="C55" s="89"/>
      <c r="D55" s="89"/>
      <c r="E55" s="93"/>
      <c r="F55" s="93"/>
      <c r="G55" s="1"/>
      <c r="H55" s="1"/>
      <c r="I55" s="1"/>
      <c r="J55" s="1"/>
      <c r="K55" s="1"/>
      <c r="L55" s="1"/>
      <c r="M55" s="1"/>
      <c r="N55" s="1"/>
      <c r="O55" s="1"/>
      <c r="P55" s="1"/>
      <c r="Q55" s="1"/>
      <c r="R55" s="1"/>
      <c r="S55" s="1"/>
      <c r="T55" s="1"/>
      <c r="U55" s="1"/>
      <c r="V55" s="1"/>
      <c r="W55" s="1"/>
      <c r="X55" s="1"/>
    </row>
    <row r="56" spans="1:24" ht="12.75" customHeight="1" x14ac:dyDescent="0.2">
      <c r="A56" s="1"/>
      <c r="B56" s="1"/>
      <c r="C56" s="89"/>
      <c r="D56" s="89"/>
      <c r="E56" s="93"/>
      <c r="F56" s="93"/>
      <c r="G56" s="1"/>
      <c r="H56" s="1"/>
      <c r="I56" s="1"/>
      <c r="J56" s="1"/>
      <c r="K56" s="1"/>
      <c r="L56" s="1"/>
      <c r="M56" s="1"/>
      <c r="N56" s="1"/>
      <c r="O56" s="1"/>
      <c r="P56" s="1"/>
      <c r="Q56" s="1"/>
      <c r="R56" s="1"/>
      <c r="S56" s="1"/>
      <c r="T56" s="1"/>
      <c r="U56" s="1"/>
      <c r="V56" s="1"/>
      <c r="W56" s="1"/>
      <c r="X56" s="1"/>
    </row>
    <row r="57" spans="1:24" ht="12.75" customHeight="1" x14ac:dyDescent="0.2">
      <c r="A57" s="1"/>
      <c r="B57" s="1"/>
      <c r="C57" s="89"/>
      <c r="D57" s="89"/>
      <c r="E57" s="93"/>
      <c r="F57" s="93"/>
      <c r="G57" s="1"/>
      <c r="H57" s="1"/>
      <c r="I57" s="1"/>
      <c r="J57" s="1"/>
      <c r="K57" s="1"/>
      <c r="L57" s="1"/>
      <c r="M57" s="1"/>
      <c r="N57" s="1"/>
      <c r="O57" s="1"/>
      <c r="P57" s="1"/>
      <c r="Q57" s="1"/>
      <c r="R57" s="1"/>
      <c r="S57" s="1"/>
      <c r="T57" s="1"/>
      <c r="U57" s="1"/>
      <c r="V57" s="1"/>
      <c r="W57" s="1"/>
      <c r="X57" s="1"/>
    </row>
    <row r="58" spans="1:24" ht="12.75" customHeight="1" x14ac:dyDescent="0.2">
      <c r="A58" s="1"/>
      <c r="B58" s="1"/>
      <c r="C58" s="89"/>
      <c r="D58" s="89"/>
      <c r="E58" s="93"/>
      <c r="F58" s="93"/>
      <c r="G58" s="1"/>
      <c r="H58" s="1"/>
      <c r="I58" s="1"/>
      <c r="J58" s="1"/>
      <c r="K58" s="1"/>
      <c r="L58" s="1"/>
      <c r="M58" s="1"/>
      <c r="N58" s="1"/>
      <c r="O58" s="1"/>
      <c r="P58" s="1"/>
      <c r="Q58" s="1"/>
      <c r="R58" s="1"/>
      <c r="S58" s="1"/>
      <c r="T58" s="1"/>
      <c r="U58" s="1"/>
      <c r="V58" s="1"/>
      <c r="W58" s="1"/>
      <c r="X58" s="1"/>
    </row>
    <row r="59" spans="1:24" ht="12.75" customHeight="1" x14ac:dyDescent="0.2">
      <c r="A59" s="1"/>
      <c r="B59" s="1"/>
      <c r="C59" s="89"/>
      <c r="D59" s="89"/>
      <c r="E59" s="93"/>
      <c r="F59" s="93"/>
      <c r="G59" s="1"/>
      <c r="H59" s="1"/>
      <c r="I59" s="1"/>
      <c r="J59" s="1"/>
      <c r="K59" s="1"/>
      <c r="L59" s="1"/>
      <c r="M59" s="1"/>
      <c r="N59" s="1"/>
      <c r="O59" s="1"/>
      <c r="P59" s="1"/>
      <c r="Q59" s="1"/>
      <c r="R59" s="1"/>
      <c r="S59" s="1"/>
      <c r="T59" s="1"/>
      <c r="U59" s="1"/>
      <c r="V59" s="1"/>
      <c r="W59" s="1"/>
      <c r="X59" s="1"/>
    </row>
    <row r="60" spans="1:24" ht="12.75" customHeight="1" x14ac:dyDescent="0.2">
      <c r="A60" s="1"/>
      <c r="B60" s="1"/>
      <c r="C60" s="89"/>
      <c r="D60" s="89"/>
      <c r="E60" s="93"/>
      <c r="F60" s="93"/>
      <c r="G60" s="1"/>
      <c r="H60" s="1"/>
      <c r="I60" s="1"/>
      <c r="J60" s="1"/>
      <c r="K60" s="1"/>
      <c r="L60" s="1"/>
      <c r="M60" s="1"/>
      <c r="N60" s="1"/>
      <c r="O60" s="1"/>
      <c r="P60" s="1"/>
      <c r="Q60" s="1"/>
      <c r="R60" s="1"/>
      <c r="S60" s="1"/>
      <c r="T60" s="1"/>
      <c r="U60" s="1"/>
      <c r="V60" s="1"/>
      <c r="W60" s="1"/>
      <c r="X60" s="1"/>
    </row>
    <row r="61" spans="1:24" ht="12.75" customHeight="1" x14ac:dyDescent="0.2">
      <c r="A61" s="1"/>
      <c r="B61" s="1"/>
      <c r="C61" s="89"/>
      <c r="D61" s="89"/>
      <c r="E61" s="93"/>
      <c r="F61" s="93"/>
      <c r="G61" s="1"/>
      <c r="H61" s="1"/>
      <c r="I61" s="1"/>
      <c r="J61" s="1"/>
      <c r="K61" s="1"/>
      <c r="L61" s="1"/>
      <c r="M61" s="1"/>
      <c r="N61" s="1"/>
      <c r="O61" s="1"/>
      <c r="P61" s="1"/>
      <c r="Q61" s="1"/>
      <c r="R61" s="1"/>
      <c r="S61" s="1"/>
      <c r="T61" s="1"/>
      <c r="U61" s="1"/>
      <c r="V61" s="1"/>
      <c r="W61" s="1"/>
      <c r="X61" s="1"/>
    </row>
    <row r="62" spans="1:24" ht="12.75" customHeight="1" x14ac:dyDescent="0.2">
      <c r="A62" s="1"/>
      <c r="B62" s="1"/>
      <c r="C62" s="89"/>
      <c r="D62" s="89"/>
      <c r="E62" s="93"/>
      <c r="F62" s="93"/>
      <c r="G62" s="1"/>
      <c r="H62" s="1"/>
      <c r="I62" s="1"/>
      <c r="J62" s="1"/>
      <c r="K62" s="1"/>
      <c r="L62" s="1"/>
      <c r="M62" s="1"/>
      <c r="N62" s="1"/>
      <c r="O62" s="1"/>
      <c r="P62" s="1"/>
      <c r="Q62" s="1"/>
      <c r="R62" s="1"/>
      <c r="S62" s="1"/>
      <c r="T62" s="1"/>
      <c r="U62" s="1"/>
      <c r="V62" s="1"/>
      <c r="W62" s="1"/>
      <c r="X62" s="1"/>
    </row>
    <row r="63" spans="1:24" ht="12.75" customHeight="1" x14ac:dyDescent="0.2">
      <c r="A63" s="1"/>
      <c r="B63" s="1"/>
      <c r="C63" s="89"/>
      <c r="D63" s="89"/>
      <c r="E63" s="93"/>
      <c r="F63" s="93"/>
      <c r="G63" s="1"/>
      <c r="H63" s="1"/>
      <c r="I63" s="1"/>
      <c r="J63" s="1"/>
      <c r="K63" s="1"/>
      <c r="L63" s="1"/>
      <c r="M63" s="1"/>
      <c r="N63" s="1"/>
      <c r="O63" s="1"/>
      <c r="P63" s="1"/>
      <c r="Q63" s="1"/>
      <c r="R63" s="1"/>
      <c r="S63" s="1"/>
      <c r="T63" s="1"/>
      <c r="U63" s="1"/>
      <c r="V63" s="1"/>
      <c r="W63" s="1"/>
      <c r="X63" s="1"/>
    </row>
    <row r="64" spans="1:24" ht="12.75" customHeight="1" x14ac:dyDescent="0.2">
      <c r="A64" s="1"/>
      <c r="B64" s="1"/>
      <c r="C64" s="89"/>
      <c r="D64" s="89"/>
      <c r="E64" s="93"/>
      <c r="F64" s="93"/>
      <c r="G64" s="1"/>
      <c r="H64" s="1"/>
      <c r="I64" s="1"/>
      <c r="J64" s="1"/>
      <c r="K64" s="1"/>
      <c r="L64" s="1"/>
      <c r="M64" s="1"/>
      <c r="N64" s="1"/>
      <c r="O64" s="1"/>
      <c r="P64" s="1"/>
      <c r="Q64" s="1"/>
      <c r="R64" s="1"/>
      <c r="S64" s="1"/>
      <c r="T64" s="1"/>
      <c r="U64" s="1"/>
      <c r="V64" s="1"/>
      <c r="W64" s="1"/>
      <c r="X64" s="1"/>
    </row>
    <row r="65" spans="1:24" ht="12.75" customHeight="1" x14ac:dyDescent="0.2">
      <c r="A65" s="1"/>
      <c r="B65" s="1"/>
      <c r="C65" s="89"/>
      <c r="D65" s="89"/>
      <c r="E65" s="93"/>
      <c r="F65" s="93"/>
      <c r="G65" s="1"/>
      <c r="H65" s="1"/>
      <c r="I65" s="1"/>
      <c r="J65" s="1"/>
      <c r="K65" s="1"/>
      <c r="L65" s="1"/>
      <c r="M65" s="1"/>
      <c r="N65" s="1"/>
      <c r="O65" s="1"/>
      <c r="P65" s="1"/>
      <c r="Q65" s="1"/>
      <c r="R65" s="1"/>
      <c r="S65" s="1"/>
      <c r="T65" s="1"/>
      <c r="U65" s="1"/>
      <c r="V65" s="1"/>
      <c r="W65" s="1"/>
      <c r="X65" s="1"/>
    </row>
    <row r="66" spans="1:24" ht="12.75" customHeight="1" x14ac:dyDescent="0.2">
      <c r="A66" s="1"/>
      <c r="B66" s="1"/>
      <c r="C66" s="89"/>
      <c r="D66" s="89"/>
      <c r="E66" s="93"/>
      <c r="F66" s="93"/>
      <c r="G66" s="1"/>
      <c r="H66" s="1"/>
      <c r="I66" s="1"/>
      <c r="J66" s="1"/>
      <c r="K66" s="1"/>
      <c r="L66" s="1"/>
      <c r="M66" s="1"/>
      <c r="N66" s="1"/>
      <c r="O66" s="1"/>
      <c r="P66" s="1"/>
      <c r="Q66" s="1"/>
      <c r="R66" s="1"/>
      <c r="S66" s="1"/>
      <c r="T66" s="1"/>
      <c r="U66" s="1"/>
      <c r="V66" s="1"/>
      <c r="W66" s="1"/>
      <c r="X66" s="1"/>
    </row>
    <row r="67" spans="1:24" ht="12.75" customHeight="1" x14ac:dyDescent="0.2">
      <c r="A67" s="1"/>
      <c r="B67" s="1"/>
      <c r="C67" s="89"/>
      <c r="D67" s="89"/>
      <c r="E67" s="93"/>
      <c r="F67" s="93"/>
      <c r="G67" s="1"/>
      <c r="H67" s="1"/>
      <c r="I67" s="1"/>
      <c r="J67" s="1"/>
      <c r="K67" s="1"/>
      <c r="L67" s="1"/>
      <c r="M67" s="1"/>
      <c r="N67" s="1"/>
      <c r="O67" s="1"/>
      <c r="P67" s="1"/>
      <c r="Q67" s="1"/>
      <c r="R67" s="1"/>
      <c r="S67" s="1"/>
      <c r="T67" s="1"/>
      <c r="U67" s="1"/>
      <c r="V67" s="1"/>
      <c r="W67" s="1"/>
      <c r="X67" s="1"/>
    </row>
    <row r="68" spans="1:24" ht="12.75" customHeight="1" x14ac:dyDescent="0.2">
      <c r="A68" s="1"/>
      <c r="B68" s="1"/>
      <c r="C68" s="89"/>
      <c r="D68" s="89"/>
      <c r="E68" s="93"/>
      <c r="F68" s="93"/>
      <c r="G68" s="1"/>
      <c r="H68" s="1"/>
      <c r="I68" s="1"/>
      <c r="J68" s="1"/>
      <c r="K68" s="1"/>
      <c r="L68" s="1"/>
      <c r="M68" s="1"/>
      <c r="N68" s="1"/>
      <c r="O68" s="1"/>
      <c r="P68" s="1"/>
      <c r="Q68" s="1"/>
      <c r="R68" s="1"/>
      <c r="S68" s="1"/>
      <c r="T68" s="1"/>
      <c r="U68" s="1"/>
      <c r="V68" s="1"/>
      <c r="W68" s="1"/>
      <c r="X68" s="1"/>
    </row>
    <row r="69" spans="1:24" ht="12.75" customHeight="1" x14ac:dyDescent="0.2">
      <c r="A69" s="1"/>
      <c r="B69" s="1"/>
      <c r="C69" s="89"/>
      <c r="D69" s="89"/>
      <c r="E69" s="93"/>
      <c r="F69" s="93"/>
      <c r="G69" s="1"/>
      <c r="H69" s="1"/>
      <c r="I69" s="1"/>
      <c r="J69" s="1"/>
      <c r="K69" s="1"/>
      <c r="L69" s="1"/>
      <c r="M69" s="1"/>
      <c r="N69" s="1"/>
      <c r="O69" s="1"/>
      <c r="P69" s="1"/>
      <c r="Q69" s="1"/>
      <c r="R69" s="1"/>
      <c r="S69" s="1"/>
      <c r="T69" s="1"/>
      <c r="U69" s="1"/>
      <c r="V69" s="1"/>
      <c r="W69" s="1"/>
      <c r="X69" s="1"/>
    </row>
    <row r="70" spans="1:24" ht="12.75" customHeight="1" x14ac:dyDescent="0.2">
      <c r="A70" s="1"/>
      <c r="B70" s="1"/>
      <c r="C70" s="89"/>
      <c r="D70" s="89"/>
      <c r="E70" s="93"/>
      <c r="F70" s="93"/>
      <c r="G70" s="1"/>
      <c r="H70" s="1"/>
      <c r="I70" s="1"/>
      <c r="J70" s="1"/>
      <c r="K70" s="1"/>
      <c r="L70" s="1"/>
      <c r="M70" s="1"/>
      <c r="N70" s="1"/>
      <c r="O70" s="1"/>
      <c r="P70" s="1"/>
      <c r="Q70" s="1"/>
      <c r="R70" s="1"/>
      <c r="S70" s="1"/>
      <c r="T70" s="1"/>
      <c r="U70" s="1"/>
      <c r="V70" s="1"/>
      <c r="W70" s="1"/>
      <c r="X70" s="1"/>
    </row>
    <row r="71" spans="1:24" ht="12.75" customHeight="1" x14ac:dyDescent="0.2">
      <c r="A71" s="1"/>
      <c r="B71" s="1"/>
      <c r="C71" s="89"/>
      <c r="D71" s="89"/>
      <c r="E71" s="93"/>
      <c r="F71" s="93"/>
      <c r="G71" s="1"/>
      <c r="H71" s="1"/>
      <c r="I71" s="1"/>
      <c r="J71" s="1"/>
      <c r="K71" s="1"/>
      <c r="L71" s="1"/>
      <c r="M71" s="1"/>
      <c r="N71" s="1"/>
      <c r="O71" s="1"/>
      <c r="P71" s="1"/>
      <c r="Q71" s="1"/>
      <c r="R71" s="1"/>
      <c r="S71" s="1"/>
      <c r="T71" s="1"/>
      <c r="U71" s="1"/>
      <c r="V71" s="1"/>
      <c r="W71" s="1"/>
      <c r="X71" s="1"/>
    </row>
    <row r="72" spans="1:24" ht="12.75" customHeight="1" x14ac:dyDescent="0.2">
      <c r="A72" s="1"/>
      <c r="B72" s="1"/>
      <c r="C72" s="89"/>
      <c r="D72" s="89"/>
      <c r="E72" s="93"/>
      <c r="F72" s="93"/>
      <c r="G72" s="1"/>
      <c r="H72" s="1"/>
      <c r="I72" s="1"/>
      <c r="J72" s="1"/>
      <c r="K72" s="1"/>
      <c r="L72" s="1"/>
      <c r="M72" s="1"/>
      <c r="N72" s="1"/>
      <c r="O72" s="1"/>
      <c r="P72" s="1"/>
      <c r="Q72" s="1"/>
      <c r="R72" s="1"/>
      <c r="S72" s="1"/>
      <c r="T72" s="1"/>
      <c r="U72" s="1"/>
      <c r="V72" s="1"/>
      <c r="W72" s="1"/>
      <c r="X72" s="1"/>
    </row>
    <row r="73" spans="1:24" ht="12.75" customHeight="1" x14ac:dyDescent="0.2">
      <c r="A73" s="1"/>
      <c r="B73" s="1"/>
      <c r="C73" s="89"/>
      <c r="D73" s="89"/>
      <c r="E73" s="93"/>
      <c r="F73" s="93"/>
      <c r="G73" s="1"/>
      <c r="H73" s="1"/>
      <c r="I73" s="1"/>
      <c r="J73" s="1"/>
      <c r="K73" s="1"/>
      <c r="L73" s="1"/>
      <c r="M73" s="1"/>
      <c r="N73" s="1"/>
      <c r="O73" s="1"/>
      <c r="P73" s="1"/>
      <c r="Q73" s="1"/>
      <c r="R73" s="1"/>
      <c r="S73" s="1"/>
      <c r="T73" s="1"/>
      <c r="U73" s="1"/>
      <c r="V73" s="1"/>
      <c r="W73" s="1"/>
      <c r="X73" s="1"/>
    </row>
    <row r="74" spans="1:24" ht="12.75" customHeight="1" x14ac:dyDescent="0.2">
      <c r="A74" s="1"/>
      <c r="B74" s="1"/>
      <c r="C74" s="89"/>
      <c r="D74" s="89"/>
      <c r="E74" s="93"/>
      <c r="F74" s="93"/>
      <c r="G74" s="1"/>
      <c r="H74" s="1"/>
      <c r="I74" s="1"/>
      <c r="J74" s="1"/>
      <c r="K74" s="1"/>
      <c r="L74" s="1"/>
      <c r="M74" s="1"/>
      <c r="N74" s="1"/>
      <c r="O74" s="1"/>
      <c r="P74" s="1"/>
      <c r="Q74" s="1"/>
      <c r="R74" s="1"/>
      <c r="S74" s="1"/>
      <c r="T74" s="1"/>
      <c r="U74" s="1"/>
      <c r="V74" s="1"/>
      <c r="W74" s="1"/>
      <c r="X74" s="1"/>
    </row>
    <row r="75" spans="1:24" ht="12.75" customHeight="1" x14ac:dyDescent="0.2">
      <c r="A75" s="1"/>
      <c r="B75" s="1"/>
      <c r="C75" s="89"/>
      <c r="D75" s="89"/>
      <c r="E75" s="93"/>
      <c r="F75" s="93"/>
      <c r="G75" s="1"/>
      <c r="H75" s="1"/>
      <c r="I75" s="1"/>
      <c r="J75" s="1"/>
      <c r="K75" s="1"/>
      <c r="L75" s="1"/>
      <c r="M75" s="1"/>
      <c r="N75" s="1"/>
      <c r="O75" s="1"/>
      <c r="P75" s="1"/>
      <c r="Q75" s="1"/>
      <c r="R75" s="1"/>
      <c r="S75" s="1"/>
      <c r="T75" s="1"/>
      <c r="U75" s="1"/>
      <c r="V75" s="1"/>
      <c r="W75" s="1"/>
      <c r="X75" s="1"/>
    </row>
    <row r="76" spans="1:24" ht="12.75" customHeight="1" x14ac:dyDescent="0.2">
      <c r="A76" s="1"/>
      <c r="B76" s="1"/>
      <c r="C76" s="89"/>
      <c r="D76" s="89"/>
      <c r="E76" s="93"/>
      <c r="F76" s="93"/>
      <c r="G76" s="1"/>
      <c r="H76" s="1"/>
      <c r="I76" s="1"/>
      <c r="J76" s="1"/>
      <c r="K76" s="1"/>
      <c r="L76" s="1"/>
      <c r="M76" s="1"/>
      <c r="N76" s="1"/>
      <c r="O76" s="1"/>
      <c r="P76" s="1"/>
      <c r="Q76" s="1"/>
      <c r="R76" s="1"/>
      <c r="S76" s="1"/>
      <c r="T76" s="1"/>
      <c r="U76" s="1"/>
      <c r="V76" s="1"/>
      <c r="W76" s="1"/>
      <c r="X76" s="1"/>
    </row>
    <row r="77" spans="1:24" ht="12.75" customHeight="1" x14ac:dyDescent="0.2">
      <c r="A77" s="1"/>
      <c r="B77" s="1"/>
      <c r="C77" s="89"/>
      <c r="D77" s="89"/>
      <c r="E77" s="93"/>
      <c r="F77" s="93"/>
      <c r="G77" s="1"/>
      <c r="H77" s="1"/>
      <c r="I77" s="1"/>
      <c r="J77" s="1"/>
      <c r="K77" s="1"/>
      <c r="L77" s="1"/>
      <c r="M77" s="1"/>
      <c r="N77" s="1"/>
      <c r="O77" s="1"/>
      <c r="P77" s="1"/>
      <c r="Q77" s="1"/>
      <c r="R77" s="1"/>
      <c r="S77" s="1"/>
      <c r="T77" s="1"/>
      <c r="U77" s="1"/>
      <c r="V77" s="1"/>
      <c r="W77" s="1"/>
      <c r="X77" s="1"/>
    </row>
    <row r="78" spans="1:24" ht="12.75" customHeight="1" x14ac:dyDescent="0.2">
      <c r="A78" s="1"/>
      <c r="B78" s="1"/>
      <c r="C78" s="89"/>
      <c r="D78" s="89"/>
      <c r="E78" s="93"/>
      <c r="F78" s="93"/>
      <c r="G78" s="1"/>
      <c r="H78" s="1"/>
      <c r="I78" s="1"/>
      <c r="J78" s="1"/>
      <c r="K78" s="1"/>
      <c r="L78" s="1"/>
      <c r="M78" s="1"/>
      <c r="N78" s="1"/>
      <c r="O78" s="1"/>
      <c r="P78" s="1"/>
      <c r="Q78" s="1"/>
      <c r="R78" s="1"/>
      <c r="S78" s="1"/>
      <c r="T78" s="1"/>
      <c r="U78" s="1"/>
      <c r="V78" s="1"/>
      <c r="W78" s="1"/>
      <c r="X78" s="1"/>
    </row>
    <row r="79" spans="1:24" ht="12.75" customHeight="1" x14ac:dyDescent="0.2">
      <c r="A79" s="1"/>
      <c r="B79" s="1"/>
      <c r="C79" s="89"/>
      <c r="D79" s="89"/>
      <c r="E79" s="93"/>
      <c r="F79" s="93"/>
      <c r="G79" s="1"/>
      <c r="H79" s="1"/>
      <c r="I79" s="1"/>
      <c r="J79" s="1"/>
      <c r="K79" s="1"/>
      <c r="L79" s="1"/>
      <c r="M79" s="1"/>
      <c r="N79" s="1"/>
      <c r="O79" s="1"/>
      <c r="P79" s="1"/>
      <c r="Q79" s="1"/>
      <c r="R79" s="1"/>
      <c r="S79" s="1"/>
      <c r="T79" s="1"/>
      <c r="U79" s="1"/>
      <c r="V79" s="1"/>
      <c r="W79" s="1"/>
      <c r="X79" s="1"/>
    </row>
    <row r="80" spans="1:24" ht="12.75" customHeight="1" x14ac:dyDescent="0.2">
      <c r="A80" s="1"/>
      <c r="B80" s="1"/>
      <c r="C80" s="89"/>
      <c r="D80" s="89"/>
      <c r="E80" s="93"/>
      <c r="F80" s="93"/>
      <c r="G80" s="1"/>
      <c r="H80" s="1"/>
      <c r="I80" s="1"/>
      <c r="J80" s="1"/>
      <c r="K80" s="1"/>
      <c r="L80" s="1"/>
      <c r="M80" s="1"/>
      <c r="N80" s="1"/>
      <c r="O80" s="1"/>
      <c r="P80" s="1"/>
      <c r="Q80" s="1"/>
      <c r="R80" s="1"/>
      <c r="S80" s="1"/>
      <c r="T80" s="1"/>
      <c r="U80" s="1"/>
      <c r="V80" s="1"/>
      <c r="W80" s="1"/>
      <c r="X80" s="1"/>
    </row>
    <row r="81" spans="1:24" ht="12.75" customHeight="1" x14ac:dyDescent="0.2">
      <c r="A81" s="1"/>
      <c r="B81" s="1"/>
      <c r="C81" s="89"/>
      <c r="D81" s="89"/>
      <c r="E81" s="93"/>
      <c r="F81" s="93"/>
      <c r="G81" s="1"/>
      <c r="H81" s="1"/>
      <c r="I81" s="1"/>
      <c r="J81" s="1"/>
      <c r="K81" s="1"/>
      <c r="L81" s="1"/>
      <c r="M81" s="1"/>
      <c r="N81" s="1"/>
      <c r="O81" s="1"/>
      <c r="P81" s="1"/>
      <c r="Q81" s="1"/>
      <c r="R81" s="1"/>
      <c r="S81" s="1"/>
      <c r="T81" s="1"/>
      <c r="U81" s="1"/>
      <c r="V81" s="1"/>
      <c r="W81" s="1"/>
      <c r="X81" s="1"/>
    </row>
    <row r="82" spans="1:24" ht="12.75" customHeight="1" x14ac:dyDescent="0.2">
      <c r="A82" s="1"/>
      <c r="B82" s="1"/>
      <c r="C82" s="89"/>
      <c r="D82" s="89"/>
      <c r="E82" s="93"/>
      <c r="F82" s="93"/>
      <c r="G82" s="1"/>
      <c r="H82" s="1"/>
      <c r="I82" s="1"/>
      <c r="J82" s="1"/>
      <c r="K82" s="1"/>
      <c r="L82" s="1"/>
      <c r="M82" s="1"/>
      <c r="N82" s="1"/>
      <c r="O82" s="1"/>
      <c r="P82" s="1"/>
      <c r="Q82" s="1"/>
      <c r="R82" s="1"/>
      <c r="S82" s="1"/>
      <c r="T82" s="1"/>
      <c r="U82" s="1"/>
      <c r="V82" s="1"/>
      <c r="W82" s="1"/>
      <c r="X82" s="1"/>
    </row>
    <row r="83" spans="1:24" ht="12.75" customHeight="1" x14ac:dyDescent="0.2">
      <c r="A83" s="1"/>
      <c r="B83" s="1"/>
      <c r="C83" s="89"/>
      <c r="D83" s="89"/>
      <c r="E83" s="93"/>
      <c r="F83" s="93"/>
      <c r="G83" s="1"/>
      <c r="H83" s="1"/>
      <c r="I83" s="1"/>
      <c r="J83" s="1"/>
      <c r="K83" s="1"/>
      <c r="L83" s="1"/>
      <c r="M83" s="1"/>
      <c r="N83" s="1"/>
      <c r="O83" s="1"/>
      <c r="P83" s="1"/>
      <c r="Q83" s="1"/>
      <c r="R83" s="1"/>
      <c r="S83" s="1"/>
      <c r="T83" s="1"/>
      <c r="U83" s="1"/>
      <c r="V83" s="1"/>
      <c r="W83" s="1"/>
      <c r="X83" s="1"/>
    </row>
    <row r="84" spans="1:24" ht="12.75" customHeight="1" x14ac:dyDescent="0.2">
      <c r="A84" s="1"/>
      <c r="B84" s="1"/>
      <c r="C84" s="89"/>
      <c r="D84" s="89"/>
      <c r="E84" s="93"/>
      <c r="F84" s="93"/>
      <c r="G84" s="1"/>
      <c r="H84" s="1"/>
      <c r="I84" s="1"/>
      <c r="J84" s="1"/>
      <c r="K84" s="1"/>
      <c r="L84" s="1"/>
      <c r="M84" s="1"/>
      <c r="N84" s="1"/>
      <c r="O84" s="1"/>
      <c r="P84" s="1"/>
      <c r="Q84" s="1"/>
      <c r="R84" s="1"/>
      <c r="S84" s="1"/>
      <c r="T84" s="1"/>
      <c r="U84" s="1"/>
      <c r="V84" s="1"/>
      <c r="W84" s="1"/>
      <c r="X84" s="1"/>
    </row>
    <row r="85" spans="1:24" ht="12.75" customHeight="1" x14ac:dyDescent="0.2">
      <c r="A85" s="1"/>
      <c r="B85" s="1"/>
      <c r="C85" s="89"/>
      <c r="D85" s="89"/>
      <c r="E85" s="93"/>
      <c r="F85" s="93"/>
      <c r="G85" s="1"/>
      <c r="H85" s="1"/>
      <c r="I85" s="1"/>
      <c r="J85" s="1"/>
      <c r="K85" s="1"/>
      <c r="L85" s="1"/>
      <c r="M85" s="1"/>
      <c r="N85" s="1"/>
      <c r="O85" s="1"/>
      <c r="P85" s="1"/>
      <c r="Q85" s="1"/>
      <c r="R85" s="1"/>
      <c r="S85" s="1"/>
      <c r="T85" s="1"/>
      <c r="U85" s="1"/>
      <c r="V85" s="1"/>
      <c r="W85" s="1"/>
      <c r="X85" s="1"/>
    </row>
    <row r="86" spans="1:24" ht="12.75" customHeight="1" x14ac:dyDescent="0.2">
      <c r="A86" s="1"/>
      <c r="B86" s="1"/>
      <c r="C86" s="89"/>
      <c r="D86" s="89"/>
      <c r="E86" s="93"/>
      <c r="F86" s="93"/>
      <c r="G86" s="1"/>
      <c r="H86" s="1"/>
      <c r="I86" s="1"/>
      <c r="J86" s="1"/>
      <c r="K86" s="1"/>
      <c r="L86" s="1"/>
      <c r="M86" s="1"/>
      <c r="N86" s="1"/>
      <c r="O86" s="1"/>
      <c r="P86" s="1"/>
      <c r="Q86" s="1"/>
      <c r="R86" s="1"/>
      <c r="S86" s="1"/>
      <c r="T86" s="1"/>
      <c r="U86" s="1"/>
      <c r="V86" s="1"/>
      <c r="W86" s="1"/>
      <c r="X86" s="1"/>
    </row>
    <row r="87" spans="1:24" ht="12.75" customHeight="1" x14ac:dyDescent="0.2">
      <c r="A87" s="1"/>
      <c r="B87" s="1"/>
      <c r="C87" s="89"/>
      <c r="D87" s="89"/>
      <c r="E87" s="93"/>
      <c r="F87" s="93"/>
      <c r="G87" s="1"/>
      <c r="H87" s="1"/>
      <c r="I87" s="1"/>
      <c r="J87" s="1"/>
      <c r="K87" s="1"/>
      <c r="L87" s="1"/>
      <c r="M87" s="1"/>
      <c r="N87" s="1"/>
      <c r="O87" s="1"/>
      <c r="P87" s="1"/>
      <c r="Q87" s="1"/>
      <c r="R87" s="1"/>
      <c r="S87" s="1"/>
      <c r="T87" s="1"/>
      <c r="U87" s="1"/>
      <c r="V87" s="1"/>
      <c r="W87" s="1"/>
      <c r="X87" s="1"/>
    </row>
    <row r="88" spans="1:24" ht="12.75" customHeight="1" x14ac:dyDescent="0.2">
      <c r="A88" s="1"/>
      <c r="B88" s="1"/>
      <c r="C88" s="89"/>
      <c r="D88" s="89"/>
      <c r="E88" s="93"/>
      <c r="F88" s="93"/>
      <c r="G88" s="1"/>
      <c r="H88" s="1"/>
      <c r="I88" s="1"/>
      <c r="J88" s="1"/>
      <c r="K88" s="1"/>
      <c r="L88" s="1"/>
      <c r="M88" s="1"/>
      <c r="N88" s="1"/>
      <c r="O88" s="1"/>
      <c r="P88" s="1"/>
      <c r="Q88" s="1"/>
      <c r="R88" s="1"/>
      <c r="S88" s="1"/>
      <c r="T88" s="1"/>
      <c r="U88" s="1"/>
      <c r="V88" s="1"/>
      <c r="W88" s="1"/>
      <c r="X88" s="1"/>
    </row>
    <row r="89" spans="1:24" ht="12.75" customHeight="1" x14ac:dyDescent="0.2">
      <c r="A89" s="1"/>
      <c r="B89" s="1"/>
      <c r="C89" s="89"/>
      <c r="D89" s="89"/>
      <c r="E89" s="93"/>
      <c r="F89" s="93"/>
      <c r="G89" s="1"/>
      <c r="H89" s="1"/>
      <c r="I89" s="1"/>
      <c r="J89" s="1"/>
      <c r="K89" s="1"/>
      <c r="L89" s="1"/>
      <c r="M89" s="1"/>
      <c r="N89" s="1"/>
      <c r="O89" s="1"/>
      <c r="P89" s="1"/>
      <c r="Q89" s="1"/>
      <c r="R89" s="1"/>
      <c r="S89" s="1"/>
      <c r="T89" s="1"/>
      <c r="U89" s="1"/>
      <c r="V89" s="1"/>
      <c r="W89" s="1"/>
      <c r="X89" s="1"/>
    </row>
    <row r="90" spans="1:24" ht="12.75" customHeight="1" x14ac:dyDescent="0.2">
      <c r="A90" s="1"/>
      <c r="B90" s="1"/>
      <c r="C90" s="89"/>
      <c r="D90" s="89"/>
      <c r="E90" s="93"/>
      <c r="F90" s="93"/>
      <c r="G90" s="1"/>
      <c r="H90" s="1"/>
      <c r="I90" s="1"/>
      <c r="J90" s="1"/>
      <c r="K90" s="1"/>
      <c r="L90" s="1"/>
      <c r="M90" s="1"/>
      <c r="N90" s="1"/>
      <c r="O90" s="1"/>
      <c r="P90" s="1"/>
      <c r="Q90" s="1"/>
      <c r="R90" s="1"/>
      <c r="S90" s="1"/>
      <c r="T90" s="1"/>
      <c r="U90" s="1"/>
      <c r="V90" s="1"/>
      <c r="W90" s="1"/>
      <c r="X90" s="1"/>
    </row>
    <row r="91" spans="1:24" ht="12.75" customHeight="1" x14ac:dyDescent="0.2">
      <c r="A91" s="1"/>
      <c r="B91" s="1"/>
      <c r="C91" s="89"/>
      <c r="D91" s="89"/>
      <c r="E91" s="93"/>
      <c r="F91" s="93"/>
      <c r="G91" s="1"/>
      <c r="H91" s="1"/>
      <c r="I91" s="1"/>
      <c r="J91" s="1"/>
      <c r="K91" s="1"/>
      <c r="L91" s="1"/>
      <c r="M91" s="1"/>
      <c r="N91" s="1"/>
      <c r="O91" s="1"/>
      <c r="P91" s="1"/>
      <c r="Q91" s="1"/>
      <c r="R91" s="1"/>
      <c r="S91" s="1"/>
      <c r="T91" s="1"/>
      <c r="U91" s="1"/>
      <c r="V91" s="1"/>
      <c r="W91" s="1"/>
      <c r="X91" s="1"/>
    </row>
    <row r="92" spans="1:24" ht="12.75" customHeight="1" x14ac:dyDescent="0.2">
      <c r="A92" s="1"/>
      <c r="B92" s="1"/>
      <c r="C92" s="89"/>
      <c r="D92" s="89"/>
      <c r="E92" s="93"/>
      <c r="F92" s="93"/>
      <c r="G92" s="1"/>
      <c r="H92" s="1"/>
      <c r="I92" s="1"/>
      <c r="J92" s="1"/>
      <c r="K92" s="1"/>
      <c r="L92" s="1"/>
      <c r="M92" s="1"/>
      <c r="N92" s="1"/>
      <c r="O92" s="1"/>
      <c r="P92" s="1"/>
      <c r="Q92" s="1"/>
      <c r="R92" s="1"/>
      <c r="S92" s="1"/>
      <c r="T92" s="1"/>
      <c r="U92" s="1"/>
      <c r="V92" s="1"/>
      <c r="W92" s="1"/>
      <c r="X92" s="1"/>
    </row>
    <row r="93" spans="1:24" ht="12.75" customHeight="1" x14ac:dyDescent="0.2">
      <c r="A93" s="1"/>
      <c r="B93" s="1"/>
      <c r="C93" s="89"/>
      <c r="D93" s="89"/>
      <c r="E93" s="93"/>
      <c r="F93" s="93"/>
      <c r="G93" s="1"/>
      <c r="H93" s="1"/>
      <c r="I93" s="1"/>
      <c r="J93" s="1"/>
      <c r="K93" s="1"/>
      <c r="L93" s="1"/>
      <c r="M93" s="1"/>
      <c r="N93" s="1"/>
      <c r="O93" s="1"/>
      <c r="P93" s="1"/>
      <c r="Q93" s="1"/>
      <c r="R93" s="1"/>
      <c r="S93" s="1"/>
      <c r="T93" s="1"/>
      <c r="U93" s="1"/>
      <c r="V93" s="1"/>
      <c r="W93" s="1"/>
      <c r="X93" s="1"/>
    </row>
    <row r="94" spans="1:24" ht="12.75" customHeight="1" x14ac:dyDescent="0.2">
      <c r="A94" s="1"/>
      <c r="B94" s="1"/>
      <c r="C94" s="89"/>
      <c r="D94" s="89"/>
      <c r="E94" s="93"/>
      <c r="F94" s="93"/>
      <c r="G94" s="1"/>
      <c r="H94" s="1"/>
      <c r="I94" s="1"/>
      <c r="J94" s="1"/>
      <c r="K94" s="1"/>
      <c r="L94" s="1"/>
      <c r="M94" s="1"/>
      <c r="N94" s="1"/>
      <c r="O94" s="1"/>
      <c r="P94" s="1"/>
      <c r="Q94" s="1"/>
      <c r="R94" s="1"/>
      <c r="S94" s="1"/>
      <c r="T94" s="1"/>
      <c r="U94" s="1"/>
      <c r="V94" s="1"/>
      <c r="W94" s="1"/>
      <c r="X94" s="1"/>
    </row>
    <row r="95" spans="1:24" ht="12.75" customHeight="1" x14ac:dyDescent="0.2">
      <c r="A95" s="1"/>
      <c r="B95" s="1"/>
      <c r="C95" s="89"/>
      <c r="D95" s="89"/>
      <c r="E95" s="93"/>
      <c r="F95" s="93"/>
      <c r="G95" s="1"/>
      <c r="H95" s="1"/>
      <c r="I95" s="1"/>
      <c r="J95" s="1"/>
      <c r="K95" s="1"/>
      <c r="L95" s="1"/>
      <c r="M95" s="1"/>
      <c r="N95" s="1"/>
      <c r="O95" s="1"/>
      <c r="P95" s="1"/>
      <c r="Q95" s="1"/>
      <c r="R95" s="1"/>
      <c r="S95" s="1"/>
      <c r="T95" s="1"/>
      <c r="U95" s="1"/>
      <c r="V95" s="1"/>
      <c r="W95" s="1"/>
      <c r="X95" s="1"/>
    </row>
    <row r="96" spans="1:24" ht="12.75" customHeight="1" x14ac:dyDescent="0.2">
      <c r="A96" s="1"/>
      <c r="B96" s="1"/>
      <c r="C96" s="89"/>
      <c r="D96" s="89"/>
      <c r="E96" s="93"/>
      <c r="F96" s="93"/>
      <c r="G96" s="1"/>
      <c r="H96" s="1"/>
      <c r="I96" s="1"/>
      <c r="J96" s="1"/>
      <c r="K96" s="1"/>
      <c r="L96" s="1"/>
      <c r="M96" s="1"/>
      <c r="N96" s="1"/>
      <c r="O96" s="1"/>
      <c r="P96" s="1"/>
      <c r="Q96" s="1"/>
      <c r="R96" s="1"/>
      <c r="S96" s="1"/>
      <c r="T96" s="1"/>
      <c r="U96" s="1"/>
      <c r="V96" s="1"/>
      <c r="W96" s="1"/>
      <c r="X96" s="1"/>
    </row>
    <row r="97" spans="1:24" ht="12.75" customHeight="1" x14ac:dyDescent="0.2">
      <c r="A97" s="1"/>
      <c r="B97" s="1"/>
      <c r="C97" s="89"/>
      <c r="D97" s="89"/>
      <c r="E97" s="93"/>
      <c r="F97" s="93"/>
      <c r="G97" s="1"/>
      <c r="H97" s="1"/>
      <c r="I97" s="1"/>
      <c r="J97" s="1"/>
      <c r="K97" s="1"/>
      <c r="L97" s="1"/>
      <c r="M97" s="1"/>
      <c r="N97" s="1"/>
      <c r="O97" s="1"/>
      <c r="P97" s="1"/>
      <c r="Q97" s="1"/>
      <c r="R97" s="1"/>
      <c r="S97" s="1"/>
      <c r="T97" s="1"/>
      <c r="U97" s="1"/>
      <c r="V97" s="1"/>
      <c r="W97" s="1"/>
      <c r="X97" s="1"/>
    </row>
    <row r="98" spans="1:24" ht="12.75" customHeight="1" x14ac:dyDescent="0.2">
      <c r="A98" s="1"/>
      <c r="B98" s="1"/>
      <c r="C98" s="89"/>
      <c r="D98" s="89"/>
      <c r="E98" s="93"/>
      <c r="F98" s="93"/>
      <c r="G98" s="1"/>
      <c r="H98" s="1"/>
      <c r="I98" s="1"/>
      <c r="J98" s="1"/>
      <c r="K98" s="1"/>
      <c r="L98" s="1"/>
      <c r="M98" s="1"/>
      <c r="N98" s="1"/>
      <c r="O98" s="1"/>
      <c r="P98" s="1"/>
      <c r="Q98" s="1"/>
      <c r="R98" s="1"/>
      <c r="S98" s="1"/>
      <c r="T98" s="1"/>
      <c r="U98" s="1"/>
      <c r="V98" s="1"/>
      <c r="W98" s="1"/>
      <c r="X98" s="1"/>
    </row>
    <row r="99" spans="1:24" ht="12.75" customHeight="1" x14ac:dyDescent="0.2">
      <c r="A99" s="1"/>
      <c r="B99" s="1"/>
      <c r="C99" s="89"/>
      <c r="D99" s="89"/>
      <c r="E99" s="93"/>
      <c r="F99" s="93"/>
      <c r="G99" s="1"/>
      <c r="H99" s="1"/>
      <c r="I99" s="1"/>
      <c r="J99" s="1"/>
      <c r="K99" s="1"/>
      <c r="L99" s="1"/>
      <c r="M99" s="1"/>
      <c r="N99" s="1"/>
      <c r="O99" s="1"/>
      <c r="P99" s="1"/>
      <c r="Q99" s="1"/>
      <c r="R99" s="1"/>
      <c r="S99" s="1"/>
      <c r="T99" s="1"/>
      <c r="U99" s="1"/>
      <c r="V99" s="1"/>
      <c r="W99" s="1"/>
      <c r="X99" s="1"/>
    </row>
    <row r="100" spans="1:24" ht="12.75" customHeight="1" x14ac:dyDescent="0.2">
      <c r="A100" s="1"/>
      <c r="B100" s="1"/>
      <c r="C100" s="89"/>
      <c r="D100" s="89"/>
      <c r="E100" s="93"/>
      <c r="F100" s="93"/>
      <c r="G100" s="1"/>
      <c r="H100" s="1"/>
      <c r="I100" s="1"/>
      <c r="J100" s="1"/>
      <c r="K100" s="1"/>
      <c r="L100" s="1"/>
      <c r="M100" s="1"/>
      <c r="N100" s="1"/>
      <c r="O100" s="1"/>
      <c r="P100" s="1"/>
      <c r="Q100" s="1"/>
      <c r="R100" s="1"/>
      <c r="S100" s="1"/>
      <c r="T100" s="1"/>
      <c r="U100" s="1"/>
      <c r="V100" s="1"/>
      <c r="W100" s="1"/>
      <c r="X100" s="1"/>
    </row>
    <row r="101" spans="1:24" ht="12.75" customHeight="1" x14ac:dyDescent="0.2">
      <c r="A101" s="1"/>
      <c r="B101" s="1"/>
      <c r="C101" s="89"/>
      <c r="D101" s="89"/>
      <c r="E101" s="93"/>
      <c r="F101" s="93"/>
      <c r="G101" s="1"/>
      <c r="H101" s="1"/>
      <c r="I101" s="1"/>
      <c r="J101" s="1"/>
      <c r="K101" s="1"/>
      <c r="L101" s="1"/>
      <c r="M101" s="1"/>
      <c r="N101" s="1"/>
      <c r="O101" s="1"/>
      <c r="P101" s="1"/>
      <c r="Q101" s="1"/>
      <c r="R101" s="1"/>
      <c r="S101" s="1"/>
      <c r="T101" s="1"/>
      <c r="U101" s="1"/>
      <c r="V101" s="1"/>
      <c r="W101" s="1"/>
      <c r="X101" s="1"/>
    </row>
    <row r="102" spans="1:24" ht="12.75" customHeight="1" x14ac:dyDescent="0.2">
      <c r="A102" s="1"/>
      <c r="B102" s="1"/>
      <c r="C102" s="89"/>
      <c r="D102" s="89"/>
      <c r="E102" s="93"/>
      <c r="F102" s="93"/>
      <c r="G102" s="1"/>
      <c r="H102" s="1"/>
      <c r="I102" s="1"/>
      <c r="J102" s="1"/>
      <c r="K102" s="1"/>
      <c r="L102" s="1"/>
      <c r="M102" s="1"/>
      <c r="N102" s="1"/>
      <c r="O102" s="1"/>
      <c r="P102" s="1"/>
      <c r="Q102" s="1"/>
      <c r="R102" s="1"/>
      <c r="S102" s="1"/>
      <c r="T102" s="1"/>
      <c r="U102" s="1"/>
      <c r="V102" s="1"/>
      <c r="W102" s="1"/>
      <c r="X102" s="1"/>
    </row>
    <row r="103" spans="1:24" ht="12.75" customHeight="1" x14ac:dyDescent="0.2">
      <c r="A103" s="1"/>
      <c r="B103" s="1"/>
      <c r="C103" s="89"/>
      <c r="D103" s="89"/>
      <c r="E103" s="93"/>
      <c r="F103" s="93"/>
      <c r="G103" s="1"/>
      <c r="H103" s="1"/>
      <c r="I103" s="1"/>
      <c r="J103" s="1"/>
      <c r="K103" s="1"/>
      <c r="L103" s="1"/>
      <c r="M103" s="1"/>
      <c r="N103" s="1"/>
      <c r="O103" s="1"/>
      <c r="P103" s="1"/>
      <c r="Q103" s="1"/>
      <c r="R103" s="1"/>
      <c r="S103" s="1"/>
      <c r="T103" s="1"/>
      <c r="U103" s="1"/>
      <c r="V103" s="1"/>
      <c r="W103" s="1"/>
      <c r="X103" s="1"/>
    </row>
    <row r="104" spans="1:24" ht="12.75" customHeight="1" x14ac:dyDescent="0.2">
      <c r="A104" s="1"/>
      <c r="B104" s="1"/>
      <c r="C104" s="89"/>
      <c r="D104" s="89"/>
      <c r="E104" s="93"/>
      <c r="F104" s="93"/>
      <c r="G104" s="1"/>
      <c r="H104" s="1"/>
      <c r="I104" s="1"/>
      <c r="J104" s="1"/>
      <c r="K104" s="1"/>
      <c r="L104" s="1"/>
      <c r="M104" s="1"/>
      <c r="N104" s="1"/>
      <c r="O104" s="1"/>
      <c r="P104" s="1"/>
      <c r="Q104" s="1"/>
      <c r="R104" s="1"/>
      <c r="S104" s="1"/>
      <c r="T104" s="1"/>
      <c r="U104" s="1"/>
      <c r="V104" s="1"/>
      <c r="W104" s="1"/>
      <c r="X104" s="1"/>
    </row>
    <row r="105" spans="1:24" ht="12.75" customHeight="1" x14ac:dyDescent="0.2">
      <c r="A105" s="1"/>
      <c r="B105" s="1"/>
      <c r="C105" s="89"/>
      <c r="D105" s="89"/>
      <c r="E105" s="93"/>
      <c r="F105" s="93"/>
      <c r="G105" s="1"/>
      <c r="H105" s="1"/>
      <c r="I105" s="1"/>
      <c r="J105" s="1"/>
      <c r="K105" s="1"/>
      <c r="L105" s="1"/>
      <c r="M105" s="1"/>
      <c r="N105" s="1"/>
      <c r="O105" s="1"/>
      <c r="P105" s="1"/>
      <c r="Q105" s="1"/>
      <c r="R105" s="1"/>
      <c r="S105" s="1"/>
      <c r="T105" s="1"/>
      <c r="U105" s="1"/>
      <c r="V105" s="1"/>
      <c r="W105" s="1"/>
      <c r="X105" s="1"/>
    </row>
    <row r="106" spans="1:24" ht="12.75" customHeight="1" x14ac:dyDescent="0.2">
      <c r="A106" s="1"/>
      <c r="B106" s="1"/>
      <c r="C106" s="89"/>
      <c r="D106" s="89"/>
      <c r="E106" s="93"/>
      <c r="F106" s="93"/>
      <c r="G106" s="1"/>
      <c r="H106" s="1"/>
      <c r="I106" s="1"/>
      <c r="J106" s="1"/>
      <c r="K106" s="1"/>
      <c r="L106" s="1"/>
      <c r="M106" s="1"/>
      <c r="N106" s="1"/>
      <c r="O106" s="1"/>
      <c r="P106" s="1"/>
      <c r="Q106" s="1"/>
      <c r="R106" s="1"/>
      <c r="S106" s="1"/>
      <c r="T106" s="1"/>
      <c r="U106" s="1"/>
      <c r="V106" s="1"/>
      <c r="W106" s="1"/>
      <c r="X106" s="1"/>
    </row>
    <row r="107" spans="1:24" ht="12.75" customHeight="1" x14ac:dyDescent="0.2">
      <c r="A107" s="1"/>
      <c r="B107" s="1"/>
      <c r="C107" s="89"/>
      <c r="D107" s="89"/>
      <c r="E107" s="93"/>
      <c r="F107" s="93"/>
      <c r="G107" s="1"/>
      <c r="H107" s="1"/>
      <c r="I107" s="1"/>
      <c r="J107" s="1"/>
      <c r="K107" s="1"/>
      <c r="L107" s="1"/>
      <c r="M107" s="1"/>
      <c r="N107" s="1"/>
      <c r="O107" s="1"/>
      <c r="P107" s="1"/>
      <c r="Q107" s="1"/>
      <c r="R107" s="1"/>
      <c r="S107" s="1"/>
      <c r="T107" s="1"/>
      <c r="U107" s="1"/>
      <c r="V107" s="1"/>
      <c r="W107" s="1"/>
      <c r="X107" s="1"/>
    </row>
    <row r="108" spans="1:24" ht="12.75" customHeight="1" x14ac:dyDescent="0.2">
      <c r="A108" s="1"/>
      <c r="B108" s="1"/>
      <c r="C108" s="89"/>
      <c r="D108" s="89"/>
      <c r="E108" s="93"/>
      <c r="F108" s="93"/>
      <c r="G108" s="1"/>
      <c r="H108" s="1"/>
      <c r="I108" s="1"/>
      <c r="J108" s="1"/>
      <c r="K108" s="1"/>
      <c r="L108" s="1"/>
      <c r="M108" s="1"/>
      <c r="N108" s="1"/>
      <c r="O108" s="1"/>
      <c r="P108" s="1"/>
      <c r="Q108" s="1"/>
      <c r="R108" s="1"/>
      <c r="S108" s="1"/>
      <c r="T108" s="1"/>
      <c r="U108" s="1"/>
      <c r="V108" s="1"/>
      <c r="W108" s="1"/>
      <c r="X108" s="1"/>
    </row>
    <row r="109" spans="1:24" ht="12.75" customHeight="1" x14ac:dyDescent="0.2">
      <c r="A109" s="1"/>
      <c r="B109" s="1"/>
      <c r="C109" s="89"/>
      <c r="D109" s="89"/>
      <c r="E109" s="93"/>
      <c r="F109" s="93"/>
      <c r="G109" s="1"/>
      <c r="H109" s="1"/>
      <c r="I109" s="1"/>
      <c r="J109" s="1"/>
      <c r="K109" s="1"/>
      <c r="L109" s="1"/>
      <c r="M109" s="1"/>
      <c r="N109" s="1"/>
      <c r="O109" s="1"/>
      <c r="P109" s="1"/>
      <c r="Q109" s="1"/>
      <c r="R109" s="1"/>
      <c r="S109" s="1"/>
      <c r="T109" s="1"/>
      <c r="U109" s="1"/>
      <c r="V109" s="1"/>
      <c r="W109" s="1"/>
      <c r="X109" s="1"/>
    </row>
    <row r="110" spans="1:24" ht="12.75" customHeight="1" x14ac:dyDescent="0.2">
      <c r="A110" s="1"/>
      <c r="B110" s="1"/>
      <c r="C110" s="89"/>
      <c r="D110" s="89"/>
      <c r="E110" s="93"/>
      <c r="F110" s="93"/>
      <c r="G110" s="1"/>
      <c r="H110" s="1"/>
      <c r="I110" s="1"/>
      <c r="J110" s="1"/>
      <c r="K110" s="1"/>
      <c r="L110" s="1"/>
      <c r="M110" s="1"/>
      <c r="N110" s="1"/>
      <c r="O110" s="1"/>
      <c r="P110" s="1"/>
      <c r="Q110" s="1"/>
      <c r="R110" s="1"/>
      <c r="S110" s="1"/>
      <c r="T110" s="1"/>
      <c r="U110" s="1"/>
      <c r="V110" s="1"/>
      <c r="W110" s="1"/>
      <c r="X110" s="1"/>
    </row>
    <row r="111" spans="1:24" ht="12.75" customHeight="1" x14ac:dyDescent="0.2">
      <c r="A111" s="1"/>
      <c r="B111" s="1"/>
      <c r="C111" s="89"/>
      <c r="D111" s="89"/>
      <c r="E111" s="93"/>
      <c r="F111" s="93"/>
      <c r="G111" s="1"/>
      <c r="H111" s="1"/>
      <c r="I111" s="1"/>
      <c r="J111" s="1"/>
      <c r="K111" s="1"/>
      <c r="L111" s="1"/>
      <c r="M111" s="1"/>
      <c r="N111" s="1"/>
      <c r="O111" s="1"/>
      <c r="P111" s="1"/>
      <c r="Q111" s="1"/>
      <c r="R111" s="1"/>
      <c r="S111" s="1"/>
      <c r="T111" s="1"/>
      <c r="U111" s="1"/>
      <c r="V111" s="1"/>
      <c r="W111" s="1"/>
      <c r="X111" s="1"/>
    </row>
    <row r="112" spans="1:24" ht="12.75" customHeight="1" x14ac:dyDescent="0.2">
      <c r="A112" s="1"/>
      <c r="B112" s="1"/>
      <c r="C112" s="89"/>
      <c r="D112" s="89"/>
      <c r="E112" s="93"/>
      <c r="F112" s="93"/>
      <c r="G112" s="1"/>
      <c r="H112" s="1"/>
      <c r="I112" s="1"/>
      <c r="J112" s="1"/>
      <c r="K112" s="1"/>
      <c r="L112" s="1"/>
      <c r="M112" s="1"/>
      <c r="N112" s="1"/>
      <c r="O112" s="1"/>
      <c r="P112" s="1"/>
      <c r="Q112" s="1"/>
      <c r="R112" s="1"/>
      <c r="S112" s="1"/>
      <c r="T112" s="1"/>
      <c r="U112" s="1"/>
      <c r="V112" s="1"/>
      <c r="W112" s="1"/>
      <c r="X112" s="1"/>
    </row>
    <row r="113" spans="1:24" ht="12.75" customHeight="1" x14ac:dyDescent="0.2">
      <c r="A113" s="1"/>
      <c r="B113" s="1"/>
      <c r="C113" s="89"/>
      <c r="D113" s="89"/>
      <c r="E113" s="93"/>
      <c r="F113" s="93"/>
      <c r="G113" s="1"/>
      <c r="H113" s="1"/>
      <c r="I113" s="1"/>
      <c r="J113" s="1"/>
      <c r="K113" s="1"/>
      <c r="L113" s="1"/>
      <c r="M113" s="1"/>
      <c r="N113" s="1"/>
      <c r="O113" s="1"/>
      <c r="P113" s="1"/>
      <c r="Q113" s="1"/>
      <c r="R113" s="1"/>
      <c r="S113" s="1"/>
      <c r="T113" s="1"/>
      <c r="U113" s="1"/>
      <c r="V113" s="1"/>
      <c r="W113" s="1"/>
      <c r="X113" s="1"/>
    </row>
    <row r="114" spans="1:24" ht="12.75" customHeight="1" x14ac:dyDescent="0.2">
      <c r="A114" s="1"/>
      <c r="B114" s="1"/>
      <c r="C114" s="89"/>
      <c r="D114" s="89"/>
      <c r="E114" s="93"/>
      <c r="F114" s="93"/>
      <c r="G114" s="1"/>
      <c r="H114" s="1"/>
      <c r="I114" s="1"/>
      <c r="J114" s="1"/>
      <c r="K114" s="1"/>
      <c r="L114" s="1"/>
      <c r="M114" s="1"/>
      <c r="N114" s="1"/>
      <c r="O114" s="1"/>
      <c r="P114" s="1"/>
      <c r="Q114" s="1"/>
      <c r="R114" s="1"/>
      <c r="S114" s="1"/>
      <c r="T114" s="1"/>
      <c r="U114" s="1"/>
      <c r="V114" s="1"/>
      <c r="W114" s="1"/>
      <c r="X114" s="1"/>
    </row>
    <row r="115" spans="1:24" ht="12.75" customHeight="1" x14ac:dyDescent="0.2">
      <c r="A115" s="1"/>
      <c r="B115" s="1"/>
      <c r="C115" s="89"/>
      <c r="D115" s="89"/>
      <c r="E115" s="93"/>
      <c r="F115" s="93"/>
      <c r="G115" s="1"/>
      <c r="H115" s="1"/>
      <c r="I115" s="1"/>
      <c r="J115" s="1"/>
      <c r="K115" s="1"/>
      <c r="L115" s="1"/>
      <c r="M115" s="1"/>
      <c r="N115" s="1"/>
      <c r="O115" s="1"/>
      <c r="P115" s="1"/>
      <c r="Q115" s="1"/>
      <c r="R115" s="1"/>
      <c r="S115" s="1"/>
      <c r="T115" s="1"/>
      <c r="U115" s="1"/>
      <c r="V115" s="1"/>
      <c r="W115" s="1"/>
      <c r="X115" s="1"/>
    </row>
    <row r="116" spans="1:24" ht="12.75" customHeight="1" x14ac:dyDescent="0.2">
      <c r="A116" s="1"/>
      <c r="B116" s="1"/>
      <c r="C116" s="89"/>
      <c r="D116" s="89"/>
      <c r="E116" s="93"/>
      <c r="F116" s="93"/>
      <c r="G116" s="1"/>
      <c r="H116" s="1"/>
      <c r="I116" s="1"/>
      <c r="J116" s="1"/>
      <c r="K116" s="1"/>
      <c r="L116" s="1"/>
      <c r="M116" s="1"/>
      <c r="N116" s="1"/>
      <c r="O116" s="1"/>
      <c r="P116" s="1"/>
      <c r="Q116" s="1"/>
      <c r="R116" s="1"/>
      <c r="S116" s="1"/>
      <c r="T116" s="1"/>
      <c r="U116" s="1"/>
      <c r="V116" s="1"/>
      <c r="W116" s="1"/>
      <c r="X116" s="1"/>
    </row>
    <row r="117" spans="1:24" ht="12.75" customHeight="1" x14ac:dyDescent="0.2">
      <c r="A117" s="1"/>
      <c r="B117" s="1"/>
      <c r="C117" s="89"/>
      <c r="D117" s="89"/>
      <c r="E117" s="93"/>
      <c r="F117" s="93"/>
      <c r="G117" s="1"/>
      <c r="H117" s="1"/>
      <c r="I117" s="1"/>
      <c r="J117" s="1"/>
      <c r="K117" s="1"/>
      <c r="L117" s="1"/>
      <c r="M117" s="1"/>
      <c r="N117" s="1"/>
      <c r="O117" s="1"/>
      <c r="P117" s="1"/>
      <c r="Q117" s="1"/>
      <c r="R117" s="1"/>
      <c r="S117" s="1"/>
      <c r="T117" s="1"/>
      <c r="U117" s="1"/>
      <c r="V117" s="1"/>
      <c r="W117" s="1"/>
      <c r="X117" s="1"/>
    </row>
    <row r="118" spans="1:24" ht="12.75" customHeight="1" x14ac:dyDescent="0.2">
      <c r="A118" s="1"/>
      <c r="B118" s="1"/>
      <c r="C118" s="89"/>
      <c r="D118" s="89"/>
      <c r="E118" s="93"/>
      <c r="F118" s="93"/>
      <c r="G118" s="1"/>
      <c r="H118" s="1"/>
      <c r="I118" s="1"/>
      <c r="J118" s="1"/>
      <c r="K118" s="1"/>
      <c r="L118" s="1"/>
      <c r="M118" s="1"/>
      <c r="N118" s="1"/>
      <c r="O118" s="1"/>
      <c r="P118" s="1"/>
      <c r="Q118" s="1"/>
      <c r="R118" s="1"/>
      <c r="S118" s="1"/>
      <c r="T118" s="1"/>
      <c r="U118" s="1"/>
      <c r="V118" s="1"/>
      <c r="W118" s="1"/>
      <c r="X118" s="1"/>
    </row>
    <row r="119" spans="1:24" ht="12.75" customHeight="1" x14ac:dyDescent="0.2">
      <c r="A119" s="1"/>
      <c r="B119" s="1"/>
      <c r="C119" s="89"/>
      <c r="D119" s="89"/>
      <c r="E119" s="93"/>
      <c r="F119" s="93"/>
      <c r="G119" s="1"/>
      <c r="H119" s="1"/>
      <c r="I119" s="1"/>
      <c r="J119" s="1"/>
      <c r="K119" s="1"/>
      <c r="L119" s="1"/>
      <c r="M119" s="1"/>
      <c r="N119" s="1"/>
      <c r="O119" s="1"/>
      <c r="P119" s="1"/>
      <c r="Q119" s="1"/>
      <c r="R119" s="1"/>
      <c r="S119" s="1"/>
      <c r="T119" s="1"/>
      <c r="U119" s="1"/>
      <c r="V119" s="1"/>
      <c r="W119" s="1"/>
      <c r="X119" s="1"/>
    </row>
    <row r="120" spans="1:24" ht="12.75" customHeight="1" x14ac:dyDescent="0.2">
      <c r="A120" s="1"/>
      <c r="B120" s="1"/>
      <c r="C120" s="89"/>
      <c r="D120" s="89"/>
      <c r="E120" s="93"/>
      <c r="F120" s="93"/>
      <c r="G120" s="1"/>
      <c r="H120" s="1"/>
      <c r="I120" s="1"/>
      <c r="J120" s="1"/>
      <c r="K120" s="1"/>
      <c r="L120" s="1"/>
      <c r="M120" s="1"/>
      <c r="N120" s="1"/>
      <c r="O120" s="1"/>
      <c r="P120" s="1"/>
      <c r="Q120" s="1"/>
      <c r="R120" s="1"/>
      <c r="S120" s="1"/>
      <c r="T120" s="1"/>
      <c r="U120" s="1"/>
      <c r="V120" s="1"/>
      <c r="W120" s="1"/>
      <c r="X120" s="1"/>
    </row>
    <row r="121" spans="1:24" ht="12.75" customHeight="1" x14ac:dyDescent="0.2">
      <c r="A121" s="1"/>
      <c r="B121" s="1"/>
      <c r="C121" s="89"/>
      <c r="D121" s="89"/>
      <c r="E121" s="93"/>
      <c r="F121" s="93"/>
      <c r="G121" s="1"/>
      <c r="H121" s="1"/>
      <c r="I121" s="1"/>
      <c r="J121" s="1"/>
      <c r="K121" s="1"/>
      <c r="L121" s="1"/>
      <c r="M121" s="1"/>
      <c r="N121" s="1"/>
      <c r="O121" s="1"/>
      <c r="P121" s="1"/>
      <c r="Q121" s="1"/>
      <c r="R121" s="1"/>
      <c r="S121" s="1"/>
      <c r="T121" s="1"/>
      <c r="U121" s="1"/>
      <c r="V121" s="1"/>
      <c r="W121" s="1"/>
      <c r="X121" s="1"/>
    </row>
    <row r="122" spans="1:24" ht="12.75" customHeight="1" x14ac:dyDescent="0.2">
      <c r="A122" s="1"/>
      <c r="B122" s="1"/>
      <c r="C122" s="89"/>
      <c r="D122" s="89"/>
      <c r="E122" s="93"/>
      <c r="F122" s="93"/>
      <c r="G122" s="1"/>
      <c r="H122" s="1"/>
      <c r="I122" s="1"/>
      <c r="J122" s="1"/>
      <c r="K122" s="1"/>
      <c r="L122" s="1"/>
      <c r="M122" s="1"/>
      <c r="N122" s="1"/>
      <c r="O122" s="1"/>
      <c r="P122" s="1"/>
      <c r="Q122" s="1"/>
      <c r="R122" s="1"/>
      <c r="S122" s="1"/>
      <c r="T122" s="1"/>
      <c r="U122" s="1"/>
      <c r="V122" s="1"/>
      <c r="W122" s="1"/>
      <c r="X122" s="1"/>
    </row>
    <row r="123" spans="1:24" ht="12.75" customHeight="1" x14ac:dyDescent="0.2">
      <c r="A123" s="1"/>
      <c r="B123" s="1"/>
      <c r="C123" s="89"/>
      <c r="D123" s="89"/>
      <c r="E123" s="93"/>
      <c r="F123" s="93"/>
      <c r="G123" s="1"/>
      <c r="H123" s="1"/>
      <c r="I123" s="1"/>
      <c r="J123" s="1"/>
      <c r="K123" s="1"/>
      <c r="L123" s="1"/>
      <c r="M123" s="1"/>
      <c r="N123" s="1"/>
      <c r="O123" s="1"/>
      <c r="P123" s="1"/>
      <c r="Q123" s="1"/>
      <c r="R123" s="1"/>
      <c r="S123" s="1"/>
      <c r="T123" s="1"/>
      <c r="U123" s="1"/>
      <c r="V123" s="1"/>
      <c r="W123" s="1"/>
      <c r="X123" s="1"/>
    </row>
    <row r="124" spans="1:24" ht="12.75" customHeight="1" x14ac:dyDescent="0.2">
      <c r="A124" s="1"/>
      <c r="B124" s="1"/>
      <c r="C124" s="89"/>
      <c r="D124" s="89"/>
      <c r="E124" s="93"/>
      <c r="F124" s="93"/>
      <c r="G124" s="1"/>
      <c r="H124" s="1"/>
      <c r="I124" s="1"/>
      <c r="J124" s="1"/>
      <c r="K124" s="1"/>
      <c r="L124" s="1"/>
      <c r="M124" s="1"/>
      <c r="N124" s="1"/>
      <c r="O124" s="1"/>
      <c r="P124" s="1"/>
      <c r="Q124" s="1"/>
      <c r="R124" s="1"/>
      <c r="S124" s="1"/>
      <c r="T124" s="1"/>
      <c r="U124" s="1"/>
      <c r="V124" s="1"/>
      <c r="W124" s="1"/>
      <c r="X124" s="1"/>
    </row>
    <row r="125" spans="1:24" ht="12.75" customHeight="1" x14ac:dyDescent="0.2">
      <c r="A125" s="1"/>
      <c r="B125" s="1"/>
      <c r="C125" s="89"/>
      <c r="D125" s="89"/>
      <c r="E125" s="93"/>
      <c r="F125" s="93"/>
      <c r="G125" s="1"/>
      <c r="H125" s="1"/>
      <c r="I125" s="1"/>
      <c r="J125" s="1"/>
      <c r="K125" s="1"/>
      <c r="L125" s="1"/>
      <c r="M125" s="1"/>
      <c r="N125" s="1"/>
      <c r="O125" s="1"/>
      <c r="P125" s="1"/>
      <c r="Q125" s="1"/>
      <c r="R125" s="1"/>
      <c r="S125" s="1"/>
      <c r="T125" s="1"/>
      <c r="U125" s="1"/>
      <c r="V125" s="1"/>
      <c r="W125" s="1"/>
      <c r="X125" s="1"/>
    </row>
    <row r="126" spans="1:24" ht="12.75" customHeight="1" x14ac:dyDescent="0.2">
      <c r="A126" s="1"/>
      <c r="B126" s="1"/>
      <c r="C126" s="89"/>
      <c r="D126" s="89"/>
      <c r="E126" s="93"/>
      <c r="F126" s="93"/>
      <c r="G126" s="1"/>
      <c r="H126" s="1"/>
      <c r="I126" s="1"/>
      <c r="J126" s="1"/>
      <c r="K126" s="1"/>
      <c r="L126" s="1"/>
      <c r="M126" s="1"/>
      <c r="N126" s="1"/>
      <c r="O126" s="1"/>
      <c r="P126" s="1"/>
      <c r="Q126" s="1"/>
      <c r="R126" s="1"/>
      <c r="S126" s="1"/>
      <c r="T126" s="1"/>
      <c r="U126" s="1"/>
      <c r="V126" s="1"/>
      <c r="W126" s="1"/>
      <c r="X126" s="1"/>
    </row>
    <row r="127" spans="1:24" ht="12.75" customHeight="1" x14ac:dyDescent="0.2">
      <c r="A127" s="1"/>
      <c r="B127" s="1"/>
      <c r="C127" s="89"/>
      <c r="D127" s="89"/>
      <c r="E127" s="93"/>
      <c r="F127" s="93"/>
      <c r="G127" s="1"/>
      <c r="H127" s="1"/>
      <c r="I127" s="1"/>
      <c r="J127" s="1"/>
      <c r="K127" s="1"/>
      <c r="L127" s="1"/>
      <c r="M127" s="1"/>
      <c r="N127" s="1"/>
      <c r="O127" s="1"/>
      <c r="P127" s="1"/>
      <c r="Q127" s="1"/>
      <c r="R127" s="1"/>
      <c r="S127" s="1"/>
      <c r="T127" s="1"/>
      <c r="U127" s="1"/>
      <c r="V127" s="1"/>
      <c r="W127" s="1"/>
      <c r="X127" s="1"/>
    </row>
    <row r="128" spans="1:24" ht="12.75" customHeight="1" x14ac:dyDescent="0.2">
      <c r="A128" s="1"/>
      <c r="B128" s="1"/>
      <c r="C128" s="89"/>
      <c r="D128" s="89"/>
      <c r="E128" s="93"/>
      <c r="F128" s="93"/>
      <c r="G128" s="1"/>
      <c r="H128" s="1"/>
      <c r="I128" s="1"/>
      <c r="J128" s="1"/>
      <c r="K128" s="1"/>
      <c r="L128" s="1"/>
      <c r="M128" s="1"/>
      <c r="N128" s="1"/>
      <c r="O128" s="1"/>
      <c r="P128" s="1"/>
      <c r="Q128" s="1"/>
      <c r="R128" s="1"/>
      <c r="S128" s="1"/>
      <c r="T128" s="1"/>
      <c r="U128" s="1"/>
      <c r="V128" s="1"/>
      <c r="W128" s="1"/>
      <c r="X128" s="1"/>
    </row>
    <row r="129" spans="1:24" ht="12.75" customHeight="1" x14ac:dyDescent="0.2">
      <c r="A129" s="1"/>
      <c r="B129" s="1"/>
      <c r="C129" s="89"/>
      <c r="D129" s="89"/>
      <c r="E129" s="93"/>
      <c r="F129" s="93"/>
      <c r="G129" s="1"/>
      <c r="H129" s="1"/>
      <c r="I129" s="1"/>
      <c r="J129" s="1"/>
      <c r="K129" s="1"/>
      <c r="L129" s="1"/>
      <c r="M129" s="1"/>
      <c r="N129" s="1"/>
      <c r="O129" s="1"/>
      <c r="P129" s="1"/>
      <c r="Q129" s="1"/>
      <c r="R129" s="1"/>
      <c r="S129" s="1"/>
      <c r="T129" s="1"/>
      <c r="U129" s="1"/>
      <c r="V129" s="1"/>
      <c r="W129" s="1"/>
      <c r="X129" s="1"/>
    </row>
    <row r="130" spans="1:24" ht="12.75" customHeight="1" x14ac:dyDescent="0.2">
      <c r="A130" s="1"/>
      <c r="B130" s="1"/>
      <c r="C130" s="89"/>
      <c r="D130" s="89"/>
      <c r="E130" s="93"/>
      <c r="F130" s="93"/>
      <c r="G130" s="1"/>
      <c r="H130" s="1"/>
      <c r="I130" s="1"/>
      <c r="J130" s="1"/>
      <c r="K130" s="1"/>
      <c r="L130" s="1"/>
      <c r="M130" s="1"/>
      <c r="N130" s="1"/>
      <c r="O130" s="1"/>
      <c r="P130" s="1"/>
      <c r="Q130" s="1"/>
      <c r="R130" s="1"/>
      <c r="S130" s="1"/>
      <c r="T130" s="1"/>
      <c r="U130" s="1"/>
      <c r="V130" s="1"/>
      <c r="W130" s="1"/>
      <c r="X130" s="1"/>
    </row>
    <row r="131" spans="1:24" ht="12.75" customHeight="1" x14ac:dyDescent="0.2">
      <c r="A131" s="1"/>
      <c r="B131" s="1"/>
      <c r="C131" s="89"/>
      <c r="D131" s="89"/>
      <c r="E131" s="93"/>
      <c r="F131" s="93"/>
      <c r="G131" s="1"/>
      <c r="H131" s="1"/>
      <c r="I131" s="1"/>
      <c r="J131" s="1"/>
      <c r="K131" s="1"/>
      <c r="L131" s="1"/>
      <c r="M131" s="1"/>
      <c r="N131" s="1"/>
      <c r="O131" s="1"/>
      <c r="P131" s="1"/>
      <c r="Q131" s="1"/>
      <c r="R131" s="1"/>
      <c r="S131" s="1"/>
      <c r="T131" s="1"/>
      <c r="U131" s="1"/>
      <c r="V131" s="1"/>
      <c r="W131" s="1"/>
      <c r="X131" s="1"/>
    </row>
    <row r="132" spans="1:24" ht="12.75" customHeight="1" x14ac:dyDescent="0.2">
      <c r="A132" s="1"/>
      <c r="B132" s="1"/>
      <c r="C132" s="89"/>
      <c r="D132" s="89"/>
      <c r="E132" s="93"/>
      <c r="F132" s="93"/>
      <c r="G132" s="1"/>
      <c r="H132" s="1"/>
      <c r="I132" s="1"/>
      <c r="J132" s="1"/>
      <c r="K132" s="1"/>
      <c r="L132" s="1"/>
      <c r="M132" s="1"/>
      <c r="N132" s="1"/>
      <c r="O132" s="1"/>
      <c r="P132" s="1"/>
      <c r="Q132" s="1"/>
      <c r="R132" s="1"/>
      <c r="S132" s="1"/>
      <c r="T132" s="1"/>
      <c r="U132" s="1"/>
      <c r="V132" s="1"/>
      <c r="W132" s="1"/>
      <c r="X132" s="1"/>
    </row>
    <row r="133" spans="1:24" ht="12.75" customHeight="1" x14ac:dyDescent="0.2">
      <c r="A133" s="1"/>
      <c r="B133" s="1"/>
      <c r="C133" s="89"/>
      <c r="D133" s="89"/>
      <c r="E133" s="93"/>
      <c r="F133" s="93"/>
      <c r="G133" s="1"/>
      <c r="H133" s="1"/>
      <c r="I133" s="1"/>
      <c r="J133" s="1"/>
      <c r="K133" s="1"/>
      <c r="L133" s="1"/>
      <c r="M133" s="1"/>
      <c r="N133" s="1"/>
      <c r="O133" s="1"/>
      <c r="P133" s="1"/>
      <c r="Q133" s="1"/>
      <c r="R133" s="1"/>
      <c r="S133" s="1"/>
      <c r="T133" s="1"/>
      <c r="U133" s="1"/>
      <c r="V133" s="1"/>
      <c r="W133" s="1"/>
      <c r="X133" s="1"/>
    </row>
    <row r="134" spans="1:24" ht="12.75" customHeight="1" x14ac:dyDescent="0.2">
      <c r="A134" s="1"/>
      <c r="B134" s="1"/>
      <c r="C134" s="89"/>
      <c r="D134" s="89"/>
      <c r="E134" s="93"/>
      <c r="F134" s="93"/>
      <c r="G134" s="1"/>
      <c r="H134" s="1"/>
      <c r="I134" s="1"/>
      <c r="J134" s="1"/>
      <c r="K134" s="1"/>
      <c r="L134" s="1"/>
      <c r="M134" s="1"/>
      <c r="N134" s="1"/>
      <c r="O134" s="1"/>
      <c r="P134" s="1"/>
      <c r="Q134" s="1"/>
      <c r="R134" s="1"/>
      <c r="S134" s="1"/>
      <c r="T134" s="1"/>
      <c r="U134" s="1"/>
      <c r="V134" s="1"/>
      <c r="W134" s="1"/>
      <c r="X134" s="1"/>
    </row>
    <row r="135" spans="1:24" ht="12.75" customHeight="1" x14ac:dyDescent="0.2">
      <c r="A135" s="1"/>
      <c r="B135" s="1"/>
      <c r="C135" s="89"/>
      <c r="D135" s="89"/>
      <c r="E135" s="93"/>
      <c r="F135" s="93"/>
      <c r="G135" s="1"/>
      <c r="H135" s="1"/>
      <c r="I135" s="1"/>
      <c r="J135" s="1"/>
      <c r="K135" s="1"/>
      <c r="L135" s="1"/>
      <c r="M135" s="1"/>
      <c r="N135" s="1"/>
      <c r="O135" s="1"/>
      <c r="P135" s="1"/>
      <c r="Q135" s="1"/>
      <c r="R135" s="1"/>
      <c r="S135" s="1"/>
      <c r="T135" s="1"/>
      <c r="U135" s="1"/>
      <c r="V135" s="1"/>
      <c r="W135" s="1"/>
      <c r="X135" s="1"/>
    </row>
    <row r="136" spans="1:24" ht="12.75" customHeight="1" x14ac:dyDescent="0.2">
      <c r="A136" s="1"/>
      <c r="B136" s="1"/>
      <c r="C136" s="89"/>
      <c r="D136" s="89"/>
      <c r="E136" s="93"/>
      <c r="F136" s="93"/>
      <c r="G136" s="1"/>
      <c r="H136" s="1"/>
      <c r="I136" s="1"/>
      <c r="J136" s="1"/>
      <c r="K136" s="1"/>
      <c r="L136" s="1"/>
      <c r="M136" s="1"/>
      <c r="N136" s="1"/>
      <c r="O136" s="1"/>
      <c r="P136" s="1"/>
      <c r="Q136" s="1"/>
      <c r="R136" s="1"/>
      <c r="S136" s="1"/>
      <c r="T136" s="1"/>
      <c r="U136" s="1"/>
      <c r="V136" s="1"/>
      <c r="W136" s="1"/>
      <c r="X136" s="1"/>
    </row>
    <row r="137" spans="1:24" ht="12.75" customHeight="1" x14ac:dyDescent="0.2">
      <c r="A137" s="1"/>
      <c r="B137" s="1"/>
      <c r="C137" s="89"/>
      <c r="D137" s="89"/>
      <c r="E137" s="93"/>
      <c r="F137" s="93"/>
      <c r="G137" s="1"/>
      <c r="H137" s="1"/>
      <c r="I137" s="1"/>
      <c r="J137" s="1"/>
      <c r="K137" s="1"/>
      <c r="L137" s="1"/>
      <c r="M137" s="1"/>
      <c r="N137" s="1"/>
      <c r="O137" s="1"/>
      <c r="P137" s="1"/>
      <c r="Q137" s="1"/>
      <c r="R137" s="1"/>
      <c r="S137" s="1"/>
      <c r="T137" s="1"/>
      <c r="U137" s="1"/>
      <c r="V137" s="1"/>
      <c r="W137" s="1"/>
      <c r="X137" s="1"/>
    </row>
    <row r="138" spans="1:24" ht="12.75" customHeight="1" x14ac:dyDescent="0.2">
      <c r="A138" s="1"/>
      <c r="B138" s="1"/>
      <c r="C138" s="89"/>
      <c r="D138" s="89"/>
      <c r="E138" s="93"/>
      <c r="F138" s="93"/>
      <c r="G138" s="1"/>
      <c r="H138" s="1"/>
      <c r="I138" s="1"/>
      <c r="J138" s="1"/>
      <c r="K138" s="1"/>
      <c r="L138" s="1"/>
      <c r="M138" s="1"/>
      <c r="N138" s="1"/>
      <c r="O138" s="1"/>
      <c r="P138" s="1"/>
      <c r="Q138" s="1"/>
      <c r="R138" s="1"/>
      <c r="S138" s="1"/>
      <c r="T138" s="1"/>
      <c r="U138" s="1"/>
      <c r="V138" s="1"/>
      <c r="W138" s="1"/>
      <c r="X138" s="1"/>
    </row>
    <row r="139" spans="1:24" ht="12.75" customHeight="1" x14ac:dyDescent="0.2">
      <c r="A139" s="1"/>
      <c r="B139" s="1"/>
      <c r="C139" s="89"/>
      <c r="D139" s="89"/>
      <c r="E139" s="93"/>
      <c r="F139" s="93"/>
      <c r="G139" s="1"/>
      <c r="H139" s="1"/>
      <c r="I139" s="1"/>
      <c r="J139" s="1"/>
      <c r="K139" s="1"/>
      <c r="L139" s="1"/>
      <c r="M139" s="1"/>
      <c r="N139" s="1"/>
      <c r="O139" s="1"/>
      <c r="P139" s="1"/>
      <c r="Q139" s="1"/>
      <c r="R139" s="1"/>
      <c r="S139" s="1"/>
      <c r="T139" s="1"/>
      <c r="U139" s="1"/>
      <c r="V139" s="1"/>
      <c r="W139" s="1"/>
      <c r="X139" s="1"/>
    </row>
    <row r="140" spans="1:24" ht="12.75" customHeight="1" x14ac:dyDescent="0.2">
      <c r="A140" s="1"/>
      <c r="B140" s="1"/>
      <c r="C140" s="89"/>
      <c r="D140" s="89"/>
      <c r="E140" s="93"/>
      <c r="F140" s="93"/>
      <c r="G140" s="1"/>
      <c r="H140" s="1"/>
      <c r="I140" s="1"/>
      <c r="J140" s="1"/>
      <c r="K140" s="1"/>
      <c r="L140" s="1"/>
      <c r="M140" s="1"/>
      <c r="N140" s="1"/>
      <c r="O140" s="1"/>
      <c r="P140" s="1"/>
      <c r="Q140" s="1"/>
      <c r="R140" s="1"/>
      <c r="S140" s="1"/>
      <c r="T140" s="1"/>
      <c r="U140" s="1"/>
      <c r="V140" s="1"/>
      <c r="W140" s="1"/>
      <c r="X140" s="1"/>
    </row>
    <row r="141" spans="1:24" ht="12.75" customHeight="1" x14ac:dyDescent="0.2">
      <c r="A141" s="1"/>
      <c r="B141" s="1"/>
      <c r="C141" s="89"/>
      <c r="D141" s="89"/>
      <c r="E141" s="93"/>
      <c r="F141" s="93"/>
      <c r="G141" s="1"/>
      <c r="H141" s="1"/>
      <c r="I141" s="1"/>
      <c r="J141" s="1"/>
      <c r="K141" s="1"/>
      <c r="L141" s="1"/>
      <c r="M141" s="1"/>
      <c r="N141" s="1"/>
      <c r="O141" s="1"/>
      <c r="P141" s="1"/>
      <c r="Q141" s="1"/>
      <c r="R141" s="1"/>
      <c r="S141" s="1"/>
      <c r="T141" s="1"/>
      <c r="U141" s="1"/>
      <c r="V141" s="1"/>
      <c r="W141" s="1"/>
      <c r="X141" s="1"/>
    </row>
    <row r="142" spans="1:24" ht="12.75" customHeight="1" x14ac:dyDescent="0.2">
      <c r="A142" s="1"/>
      <c r="B142" s="1"/>
      <c r="C142" s="89"/>
      <c r="D142" s="89"/>
      <c r="E142" s="93"/>
      <c r="F142" s="93"/>
      <c r="G142" s="1"/>
      <c r="H142" s="1"/>
      <c r="I142" s="1"/>
      <c r="J142" s="1"/>
      <c r="K142" s="1"/>
      <c r="L142" s="1"/>
      <c r="M142" s="1"/>
      <c r="N142" s="1"/>
      <c r="O142" s="1"/>
      <c r="P142" s="1"/>
      <c r="Q142" s="1"/>
      <c r="R142" s="1"/>
      <c r="S142" s="1"/>
      <c r="T142" s="1"/>
      <c r="U142" s="1"/>
      <c r="V142" s="1"/>
      <c r="W142" s="1"/>
      <c r="X142" s="1"/>
    </row>
    <row r="143" spans="1:24" ht="12.75" customHeight="1" x14ac:dyDescent="0.2">
      <c r="A143" s="1"/>
      <c r="B143" s="1"/>
      <c r="C143" s="89"/>
      <c r="D143" s="89"/>
      <c r="E143" s="93"/>
      <c r="F143" s="93"/>
      <c r="G143" s="1"/>
      <c r="H143" s="1"/>
      <c r="I143" s="1"/>
      <c r="J143" s="1"/>
      <c r="K143" s="1"/>
      <c r="L143" s="1"/>
      <c r="M143" s="1"/>
      <c r="N143" s="1"/>
      <c r="O143" s="1"/>
      <c r="P143" s="1"/>
      <c r="Q143" s="1"/>
      <c r="R143" s="1"/>
      <c r="S143" s="1"/>
      <c r="T143" s="1"/>
      <c r="U143" s="1"/>
      <c r="V143" s="1"/>
      <c r="W143" s="1"/>
      <c r="X143" s="1"/>
    </row>
    <row r="144" spans="1:24" ht="12.75" customHeight="1" x14ac:dyDescent="0.2">
      <c r="A144" s="1"/>
      <c r="B144" s="1"/>
      <c r="C144" s="89"/>
      <c r="D144" s="89"/>
      <c r="E144" s="93"/>
      <c r="F144" s="93"/>
      <c r="G144" s="1"/>
      <c r="H144" s="1"/>
      <c r="I144" s="1"/>
      <c r="J144" s="1"/>
      <c r="K144" s="1"/>
      <c r="L144" s="1"/>
      <c r="M144" s="1"/>
      <c r="N144" s="1"/>
      <c r="O144" s="1"/>
      <c r="P144" s="1"/>
      <c r="Q144" s="1"/>
      <c r="R144" s="1"/>
      <c r="S144" s="1"/>
      <c r="T144" s="1"/>
      <c r="U144" s="1"/>
      <c r="V144" s="1"/>
      <c r="W144" s="1"/>
      <c r="X144" s="1"/>
    </row>
    <row r="145" spans="1:24" ht="12.75" customHeight="1" x14ac:dyDescent="0.2">
      <c r="A145" s="1"/>
      <c r="B145" s="1"/>
      <c r="C145" s="89"/>
      <c r="D145" s="89"/>
      <c r="E145" s="93"/>
      <c r="F145" s="93"/>
      <c r="G145" s="1"/>
      <c r="H145" s="1"/>
      <c r="I145" s="1"/>
      <c r="J145" s="1"/>
      <c r="K145" s="1"/>
      <c r="L145" s="1"/>
      <c r="M145" s="1"/>
      <c r="N145" s="1"/>
      <c r="O145" s="1"/>
      <c r="P145" s="1"/>
      <c r="Q145" s="1"/>
      <c r="R145" s="1"/>
      <c r="S145" s="1"/>
      <c r="T145" s="1"/>
      <c r="U145" s="1"/>
      <c r="V145" s="1"/>
      <c r="W145" s="1"/>
      <c r="X145" s="1"/>
    </row>
    <row r="146" spans="1:24" ht="12.75" customHeight="1" x14ac:dyDescent="0.2">
      <c r="A146" s="1"/>
      <c r="B146" s="1"/>
      <c r="C146" s="89"/>
      <c r="D146" s="89"/>
      <c r="E146" s="93"/>
      <c r="F146" s="93"/>
      <c r="G146" s="1"/>
      <c r="H146" s="1"/>
      <c r="I146" s="1"/>
      <c r="J146" s="1"/>
      <c r="K146" s="1"/>
      <c r="L146" s="1"/>
      <c r="M146" s="1"/>
      <c r="N146" s="1"/>
      <c r="O146" s="1"/>
      <c r="P146" s="1"/>
      <c r="Q146" s="1"/>
      <c r="R146" s="1"/>
      <c r="S146" s="1"/>
      <c r="T146" s="1"/>
      <c r="U146" s="1"/>
      <c r="V146" s="1"/>
      <c r="W146" s="1"/>
      <c r="X146" s="1"/>
    </row>
    <row r="147" spans="1:24" ht="12.75" customHeight="1" x14ac:dyDescent="0.2">
      <c r="A147" s="1"/>
      <c r="B147" s="1"/>
      <c r="C147" s="89"/>
      <c r="D147" s="89"/>
      <c r="E147" s="93"/>
      <c r="F147" s="93"/>
      <c r="G147" s="1"/>
      <c r="H147" s="1"/>
      <c r="I147" s="1"/>
      <c r="J147" s="1"/>
      <c r="K147" s="1"/>
      <c r="L147" s="1"/>
      <c r="M147" s="1"/>
      <c r="N147" s="1"/>
      <c r="O147" s="1"/>
      <c r="P147" s="1"/>
      <c r="Q147" s="1"/>
      <c r="R147" s="1"/>
      <c r="S147" s="1"/>
      <c r="T147" s="1"/>
      <c r="U147" s="1"/>
      <c r="V147" s="1"/>
      <c r="W147" s="1"/>
      <c r="X147" s="1"/>
    </row>
    <row r="148" spans="1:24" ht="12.75" customHeight="1" x14ac:dyDescent="0.2">
      <c r="A148" s="1"/>
      <c r="B148" s="1"/>
      <c r="C148" s="89"/>
      <c r="D148" s="89"/>
      <c r="E148" s="93"/>
      <c r="F148" s="93"/>
      <c r="G148" s="1"/>
      <c r="H148" s="1"/>
      <c r="I148" s="1"/>
      <c r="J148" s="1"/>
      <c r="K148" s="1"/>
      <c r="L148" s="1"/>
      <c r="M148" s="1"/>
      <c r="N148" s="1"/>
      <c r="O148" s="1"/>
      <c r="P148" s="1"/>
      <c r="Q148" s="1"/>
      <c r="R148" s="1"/>
      <c r="S148" s="1"/>
      <c r="T148" s="1"/>
      <c r="U148" s="1"/>
      <c r="V148" s="1"/>
      <c r="W148" s="1"/>
      <c r="X148" s="1"/>
    </row>
    <row r="149" spans="1:24" ht="12.75" customHeight="1" x14ac:dyDescent="0.2">
      <c r="A149" s="1"/>
      <c r="B149" s="1"/>
      <c r="C149" s="89"/>
      <c r="D149" s="89"/>
      <c r="E149" s="93"/>
      <c r="F149" s="93"/>
      <c r="G149" s="1"/>
      <c r="H149" s="1"/>
      <c r="I149" s="1"/>
      <c r="J149" s="1"/>
      <c r="K149" s="1"/>
      <c r="L149" s="1"/>
      <c r="M149" s="1"/>
      <c r="N149" s="1"/>
      <c r="O149" s="1"/>
      <c r="P149" s="1"/>
      <c r="Q149" s="1"/>
      <c r="R149" s="1"/>
      <c r="S149" s="1"/>
      <c r="T149" s="1"/>
      <c r="U149" s="1"/>
      <c r="V149" s="1"/>
      <c r="W149" s="1"/>
      <c r="X149" s="1"/>
    </row>
    <row r="150" spans="1:24" ht="12.75" customHeight="1" x14ac:dyDescent="0.2">
      <c r="A150" s="1"/>
      <c r="B150" s="1"/>
      <c r="C150" s="89"/>
      <c r="D150" s="89"/>
      <c r="E150" s="93"/>
      <c r="F150" s="93"/>
      <c r="G150" s="1"/>
      <c r="H150" s="1"/>
      <c r="I150" s="1"/>
      <c r="J150" s="1"/>
      <c r="K150" s="1"/>
      <c r="L150" s="1"/>
      <c r="M150" s="1"/>
      <c r="N150" s="1"/>
      <c r="O150" s="1"/>
      <c r="P150" s="1"/>
      <c r="Q150" s="1"/>
      <c r="R150" s="1"/>
      <c r="S150" s="1"/>
      <c r="T150" s="1"/>
      <c r="U150" s="1"/>
      <c r="V150" s="1"/>
      <c r="W150" s="1"/>
      <c r="X150" s="1"/>
    </row>
    <row r="151" spans="1:24" ht="12.75" customHeight="1" x14ac:dyDescent="0.2">
      <c r="A151" s="1"/>
      <c r="B151" s="1"/>
      <c r="C151" s="89"/>
      <c r="D151" s="89"/>
      <c r="E151" s="93"/>
      <c r="F151" s="93"/>
      <c r="G151" s="1"/>
      <c r="H151" s="1"/>
      <c r="I151" s="1"/>
      <c r="J151" s="1"/>
      <c r="K151" s="1"/>
      <c r="L151" s="1"/>
      <c r="M151" s="1"/>
      <c r="N151" s="1"/>
      <c r="O151" s="1"/>
      <c r="P151" s="1"/>
      <c r="Q151" s="1"/>
      <c r="R151" s="1"/>
      <c r="S151" s="1"/>
      <c r="T151" s="1"/>
      <c r="U151" s="1"/>
      <c r="V151" s="1"/>
      <c r="W151" s="1"/>
      <c r="X151" s="1"/>
    </row>
    <row r="152" spans="1:24" ht="12.75" customHeight="1" x14ac:dyDescent="0.2">
      <c r="A152" s="1"/>
      <c r="B152" s="1"/>
      <c r="C152" s="89"/>
      <c r="D152" s="89"/>
      <c r="E152" s="93"/>
      <c r="F152" s="93"/>
      <c r="G152" s="1"/>
      <c r="H152" s="1"/>
      <c r="I152" s="1"/>
      <c r="J152" s="1"/>
      <c r="K152" s="1"/>
      <c r="L152" s="1"/>
      <c r="M152" s="1"/>
      <c r="N152" s="1"/>
      <c r="O152" s="1"/>
      <c r="P152" s="1"/>
      <c r="Q152" s="1"/>
      <c r="R152" s="1"/>
      <c r="S152" s="1"/>
      <c r="T152" s="1"/>
      <c r="U152" s="1"/>
      <c r="V152" s="1"/>
      <c r="W152" s="1"/>
      <c r="X152" s="1"/>
    </row>
    <row r="153" spans="1:24" ht="12.75" customHeight="1" x14ac:dyDescent="0.2">
      <c r="A153" s="1"/>
      <c r="B153" s="1"/>
      <c r="C153" s="89"/>
      <c r="D153" s="89"/>
      <c r="E153" s="93"/>
      <c r="F153" s="93"/>
      <c r="G153" s="1"/>
      <c r="H153" s="1"/>
      <c r="I153" s="1"/>
      <c r="J153" s="1"/>
      <c r="K153" s="1"/>
      <c r="L153" s="1"/>
      <c r="M153" s="1"/>
      <c r="N153" s="1"/>
      <c r="O153" s="1"/>
      <c r="P153" s="1"/>
      <c r="Q153" s="1"/>
      <c r="R153" s="1"/>
      <c r="S153" s="1"/>
      <c r="T153" s="1"/>
      <c r="U153" s="1"/>
      <c r="V153" s="1"/>
      <c r="W153" s="1"/>
      <c r="X153" s="1"/>
    </row>
    <row r="154" spans="1:24" ht="12.75" customHeight="1" x14ac:dyDescent="0.2">
      <c r="A154" s="1"/>
      <c r="B154" s="1"/>
      <c r="C154" s="89"/>
      <c r="D154" s="89"/>
      <c r="E154" s="93"/>
      <c r="F154" s="93"/>
      <c r="G154" s="1"/>
      <c r="H154" s="1"/>
      <c r="I154" s="1"/>
      <c r="J154" s="1"/>
      <c r="K154" s="1"/>
      <c r="L154" s="1"/>
      <c r="M154" s="1"/>
      <c r="N154" s="1"/>
      <c r="O154" s="1"/>
      <c r="P154" s="1"/>
      <c r="Q154" s="1"/>
      <c r="R154" s="1"/>
      <c r="S154" s="1"/>
      <c r="T154" s="1"/>
      <c r="U154" s="1"/>
      <c r="V154" s="1"/>
      <c r="W154" s="1"/>
      <c r="X154" s="1"/>
    </row>
    <row r="155" spans="1:24" ht="12.75" customHeight="1" x14ac:dyDescent="0.2">
      <c r="A155" s="1"/>
      <c r="B155" s="1"/>
      <c r="C155" s="89"/>
      <c r="D155" s="89"/>
      <c r="E155" s="93"/>
      <c r="F155" s="93"/>
      <c r="G155" s="1"/>
      <c r="H155" s="1"/>
      <c r="I155" s="1"/>
      <c r="J155" s="1"/>
      <c r="K155" s="1"/>
      <c r="L155" s="1"/>
      <c r="M155" s="1"/>
      <c r="N155" s="1"/>
      <c r="O155" s="1"/>
      <c r="P155" s="1"/>
      <c r="Q155" s="1"/>
      <c r="R155" s="1"/>
      <c r="S155" s="1"/>
      <c r="T155" s="1"/>
      <c r="U155" s="1"/>
      <c r="V155" s="1"/>
      <c r="W155" s="1"/>
      <c r="X155" s="1"/>
    </row>
    <row r="156" spans="1:24" ht="12.75" customHeight="1" x14ac:dyDescent="0.2">
      <c r="A156" s="1"/>
      <c r="B156" s="1"/>
      <c r="C156" s="89"/>
      <c r="D156" s="89"/>
      <c r="E156" s="93"/>
      <c r="F156" s="93"/>
      <c r="G156" s="1"/>
      <c r="H156" s="1"/>
      <c r="I156" s="1"/>
      <c r="J156" s="1"/>
      <c r="K156" s="1"/>
      <c r="L156" s="1"/>
      <c r="M156" s="1"/>
      <c r="N156" s="1"/>
      <c r="O156" s="1"/>
      <c r="P156" s="1"/>
      <c r="Q156" s="1"/>
      <c r="R156" s="1"/>
      <c r="S156" s="1"/>
      <c r="T156" s="1"/>
      <c r="U156" s="1"/>
      <c r="V156" s="1"/>
      <c r="W156" s="1"/>
      <c r="X156" s="1"/>
    </row>
    <row r="157" spans="1:24" ht="12.75" customHeight="1" x14ac:dyDescent="0.2">
      <c r="A157" s="1"/>
      <c r="B157" s="1"/>
      <c r="C157" s="89"/>
      <c r="D157" s="89"/>
      <c r="E157" s="93"/>
      <c r="F157" s="93"/>
      <c r="G157" s="1"/>
      <c r="H157" s="1"/>
      <c r="I157" s="1"/>
      <c r="J157" s="1"/>
      <c r="K157" s="1"/>
      <c r="L157" s="1"/>
      <c r="M157" s="1"/>
      <c r="N157" s="1"/>
      <c r="O157" s="1"/>
      <c r="P157" s="1"/>
      <c r="Q157" s="1"/>
      <c r="R157" s="1"/>
      <c r="S157" s="1"/>
      <c r="T157" s="1"/>
      <c r="U157" s="1"/>
      <c r="V157" s="1"/>
      <c r="W157" s="1"/>
      <c r="X157" s="1"/>
    </row>
    <row r="158" spans="1:24" ht="12.75" customHeight="1" x14ac:dyDescent="0.2">
      <c r="A158" s="1"/>
      <c r="B158" s="1"/>
      <c r="C158" s="89"/>
      <c r="D158" s="89"/>
      <c r="E158" s="93"/>
      <c r="F158" s="93"/>
      <c r="G158" s="1"/>
      <c r="H158" s="1"/>
      <c r="I158" s="1"/>
      <c r="J158" s="1"/>
      <c r="K158" s="1"/>
      <c r="L158" s="1"/>
      <c r="M158" s="1"/>
      <c r="N158" s="1"/>
      <c r="O158" s="1"/>
      <c r="P158" s="1"/>
      <c r="Q158" s="1"/>
      <c r="R158" s="1"/>
      <c r="S158" s="1"/>
      <c r="T158" s="1"/>
      <c r="U158" s="1"/>
      <c r="V158" s="1"/>
      <c r="W158" s="1"/>
      <c r="X158" s="1"/>
    </row>
    <row r="159" spans="1:24" ht="12.75" customHeight="1" x14ac:dyDescent="0.2">
      <c r="A159" s="1"/>
      <c r="B159" s="1"/>
      <c r="C159" s="89"/>
      <c r="D159" s="89"/>
      <c r="E159" s="93"/>
      <c r="F159" s="93"/>
      <c r="G159" s="1"/>
      <c r="H159" s="1"/>
      <c r="I159" s="1"/>
      <c r="J159" s="1"/>
      <c r="K159" s="1"/>
      <c r="L159" s="1"/>
      <c r="M159" s="1"/>
      <c r="N159" s="1"/>
      <c r="O159" s="1"/>
      <c r="P159" s="1"/>
      <c r="Q159" s="1"/>
      <c r="R159" s="1"/>
      <c r="S159" s="1"/>
      <c r="T159" s="1"/>
      <c r="U159" s="1"/>
      <c r="V159" s="1"/>
      <c r="W159" s="1"/>
      <c r="X159" s="1"/>
    </row>
    <row r="160" spans="1:24" ht="12.75" customHeight="1" x14ac:dyDescent="0.2">
      <c r="A160" s="1"/>
      <c r="B160" s="1"/>
      <c r="C160" s="89"/>
      <c r="D160" s="89"/>
      <c r="E160" s="93"/>
      <c r="F160" s="93"/>
      <c r="G160" s="1"/>
      <c r="H160" s="1"/>
      <c r="I160" s="1"/>
      <c r="J160" s="1"/>
      <c r="K160" s="1"/>
      <c r="L160" s="1"/>
      <c r="M160" s="1"/>
      <c r="N160" s="1"/>
      <c r="O160" s="1"/>
      <c r="P160" s="1"/>
      <c r="Q160" s="1"/>
      <c r="R160" s="1"/>
      <c r="S160" s="1"/>
      <c r="T160" s="1"/>
      <c r="U160" s="1"/>
      <c r="V160" s="1"/>
      <c r="W160" s="1"/>
      <c r="X160" s="1"/>
    </row>
    <row r="161" spans="1:24" ht="12.75" customHeight="1" x14ac:dyDescent="0.2">
      <c r="A161" s="1"/>
      <c r="B161" s="1"/>
      <c r="C161" s="89"/>
      <c r="D161" s="89"/>
      <c r="E161" s="93"/>
      <c r="F161" s="93"/>
      <c r="G161" s="1"/>
      <c r="H161" s="1"/>
      <c r="I161" s="1"/>
      <c r="J161" s="1"/>
      <c r="K161" s="1"/>
      <c r="L161" s="1"/>
      <c r="M161" s="1"/>
      <c r="N161" s="1"/>
      <c r="O161" s="1"/>
      <c r="P161" s="1"/>
      <c r="Q161" s="1"/>
      <c r="R161" s="1"/>
      <c r="S161" s="1"/>
      <c r="T161" s="1"/>
      <c r="U161" s="1"/>
      <c r="V161" s="1"/>
      <c r="W161" s="1"/>
      <c r="X161" s="1"/>
    </row>
    <row r="162" spans="1:24" ht="12.75" customHeight="1" x14ac:dyDescent="0.2">
      <c r="A162" s="1"/>
      <c r="B162" s="1"/>
      <c r="C162" s="89"/>
      <c r="D162" s="89"/>
      <c r="E162" s="93"/>
      <c r="F162" s="93"/>
      <c r="G162" s="1"/>
      <c r="H162" s="1"/>
      <c r="I162" s="1"/>
      <c r="J162" s="1"/>
      <c r="K162" s="1"/>
      <c r="L162" s="1"/>
      <c r="M162" s="1"/>
      <c r="N162" s="1"/>
      <c r="O162" s="1"/>
      <c r="P162" s="1"/>
      <c r="Q162" s="1"/>
      <c r="R162" s="1"/>
      <c r="S162" s="1"/>
      <c r="T162" s="1"/>
      <c r="U162" s="1"/>
      <c r="V162" s="1"/>
      <c r="W162" s="1"/>
      <c r="X162" s="1"/>
    </row>
    <row r="163" spans="1:24" ht="12.75" customHeight="1" x14ac:dyDescent="0.2">
      <c r="A163" s="1"/>
      <c r="B163" s="1"/>
      <c r="C163" s="89"/>
      <c r="D163" s="89"/>
      <c r="E163" s="93"/>
      <c r="F163" s="93"/>
      <c r="G163" s="1"/>
      <c r="H163" s="1"/>
      <c r="I163" s="1"/>
      <c r="J163" s="1"/>
      <c r="K163" s="1"/>
      <c r="L163" s="1"/>
      <c r="M163" s="1"/>
      <c r="N163" s="1"/>
      <c r="O163" s="1"/>
      <c r="P163" s="1"/>
      <c r="Q163" s="1"/>
      <c r="R163" s="1"/>
      <c r="S163" s="1"/>
      <c r="T163" s="1"/>
      <c r="U163" s="1"/>
      <c r="V163" s="1"/>
      <c r="W163" s="1"/>
      <c r="X163" s="1"/>
    </row>
    <row r="164" spans="1:24" ht="12.75" customHeight="1" x14ac:dyDescent="0.2">
      <c r="A164" s="1"/>
      <c r="B164" s="1"/>
      <c r="C164" s="89"/>
      <c r="D164" s="89"/>
      <c r="E164" s="93"/>
      <c r="F164" s="93"/>
      <c r="G164" s="1"/>
      <c r="H164" s="1"/>
      <c r="I164" s="1"/>
      <c r="J164" s="1"/>
      <c r="K164" s="1"/>
      <c r="L164" s="1"/>
      <c r="M164" s="1"/>
      <c r="N164" s="1"/>
      <c r="O164" s="1"/>
      <c r="P164" s="1"/>
      <c r="Q164" s="1"/>
      <c r="R164" s="1"/>
      <c r="S164" s="1"/>
      <c r="T164" s="1"/>
      <c r="U164" s="1"/>
      <c r="V164" s="1"/>
      <c r="W164" s="1"/>
      <c r="X164" s="1"/>
    </row>
    <row r="165" spans="1:24" ht="12.75" customHeight="1" x14ac:dyDescent="0.2">
      <c r="A165" s="1"/>
      <c r="B165" s="1"/>
      <c r="C165" s="89"/>
      <c r="D165" s="89"/>
      <c r="E165" s="93"/>
      <c r="F165" s="93"/>
      <c r="G165" s="1"/>
      <c r="H165" s="1"/>
      <c r="I165" s="1"/>
      <c r="J165" s="1"/>
      <c r="K165" s="1"/>
      <c r="L165" s="1"/>
      <c r="M165" s="1"/>
      <c r="N165" s="1"/>
      <c r="O165" s="1"/>
      <c r="P165" s="1"/>
      <c r="Q165" s="1"/>
      <c r="R165" s="1"/>
      <c r="S165" s="1"/>
      <c r="T165" s="1"/>
      <c r="U165" s="1"/>
      <c r="V165" s="1"/>
      <c r="W165" s="1"/>
      <c r="X165" s="1"/>
    </row>
    <row r="166" spans="1:24" ht="12.75" customHeight="1" x14ac:dyDescent="0.2">
      <c r="A166" s="1"/>
      <c r="B166" s="1"/>
      <c r="C166" s="89"/>
      <c r="D166" s="89"/>
      <c r="E166" s="93"/>
      <c r="F166" s="93"/>
      <c r="G166" s="1"/>
      <c r="H166" s="1"/>
      <c r="I166" s="1"/>
      <c r="J166" s="1"/>
      <c r="K166" s="1"/>
      <c r="L166" s="1"/>
      <c r="M166" s="1"/>
      <c r="N166" s="1"/>
      <c r="O166" s="1"/>
      <c r="P166" s="1"/>
      <c r="Q166" s="1"/>
      <c r="R166" s="1"/>
      <c r="S166" s="1"/>
      <c r="T166" s="1"/>
      <c r="U166" s="1"/>
      <c r="V166" s="1"/>
      <c r="W166" s="1"/>
      <c r="X166" s="1"/>
    </row>
    <row r="167" spans="1:24" ht="12.75" customHeight="1" x14ac:dyDescent="0.2">
      <c r="A167" s="1"/>
      <c r="B167" s="1"/>
      <c r="C167" s="89"/>
      <c r="D167" s="89"/>
      <c r="E167" s="93"/>
      <c r="F167" s="93"/>
      <c r="G167" s="1"/>
      <c r="H167" s="1"/>
      <c r="I167" s="1"/>
      <c r="J167" s="1"/>
      <c r="K167" s="1"/>
      <c r="L167" s="1"/>
      <c r="M167" s="1"/>
      <c r="N167" s="1"/>
      <c r="O167" s="1"/>
      <c r="P167" s="1"/>
      <c r="Q167" s="1"/>
      <c r="R167" s="1"/>
      <c r="S167" s="1"/>
      <c r="T167" s="1"/>
      <c r="U167" s="1"/>
      <c r="V167" s="1"/>
      <c r="W167" s="1"/>
      <c r="X167" s="1"/>
    </row>
    <row r="168" spans="1:24" ht="12.75" customHeight="1" x14ac:dyDescent="0.2">
      <c r="A168" s="1"/>
      <c r="B168" s="1"/>
      <c r="C168" s="89"/>
      <c r="D168" s="89"/>
      <c r="E168" s="93"/>
      <c r="F168" s="93"/>
      <c r="G168" s="1"/>
      <c r="H168" s="1"/>
      <c r="I168" s="1"/>
      <c r="J168" s="1"/>
      <c r="K168" s="1"/>
      <c r="L168" s="1"/>
      <c r="M168" s="1"/>
      <c r="N168" s="1"/>
      <c r="O168" s="1"/>
      <c r="P168" s="1"/>
      <c r="Q168" s="1"/>
      <c r="R168" s="1"/>
      <c r="S168" s="1"/>
      <c r="T168" s="1"/>
      <c r="U168" s="1"/>
      <c r="V168" s="1"/>
      <c r="W168" s="1"/>
      <c r="X168" s="1"/>
    </row>
    <row r="169" spans="1:24" ht="12.75" customHeight="1" x14ac:dyDescent="0.2">
      <c r="A169" s="1"/>
      <c r="B169" s="1"/>
      <c r="C169" s="89"/>
      <c r="D169" s="89"/>
      <c r="E169" s="93"/>
      <c r="F169" s="93"/>
      <c r="G169" s="1"/>
      <c r="H169" s="1"/>
      <c r="I169" s="1"/>
      <c r="J169" s="1"/>
      <c r="K169" s="1"/>
      <c r="L169" s="1"/>
      <c r="M169" s="1"/>
      <c r="N169" s="1"/>
      <c r="O169" s="1"/>
      <c r="P169" s="1"/>
      <c r="Q169" s="1"/>
      <c r="R169" s="1"/>
      <c r="S169" s="1"/>
      <c r="T169" s="1"/>
      <c r="U169" s="1"/>
      <c r="V169" s="1"/>
      <c r="W169" s="1"/>
      <c r="X169" s="1"/>
    </row>
    <row r="170" spans="1:24" ht="12.75" customHeight="1" x14ac:dyDescent="0.2">
      <c r="A170" s="1"/>
      <c r="B170" s="1"/>
      <c r="C170" s="89"/>
      <c r="D170" s="89"/>
      <c r="E170" s="93"/>
      <c r="F170" s="93"/>
      <c r="G170" s="1"/>
      <c r="H170" s="1"/>
      <c r="I170" s="1"/>
      <c r="J170" s="1"/>
      <c r="K170" s="1"/>
      <c r="L170" s="1"/>
      <c r="M170" s="1"/>
      <c r="N170" s="1"/>
      <c r="O170" s="1"/>
      <c r="P170" s="1"/>
      <c r="Q170" s="1"/>
      <c r="R170" s="1"/>
      <c r="S170" s="1"/>
      <c r="T170" s="1"/>
      <c r="U170" s="1"/>
      <c r="V170" s="1"/>
      <c r="W170" s="1"/>
      <c r="X170" s="1"/>
    </row>
    <row r="171" spans="1:24" ht="12.75" customHeight="1" x14ac:dyDescent="0.2">
      <c r="A171" s="1"/>
      <c r="B171" s="1"/>
      <c r="C171" s="89"/>
      <c r="D171" s="89"/>
      <c r="E171" s="93"/>
      <c r="F171" s="93"/>
      <c r="G171" s="1"/>
      <c r="H171" s="1"/>
      <c r="I171" s="1"/>
      <c r="J171" s="1"/>
      <c r="K171" s="1"/>
      <c r="L171" s="1"/>
      <c r="M171" s="1"/>
      <c r="N171" s="1"/>
      <c r="O171" s="1"/>
      <c r="P171" s="1"/>
      <c r="Q171" s="1"/>
      <c r="R171" s="1"/>
      <c r="S171" s="1"/>
      <c r="T171" s="1"/>
      <c r="U171" s="1"/>
      <c r="V171" s="1"/>
      <c r="W171" s="1"/>
      <c r="X171" s="1"/>
    </row>
    <row r="172" spans="1:24" ht="12.75" customHeight="1" x14ac:dyDescent="0.2">
      <c r="A172" s="1"/>
      <c r="B172" s="1"/>
      <c r="C172" s="89"/>
      <c r="D172" s="89"/>
      <c r="E172" s="93"/>
      <c r="F172" s="93"/>
      <c r="G172" s="1"/>
      <c r="H172" s="1"/>
      <c r="I172" s="1"/>
      <c r="J172" s="1"/>
      <c r="K172" s="1"/>
      <c r="L172" s="1"/>
      <c r="M172" s="1"/>
      <c r="N172" s="1"/>
      <c r="O172" s="1"/>
      <c r="P172" s="1"/>
      <c r="Q172" s="1"/>
      <c r="R172" s="1"/>
      <c r="S172" s="1"/>
      <c r="T172" s="1"/>
      <c r="U172" s="1"/>
      <c r="V172" s="1"/>
      <c r="W172" s="1"/>
      <c r="X172" s="1"/>
    </row>
    <row r="173" spans="1:24" ht="12.75" customHeight="1" x14ac:dyDescent="0.2">
      <c r="A173" s="1"/>
      <c r="B173" s="1"/>
      <c r="C173" s="89"/>
      <c r="D173" s="89"/>
      <c r="E173" s="93"/>
      <c r="F173" s="93"/>
      <c r="G173" s="1"/>
      <c r="H173" s="1"/>
      <c r="I173" s="1"/>
      <c r="J173" s="1"/>
      <c r="K173" s="1"/>
      <c r="L173" s="1"/>
      <c r="M173" s="1"/>
      <c r="N173" s="1"/>
      <c r="O173" s="1"/>
      <c r="P173" s="1"/>
      <c r="Q173" s="1"/>
      <c r="R173" s="1"/>
      <c r="S173" s="1"/>
      <c r="T173" s="1"/>
      <c r="U173" s="1"/>
      <c r="V173" s="1"/>
      <c r="W173" s="1"/>
      <c r="X173" s="1"/>
    </row>
    <row r="174" spans="1:24" ht="12.75" customHeight="1" x14ac:dyDescent="0.2">
      <c r="A174" s="1"/>
      <c r="B174" s="1"/>
      <c r="C174" s="89"/>
      <c r="D174" s="89"/>
      <c r="E174" s="93"/>
      <c r="F174" s="93"/>
      <c r="G174" s="1"/>
      <c r="H174" s="1"/>
      <c r="I174" s="1"/>
      <c r="J174" s="1"/>
      <c r="K174" s="1"/>
      <c r="L174" s="1"/>
      <c r="M174" s="1"/>
      <c r="N174" s="1"/>
      <c r="O174" s="1"/>
      <c r="P174" s="1"/>
      <c r="Q174" s="1"/>
      <c r="R174" s="1"/>
      <c r="S174" s="1"/>
      <c r="T174" s="1"/>
      <c r="U174" s="1"/>
      <c r="V174" s="1"/>
      <c r="W174" s="1"/>
      <c r="X174" s="1"/>
    </row>
    <row r="175" spans="1:24" ht="12.75" customHeight="1" x14ac:dyDescent="0.2">
      <c r="A175" s="1"/>
      <c r="B175" s="1"/>
      <c r="C175" s="89"/>
      <c r="D175" s="89"/>
      <c r="E175" s="93"/>
      <c r="F175" s="93"/>
      <c r="G175" s="1"/>
      <c r="H175" s="1"/>
      <c r="I175" s="1"/>
      <c r="J175" s="1"/>
      <c r="K175" s="1"/>
      <c r="L175" s="1"/>
      <c r="M175" s="1"/>
      <c r="N175" s="1"/>
      <c r="O175" s="1"/>
      <c r="P175" s="1"/>
      <c r="Q175" s="1"/>
      <c r="R175" s="1"/>
      <c r="S175" s="1"/>
      <c r="T175" s="1"/>
      <c r="U175" s="1"/>
      <c r="V175" s="1"/>
      <c r="W175" s="1"/>
      <c r="X175" s="1"/>
    </row>
    <row r="176" spans="1:24" ht="12.75" customHeight="1" x14ac:dyDescent="0.2">
      <c r="A176" s="1"/>
      <c r="B176" s="1"/>
      <c r="C176" s="89"/>
      <c r="D176" s="89"/>
      <c r="E176" s="93"/>
      <c r="F176" s="93"/>
      <c r="G176" s="1"/>
      <c r="H176" s="1"/>
      <c r="I176" s="1"/>
      <c r="J176" s="1"/>
      <c r="K176" s="1"/>
      <c r="L176" s="1"/>
      <c r="M176" s="1"/>
      <c r="N176" s="1"/>
      <c r="O176" s="1"/>
      <c r="P176" s="1"/>
      <c r="Q176" s="1"/>
      <c r="R176" s="1"/>
      <c r="S176" s="1"/>
      <c r="T176" s="1"/>
      <c r="U176" s="1"/>
      <c r="V176" s="1"/>
      <c r="W176" s="1"/>
      <c r="X176" s="1"/>
    </row>
    <row r="177" spans="1:24" ht="12.75" customHeight="1" x14ac:dyDescent="0.2">
      <c r="A177" s="1"/>
      <c r="B177" s="1"/>
      <c r="C177" s="89"/>
      <c r="D177" s="89"/>
      <c r="E177" s="93"/>
      <c r="F177" s="93"/>
      <c r="G177" s="1"/>
      <c r="H177" s="1"/>
      <c r="I177" s="1"/>
      <c r="J177" s="1"/>
      <c r="K177" s="1"/>
      <c r="L177" s="1"/>
      <c r="M177" s="1"/>
      <c r="N177" s="1"/>
      <c r="O177" s="1"/>
      <c r="P177" s="1"/>
      <c r="Q177" s="1"/>
      <c r="R177" s="1"/>
      <c r="S177" s="1"/>
      <c r="T177" s="1"/>
      <c r="U177" s="1"/>
      <c r="V177" s="1"/>
      <c r="W177" s="1"/>
      <c r="X177" s="1"/>
    </row>
    <row r="178" spans="1:24" ht="12.75" customHeight="1" x14ac:dyDescent="0.2">
      <c r="A178" s="1"/>
      <c r="B178" s="1"/>
      <c r="C178" s="89"/>
      <c r="D178" s="89"/>
      <c r="E178" s="93"/>
      <c r="F178" s="93"/>
      <c r="G178" s="1"/>
      <c r="H178" s="1"/>
      <c r="I178" s="1"/>
      <c r="J178" s="1"/>
      <c r="K178" s="1"/>
      <c r="L178" s="1"/>
      <c r="M178" s="1"/>
      <c r="N178" s="1"/>
      <c r="O178" s="1"/>
      <c r="P178" s="1"/>
      <c r="Q178" s="1"/>
      <c r="R178" s="1"/>
      <c r="S178" s="1"/>
      <c r="T178" s="1"/>
      <c r="U178" s="1"/>
      <c r="V178" s="1"/>
      <c r="W178" s="1"/>
      <c r="X178" s="1"/>
    </row>
    <row r="179" spans="1:24" ht="12.75" customHeight="1" x14ac:dyDescent="0.2">
      <c r="A179" s="1"/>
      <c r="B179" s="1"/>
      <c r="C179" s="89"/>
      <c r="D179" s="89"/>
      <c r="E179" s="93"/>
      <c r="F179" s="93"/>
      <c r="G179" s="1"/>
      <c r="H179" s="1"/>
      <c r="I179" s="1"/>
      <c r="J179" s="1"/>
      <c r="K179" s="1"/>
      <c r="L179" s="1"/>
      <c r="M179" s="1"/>
      <c r="N179" s="1"/>
      <c r="O179" s="1"/>
      <c r="P179" s="1"/>
      <c r="Q179" s="1"/>
      <c r="R179" s="1"/>
      <c r="S179" s="1"/>
      <c r="T179" s="1"/>
      <c r="U179" s="1"/>
      <c r="V179" s="1"/>
      <c r="W179" s="1"/>
      <c r="X179" s="1"/>
    </row>
    <row r="180" spans="1:24" ht="12.75" customHeight="1" x14ac:dyDescent="0.2">
      <c r="A180" s="1"/>
      <c r="B180" s="1"/>
      <c r="C180" s="89"/>
      <c r="D180" s="89"/>
      <c r="E180" s="93"/>
      <c r="F180" s="93"/>
      <c r="G180" s="1"/>
      <c r="H180" s="1"/>
      <c r="I180" s="1"/>
      <c r="J180" s="1"/>
      <c r="K180" s="1"/>
      <c r="L180" s="1"/>
      <c r="M180" s="1"/>
      <c r="N180" s="1"/>
      <c r="O180" s="1"/>
      <c r="P180" s="1"/>
      <c r="Q180" s="1"/>
      <c r="R180" s="1"/>
      <c r="S180" s="1"/>
      <c r="T180" s="1"/>
      <c r="U180" s="1"/>
      <c r="V180" s="1"/>
      <c r="W180" s="1"/>
      <c r="X180" s="1"/>
    </row>
    <row r="181" spans="1:24" ht="12.75" customHeight="1" x14ac:dyDescent="0.2">
      <c r="A181" s="1"/>
      <c r="B181" s="1"/>
      <c r="C181" s="89"/>
      <c r="D181" s="89"/>
      <c r="E181" s="93"/>
      <c r="F181" s="93"/>
      <c r="G181" s="1"/>
      <c r="H181" s="1"/>
      <c r="I181" s="1"/>
      <c r="J181" s="1"/>
      <c r="K181" s="1"/>
      <c r="L181" s="1"/>
      <c r="M181" s="1"/>
      <c r="N181" s="1"/>
      <c r="O181" s="1"/>
      <c r="P181" s="1"/>
      <c r="Q181" s="1"/>
      <c r="R181" s="1"/>
      <c r="S181" s="1"/>
      <c r="T181" s="1"/>
      <c r="U181" s="1"/>
      <c r="V181" s="1"/>
      <c r="W181" s="1"/>
      <c r="X181" s="1"/>
    </row>
    <row r="182" spans="1:24" ht="12.75" customHeight="1" x14ac:dyDescent="0.2">
      <c r="A182" s="1"/>
      <c r="B182" s="1"/>
      <c r="C182" s="89"/>
      <c r="D182" s="89"/>
      <c r="E182" s="93"/>
      <c r="F182" s="93"/>
      <c r="G182" s="1"/>
      <c r="H182" s="1"/>
      <c r="I182" s="1"/>
      <c r="J182" s="1"/>
      <c r="K182" s="1"/>
      <c r="L182" s="1"/>
      <c r="M182" s="1"/>
      <c r="N182" s="1"/>
      <c r="O182" s="1"/>
      <c r="P182" s="1"/>
      <c r="Q182" s="1"/>
      <c r="R182" s="1"/>
      <c r="S182" s="1"/>
      <c r="T182" s="1"/>
      <c r="U182" s="1"/>
      <c r="V182" s="1"/>
      <c r="W182" s="1"/>
      <c r="X182" s="1"/>
    </row>
    <row r="183" spans="1:24" ht="12.75" customHeight="1" x14ac:dyDescent="0.2">
      <c r="A183" s="1"/>
      <c r="B183" s="1"/>
      <c r="C183" s="89"/>
      <c r="D183" s="89"/>
      <c r="E183" s="93"/>
      <c r="F183" s="93"/>
      <c r="G183" s="1"/>
      <c r="H183" s="1"/>
      <c r="I183" s="1"/>
      <c r="J183" s="1"/>
      <c r="K183" s="1"/>
      <c r="L183" s="1"/>
      <c r="M183" s="1"/>
      <c r="N183" s="1"/>
      <c r="O183" s="1"/>
      <c r="P183" s="1"/>
      <c r="Q183" s="1"/>
      <c r="R183" s="1"/>
      <c r="S183" s="1"/>
      <c r="T183" s="1"/>
      <c r="U183" s="1"/>
      <c r="V183" s="1"/>
      <c r="W183" s="1"/>
      <c r="X183" s="1"/>
    </row>
    <row r="184" spans="1:24" ht="12.75" customHeight="1" x14ac:dyDescent="0.2">
      <c r="A184" s="1"/>
      <c r="B184" s="1"/>
      <c r="C184" s="89"/>
      <c r="D184" s="89"/>
      <c r="E184" s="93"/>
      <c r="F184" s="93"/>
      <c r="G184" s="1"/>
      <c r="H184" s="1"/>
      <c r="I184" s="1"/>
      <c r="J184" s="1"/>
      <c r="K184" s="1"/>
      <c r="L184" s="1"/>
      <c r="M184" s="1"/>
      <c r="N184" s="1"/>
      <c r="O184" s="1"/>
      <c r="P184" s="1"/>
      <c r="Q184" s="1"/>
      <c r="R184" s="1"/>
      <c r="S184" s="1"/>
      <c r="T184" s="1"/>
      <c r="U184" s="1"/>
      <c r="V184" s="1"/>
      <c r="W184" s="1"/>
      <c r="X184" s="1"/>
    </row>
    <row r="185" spans="1:24" ht="12.75" customHeight="1" x14ac:dyDescent="0.2">
      <c r="A185" s="1"/>
      <c r="B185" s="1"/>
      <c r="C185" s="89"/>
      <c r="D185" s="89"/>
      <c r="E185" s="93"/>
      <c r="F185" s="93"/>
      <c r="G185" s="1"/>
      <c r="H185" s="1"/>
      <c r="I185" s="1"/>
      <c r="J185" s="1"/>
      <c r="K185" s="1"/>
      <c r="L185" s="1"/>
      <c r="M185" s="1"/>
      <c r="N185" s="1"/>
      <c r="O185" s="1"/>
      <c r="P185" s="1"/>
      <c r="Q185" s="1"/>
      <c r="R185" s="1"/>
      <c r="S185" s="1"/>
      <c r="T185" s="1"/>
      <c r="U185" s="1"/>
      <c r="V185" s="1"/>
      <c r="W185" s="1"/>
      <c r="X185" s="1"/>
    </row>
    <row r="186" spans="1:24" ht="12.75" customHeight="1" x14ac:dyDescent="0.2">
      <c r="A186" s="1"/>
      <c r="B186" s="1"/>
      <c r="C186" s="89"/>
      <c r="D186" s="89"/>
      <c r="E186" s="93"/>
      <c r="F186" s="93"/>
      <c r="G186" s="1"/>
      <c r="H186" s="1"/>
      <c r="I186" s="1"/>
      <c r="J186" s="1"/>
      <c r="K186" s="1"/>
      <c r="L186" s="1"/>
      <c r="M186" s="1"/>
      <c r="N186" s="1"/>
      <c r="O186" s="1"/>
      <c r="P186" s="1"/>
      <c r="Q186" s="1"/>
      <c r="R186" s="1"/>
      <c r="S186" s="1"/>
      <c r="T186" s="1"/>
      <c r="U186" s="1"/>
      <c r="V186" s="1"/>
      <c r="W186" s="1"/>
      <c r="X186" s="1"/>
    </row>
    <row r="187" spans="1:24" ht="12.75" customHeight="1" x14ac:dyDescent="0.2">
      <c r="A187" s="1"/>
      <c r="B187" s="1"/>
      <c r="C187" s="89"/>
      <c r="D187" s="89"/>
      <c r="E187" s="93"/>
      <c r="F187" s="93"/>
      <c r="G187" s="1"/>
      <c r="H187" s="1"/>
      <c r="I187" s="1"/>
      <c r="J187" s="1"/>
      <c r="K187" s="1"/>
      <c r="L187" s="1"/>
      <c r="M187" s="1"/>
      <c r="N187" s="1"/>
      <c r="O187" s="1"/>
      <c r="P187" s="1"/>
      <c r="Q187" s="1"/>
      <c r="R187" s="1"/>
      <c r="S187" s="1"/>
      <c r="T187" s="1"/>
      <c r="U187" s="1"/>
      <c r="V187" s="1"/>
      <c r="W187" s="1"/>
      <c r="X187" s="1"/>
    </row>
    <row r="188" spans="1:24" ht="12.75" customHeight="1" x14ac:dyDescent="0.2">
      <c r="A188" s="1"/>
      <c r="B188" s="1"/>
      <c r="C188" s="89"/>
      <c r="D188" s="89"/>
      <c r="E188" s="93"/>
      <c r="F188" s="93"/>
      <c r="G188" s="1"/>
      <c r="H188" s="1"/>
      <c r="I188" s="1"/>
      <c r="J188" s="1"/>
      <c r="K188" s="1"/>
      <c r="L188" s="1"/>
      <c r="M188" s="1"/>
      <c r="N188" s="1"/>
      <c r="O188" s="1"/>
      <c r="P188" s="1"/>
      <c r="Q188" s="1"/>
      <c r="R188" s="1"/>
      <c r="S188" s="1"/>
      <c r="T188" s="1"/>
      <c r="U188" s="1"/>
      <c r="V188" s="1"/>
      <c r="W188" s="1"/>
      <c r="X188" s="1"/>
    </row>
    <row r="189" spans="1:24" ht="12.75" customHeight="1" x14ac:dyDescent="0.2">
      <c r="A189" s="1"/>
      <c r="B189" s="1"/>
      <c r="C189" s="89"/>
      <c r="D189" s="89"/>
      <c r="E189" s="93"/>
      <c r="F189" s="93"/>
      <c r="G189" s="1"/>
      <c r="H189" s="1"/>
      <c r="I189" s="1"/>
      <c r="J189" s="1"/>
      <c r="K189" s="1"/>
      <c r="L189" s="1"/>
      <c r="M189" s="1"/>
      <c r="N189" s="1"/>
      <c r="O189" s="1"/>
      <c r="P189" s="1"/>
      <c r="Q189" s="1"/>
      <c r="R189" s="1"/>
      <c r="S189" s="1"/>
      <c r="T189" s="1"/>
      <c r="U189" s="1"/>
      <c r="V189" s="1"/>
      <c r="W189" s="1"/>
      <c r="X189" s="1"/>
    </row>
    <row r="190" spans="1:24" ht="12.75" customHeight="1" x14ac:dyDescent="0.2">
      <c r="A190" s="1"/>
      <c r="B190" s="1"/>
      <c r="C190" s="89"/>
      <c r="D190" s="89"/>
      <c r="E190" s="93"/>
      <c r="F190" s="93"/>
      <c r="G190" s="1"/>
      <c r="H190" s="1"/>
      <c r="I190" s="1"/>
      <c r="J190" s="1"/>
      <c r="K190" s="1"/>
      <c r="L190" s="1"/>
      <c r="M190" s="1"/>
      <c r="N190" s="1"/>
      <c r="O190" s="1"/>
      <c r="P190" s="1"/>
      <c r="Q190" s="1"/>
      <c r="R190" s="1"/>
      <c r="S190" s="1"/>
      <c r="T190" s="1"/>
      <c r="U190" s="1"/>
      <c r="V190" s="1"/>
      <c r="W190" s="1"/>
      <c r="X190" s="1"/>
    </row>
    <row r="191" spans="1:24" ht="12.75" customHeight="1" x14ac:dyDescent="0.2">
      <c r="A191" s="1"/>
      <c r="B191" s="1"/>
      <c r="C191" s="89"/>
      <c r="D191" s="89"/>
      <c r="E191" s="93"/>
      <c r="F191" s="93"/>
      <c r="G191" s="1"/>
      <c r="H191" s="1"/>
      <c r="I191" s="1"/>
      <c r="J191" s="1"/>
      <c r="K191" s="1"/>
      <c r="L191" s="1"/>
      <c r="M191" s="1"/>
      <c r="N191" s="1"/>
      <c r="O191" s="1"/>
      <c r="P191" s="1"/>
      <c r="Q191" s="1"/>
      <c r="R191" s="1"/>
      <c r="S191" s="1"/>
      <c r="T191" s="1"/>
      <c r="U191" s="1"/>
      <c r="V191" s="1"/>
      <c r="W191" s="1"/>
      <c r="X191" s="1"/>
    </row>
    <row r="192" spans="1:24" ht="12.75" customHeight="1" x14ac:dyDescent="0.2">
      <c r="A192" s="1"/>
      <c r="B192" s="1"/>
      <c r="C192" s="89"/>
      <c r="D192" s="89"/>
      <c r="E192" s="93"/>
      <c r="F192" s="93"/>
      <c r="G192" s="1"/>
      <c r="H192" s="1"/>
      <c r="I192" s="1"/>
      <c r="J192" s="1"/>
      <c r="K192" s="1"/>
      <c r="L192" s="1"/>
      <c r="M192" s="1"/>
      <c r="N192" s="1"/>
      <c r="O192" s="1"/>
      <c r="P192" s="1"/>
      <c r="Q192" s="1"/>
      <c r="R192" s="1"/>
      <c r="S192" s="1"/>
      <c r="T192" s="1"/>
      <c r="U192" s="1"/>
      <c r="V192" s="1"/>
      <c r="W192" s="1"/>
      <c r="X192" s="1"/>
    </row>
    <row r="193" spans="1:24" ht="12.75" customHeight="1" x14ac:dyDescent="0.2">
      <c r="A193" s="1"/>
      <c r="B193" s="1"/>
      <c r="C193" s="89"/>
      <c r="D193" s="89"/>
      <c r="E193" s="93"/>
      <c r="F193" s="93"/>
      <c r="G193" s="1"/>
      <c r="H193" s="1"/>
      <c r="I193" s="1"/>
      <c r="J193" s="1"/>
      <c r="K193" s="1"/>
      <c r="L193" s="1"/>
      <c r="M193" s="1"/>
      <c r="N193" s="1"/>
      <c r="O193" s="1"/>
      <c r="P193" s="1"/>
      <c r="Q193" s="1"/>
      <c r="R193" s="1"/>
      <c r="S193" s="1"/>
      <c r="T193" s="1"/>
      <c r="U193" s="1"/>
      <c r="V193" s="1"/>
      <c r="W193" s="1"/>
      <c r="X193" s="1"/>
    </row>
    <row r="194" spans="1:24" ht="12.75" customHeight="1" x14ac:dyDescent="0.2">
      <c r="A194" s="1"/>
      <c r="B194" s="1"/>
      <c r="C194" s="89"/>
      <c r="D194" s="89"/>
      <c r="E194" s="93"/>
      <c r="F194" s="93"/>
      <c r="G194" s="1"/>
      <c r="H194" s="1"/>
      <c r="I194" s="1"/>
      <c r="J194" s="1"/>
      <c r="K194" s="1"/>
      <c r="L194" s="1"/>
      <c r="M194" s="1"/>
      <c r="N194" s="1"/>
      <c r="O194" s="1"/>
      <c r="P194" s="1"/>
      <c r="Q194" s="1"/>
      <c r="R194" s="1"/>
      <c r="S194" s="1"/>
      <c r="T194" s="1"/>
      <c r="U194" s="1"/>
      <c r="V194" s="1"/>
      <c r="W194" s="1"/>
      <c r="X194" s="1"/>
    </row>
    <row r="195" spans="1:24" ht="12.75" customHeight="1" x14ac:dyDescent="0.2">
      <c r="A195" s="1"/>
      <c r="B195" s="1"/>
      <c r="C195" s="89"/>
      <c r="D195" s="89"/>
      <c r="E195" s="93"/>
      <c r="F195" s="93"/>
      <c r="G195" s="1"/>
      <c r="H195" s="1"/>
      <c r="I195" s="1"/>
      <c r="J195" s="1"/>
      <c r="K195" s="1"/>
      <c r="L195" s="1"/>
      <c r="M195" s="1"/>
      <c r="N195" s="1"/>
      <c r="O195" s="1"/>
      <c r="P195" s="1"/>
      <c r="Q195" s="1"/>
      <c r="R195" s="1"/>
      <c r="S195" s="1"/>
      <c r="T195" s="1"/>
      <c r="U195" s="1"/>
      <c r="V195" s="1"/>
      <c r="W195" s="1"/>
      <c r="X195" s="1"/>
    </row>
    <row r="196" spans="1:24" ht="12.75" customHeight="1" x14ac:dyDescent="0.2">
      <c r="A196" s="1"/>
      <c r="B196" s="1"/>
      <c r="C196" s="89"/>
      <c r="D196" s="89"/>
      <c r="E196" s="93"/>
      <c r="F196" s="93"/>
      <c r="G196" s="1"/>
      <c r="H196" s="1"/>
      <c r="I196" s="1"/>
      <c r="J196" s="1"/>
      <c r="K196" s="1"/>
      <c r="L196" s="1"/>
      <c r="M196" s="1"/>
      <c r="N196" s="1"/>
      <c r="O196" s="1"/>
      <c r="P196" s="1"/>
      <c r="Q196" s="1"/>
      <c r="R196" s="1"/>
      <c r="S196" s="1"/>
      <c r="T196" s="1"/>
      <c r="U196" s="1"/>
      <c r="V196" s="1"/>
      <c r="W196" s="1"/>
      <c r="X196" s="1"/>
    </row>
    <row r="197" spans="1:24" ht="12.75" customHeight="1" x14ac:dyDescent="0.2">
      <c r="A197" s="1"/>
      <c r="B197" s="1"/>
      <c r="C197" s="89"/>
      <c r="D197" s="89"/>
      <c r="E197" s="93"/>
      <c r="F197" s="93"/>
      <c r="G197" s="1"/>
      <c r="H197" s="1"/>
      <c r="I197" s="1"/>
      <c r="J197" s="1"/>
      <c r="K197" s="1"/>
      <c r="L197" s="1"/>
      <c r="M197" s="1"/>
      <c r="N197" s="1"/>
      <c r="O197" s="1"/>
      <c r="P197" s="1"/>
      <c r="Q197" s="1"/>
      <c r="R197" s="1"/>
      <c r="S197" s="1"/>
      <c r="T197" s="1"/>
      <c r="U197" s="1"/>
      <c r="V197" s="1"/>
      <c r="W197" s="1"/>
      <c r="X197" s="1"/>
    </row>
    <row r="198" spans="1:24" ht="12.75" customHeight="1" x14ac:dyDescent="0.2">
      <c r="A198" s="1"/>
      <c r="B198" s="1"/>
      <c r="C198" s="89"/>
      <c r="D198" s="89"/>
      <c r="E198" s="93"/>
      <c r="F198" s="93"/>
      <c r="G198" s="1"/>
      <c r="H198" s="1"/>
      <c r="I198" s="1"/>
      <c r="J198" s="1"/>
      <c r="K198" s="1"/>
      <c r="L198" s="1"/>
      <c r="M198" s="1"/>
      <c r="N198" s="1"/>
      <c r="O198" s="1"/>
      <c r="P198" s="1"/>
      <c r="Q198" s="1"/>
      <c r="R198" s="1"/>
      <c r="S198" s="1"/>
      <c r="T198" s="1"/>
      <c r="U198" s="1"/>
      <c r="V198" s="1"/>
      <c r="W198" s="1"/>
      <c r="X198" s="1"/>
    </row>
    <row r="199" spans="1:24" ht="12.75" customHeight="1" x14ac:dyDescent="0.2">
      <c r="A199" s="1"/>
      <c r="B199" s="1"/>
      <c r="C199" s="89"/>
      <c r="D199" s="89"/>
      <c r="E199" s="93"/>
      <c r="F199" s="93"/>
      <c r="G199" s="1"/>
      <c r="H199" s="1"/>
      <c r="I199" s="1"/>
      <c r="J199" s="1"/>
      <c r="K199" s="1"/>
      <c r="L199" s="1"/>
      <c r="M199" s="1"/>
      <c r="N199" s="1"/>
      <c r="O199" s="1"/>
      <c r="P199" s="1"/>
      <c r="Q199" s="1"/>
      <c r="R199" s="1"/>
      <c r="S199" s="1"/>
      <c r="T199" s="1"/>
      <c r="U199" s="1"/>
      <c r="V199" s="1"/>
      <c r="W199" s="1"/>
      <c r="X199" s="1"/>
    </row>
    <row r="200" spans="1:24" ht="12.75" customHeight="1" x14ac:dyDescent="0.2">
      <c r="A200" s="1"/>
      <c r="B200" s="1"/>
      <c r="C200" s="89"/>
      <c r="D200" s="89"/>
      <c r="E200" s="93"/>
      <c r="F200" s="93"/>
      <c r="G200" s="1"/>
      <c r="H200" s="1"/>
      <c r="I200" s="1"/>
      <c r="J200" s="1"/>
      <c r="K200" s="1"/>
      <c r="L200" s="1"/>
      <c r="M200" s="1"/>
      <c r="N200" s="1"/>
      <c r="O200" s="1"/>
      <c r="P200" s="1"/>
      <c r="Q200" s="1"/>
      <c r="R200" s="1"/>
      <c r="S200" s="1"/>
      <c r="T200" s="1"/>
      <c r="U200" s="1"/>
      <c r="V200" s="1"/>
      <c r="W200" s="1"/>
      <c r="X200" s="1"/>
    </row>
    <row r="201" spans="1:24" ht="12.75" customHeight="1" x14ac:dyDescent="0.2">
      <c r="A201" s="1"/>
      <c r="B201" s="1"/>
      <c r="C201" s="89"/>
      <c r="D201" s="89"/>
      <c r="E201" s="93"/>
      <c r="F201" s="93"/>
      <c r="G201" s="1"/>
      <c r="H201" s="1"/>
      <c r="I201" s="1"/>
      <c r="J201" s="1"/>
      <c r="K201" s="1"/>
      <c r="L201" s="1"/>
      <c r="M201" s="1"/>
      <c r="N201" s="1"/>
      <c r="O201" s="1"/>
      <c r="P201" s="1"/>
      <c r="Q201" s="1"/>
      <c r="R201" s="1"/>
      <c r="S201" s="1"/>
      <c r="T201" s="1"/>
      <c r="U201" s="1"/>
      <c r="V201" s="1"/>
      <c r="W201" s="1"/>
      <c r="X201" s="1"/>
    </row>
    <row r="202" spans="1:24" ht="12.75" customHeight="1" x14ac:dyDescent="0.2">
      <c r="A202" s="1"/>
      <c r="B202" s="1"/>
      <c r="C202" s="89"/>
      <c r="D202" s="89"/>
      <c r="E202" s="93"/>
      <c r="F202" s="93"/>
      <c r="G202" s="1"/>
      <c r="H202" s="1"/>
      <c r="I202" s="1"/>
      <c r="J202" s="1"/>
      <c r="K202" s="1"/>
      <c r="L202" s="1"/>
      <c r="M202" s="1"/>
      <c r="N202" s="1"/>
      <c r="O202" s="1"/>
      <c r="P202" s="1"/>
      <c r="Q202" s="1"/>
      <c r="R202" s="1"/>
      <c r="S202" s="1"/>
      <c r="T202" s="1"/>
      <c r="U202" s="1"/>
      <c r="V202" s="1"/>
      <c r="W202" s="1"/>
      <c r="X202" s="1"/>
    </row>
    <row r="203" spans="1:24" ht="12.75" customHeight="1" x14ac:dyDescent="0.2">
      <c r="A203" s="1"/>
      <c r="B203" s="1"/>
      <c r="C203" s="89"/>
      <c r="D203" s="89"/>
      <c r="E203" s="93"/>
      <c r="F203" s="93"/>
      <c r="G203" s="1"/>
      <c r="H203" s="1"/>
      <c r="I203" s="1"/>
      <c r="J203" s="1"/>
      <c r="K203" s="1"/>
      <c r="L203" s="1"/>
      <c r="M203" s="1"/>
      <c r="N203" s="1"/>
      <c r="O203" s="1"/>
      <c r="P203" s="1"/>
      <c r="Q203" s="1"/>
      <c r="R203" s="1"/>
      <c r="S203" s="1"/>
      <c r="T203" s="1"/>
      <c r="U203" s="1"/>
      <c r="V203" s="1"/>
      <c r="W203" s="1"/>
      <c r="X203" s="1"/>
    </row>
    <row r="204" spans="1:24" ht="12.75" customHeight="1" x14ac:dyDescent="0.2">
      <c r="A204" s="1"/>
      <c r="B204" s="1"/>
      <c r="C204" s="89"/>
      <c r="D204" s="89"/>
      <c r="E204" s="93"/>
      <c r="F204" s="93"/>
      <c r="G204" s="1"/>
      <c r="H204" s="1"/>
      <c r="I204" s="1"/>
      <c r="J204" s="1"/>
      <c r="K204" s="1"/>
      <c r="L204" s="1"/>
      <c r="M204" s="1"/>
      <c r="N204" s="1"/>
      <c r="O204" s="1"/>
      <c r="P204" s="1"/>
      <c r="Q204" s="1"/>
      <c r="R204" s="1"/>
      <c r="S204" s="1"/>
      <c r="T204" s="1"/>
      <c r="U204" s="1"/>
      <c r="V204" s="1"/>
      <c r="W204" s="1"/>
      <c r="X204" s="1"/>
    </row>
    <row r="205" spans="1:24" ht="12.75" customHeight="1" x14ac:dyDescent="0.2">
      <c r="A205" s="1"/>
      <c r="B205" s="1"/>
      <c r="C205" s="89"/>
      <c r="D205" s="89"/>
      <c r="E205" s="93"/>
      <c r="F205" s="93"/>
      <c r="G205" s="1"/>
      <c r="H205" s="1"/>
      <c r="I205" s="1"/>
      <c r="J205" s="1"/>
      <c r="K205" s="1"/>
      <c r="L205" s="1"/>
      <c r="M205" s="1"/>
      <c r="N205" s="1"/>
      <c r="O205" s="1"/>
      <c r="P205" s="1"/>
      <c r="Q205" s="1"/>
      <c r="R205" s="1"/>
      <c r="S205" s="1"/>
      <c r="T205" s="1"/>
      <c r="U205" s="1"/>
      <c r="V205" s="1"/>
      <c r="W205" s="1"/>
      <c r="X205" s="1"/>
    </row>
    <row r="206" spans="1:24" ht="12.75" customHeight="1" x14ac:dyDescent="0.2">
      <c r="A206" s="1"/>
      <c r="B206" s="1"/>
      <c r="C206" s="89"/>
      <c r="D206" s="89"/>
      <c r="E206" s="93"/>
      <c r="F206" s="93"/>
      <c r="G206" s="1"/>
      <c r="H206" s="1"/>
      <c r="I206" s="1"/>
      <c r="J206" s="1"/>
      <c r="K206" s="1"/>
      <c r="L206" s="1"/>
      <c r="M206" s="1"/>
      <c r="N206" s="1"/>
      <c r="O206" s="1"/>
      <c r="P206" s="1"/>
      <c r="Q206" s="1"/>
      <c r="R206" s="1"/>
      <c r="S206" s="1"/>
      <c r="T206" s="1"/>
      <c r="U206" s="1"/>
      <c r="V206" s="1"/>
      <c r="W206" s="1"/>
      <c r="X206" s="1"/>
    </row>
    <row r="207" spans="1:24" ht="12.75" customHeight="1" x14ac:dyDescent="0.2">
      <c r="A207" s="1"/>
      <c r="B207" s="1"/>
      <c r="C207" s="89"/>
      <c r="D207" s="89"/>
      <c r="E207" s="93"/>
      <c r="F207" s="93"/>
      <c r="G207" s="1"/>
      <c r="H207" s="1"/>
      <c r="I207" s="1"/>
      <c r="J207" s="1"/>
      <c r="K207" s="1"/>
      <c r="L207" s="1"/>
      <c r="M207" s="1"/>
      <c r="N207" s="1"/>
      <c r="O207" s="1"/>
      <c r="P207" s="1"/>
      <c r="Q207" s="1"/>
      <c r="R207" s="1"/>
      <c r="S207" s="1"/>
      <c r="T207" s="1"/>
      <c r="U207" s="1"/>
      <c r="V207" s="1"/>
      <c r="W207" s="1"/>
      <c r="X207" s="1"/>
    </row>
    <row r="208" spans="1:24" ht="12.75" customHeight="1" x14ac:dyDescent="0.2">
      <c r="A208" s="1"/>
      <c r="B208" s="1"/>
      <c r="C208" s="89"/>
      <c r="D208" s="89"/>
      <c r="E208" s="93"/>
      <c r="F208" s="93"/>
      <c r="G208" s="1"/>
      <c r="H208" s="1"/>
      <c r="I208" s="1"/>
      <c r="J208" s="1"/>
      <c r="K208" s="1"/>
      <c r="L208" s="1"/>
      <c r="M208" s="1"/>
      <c r="N208" s="1"/>
      <c r="O208" s="1"/>
      <c r="P208" s="1"/>
      <c r="Q208" s="1"/>
      <c r="R208" s="1"/>
      <c r="S208" s="1"/>
      <c r="T208" s="1"/>
      <c r="U208" s="1"/>
      <c r="V208" s="1"/>
      <c r="W208" s="1"/>
      <c r="X208" s="1"/>
    </row>
    <row r="209" spans="1:24" ht="12.75" customHeight="1" x14ac:dyDescent="0.2">
      <c r="A209" s="1"/>
      <c r="B209" s="1"/>
      <c r="C209" s="89"/>
      <c r="D209" s="89"/>
      <c r="E209" s="93"/>
      <c r="F209" s="93"/>
      <c r="G209" s="1"/>
      <c r="H209" s="1"/>
      <c r="I209" s="1"/>
      <c r="J209" s="1"/>
      <c r="K209" s="1"/>
      <c r="L209" s="1"/>
      <c r="M209" s="1"/>
      <c r="N209" s="1"/>
      <c r="O209" s="1"/>
      <c r="P209" s="1"/>
      <c r="Q209" s="1"/>
      <c r="R209" s="1"/>
      <c r="S209" s="1"/>
      <c r="T209" s="1"/>
      <c r="U209" s="1"/>
      <c r="V209" s="1"/>
      <c r="W209" s="1"/>
      <c r="X209" s="1"/>
    </row>
    <row r="210" spans="1:24" ht="12.75" customHeight="1" x14ac:dyDescent="0.2">
      <c r="A210" s="1"/>
      <c r="B210" s="1"/>
      <c r="C210" s="89"/>
      <c r="D210" s="89"/>
      <c r="E210" s="93"/>
      <c r="F210" s="93"/>
      <c r="G210" s="1"/>
      <c r="H210" s="1"/>
      <c r="I210" s="1"/>
      <c r="J210" s="1"/>
      <c r="K210" s="1"/>
      <c r="L210" s="1"/>
      <c r="M210" s="1"/>
      <c r="N210" s="1"/>
      <c r="O210" s="1"/>
      <c r="P210" s="1"/>
      <c r="Q210" s="1"/>
      <c r="R210" s="1"/>
      <c r="S210" s="1"/>
      <c r="T210" s="1"/>
      <c r="U210" s="1"/>
      <c r="V210" s="1"/>
      <c r="W210" s="1"/>
      <c r="X210" s="1"/>
    </row>
    <row r="211" spans="1:24" ht="12.75" customHeight="1" x14ac:dyDescent="0.2">
      <c r="A211" s="1"/>
      <c r="B211" s="1"/>
      <c r="C211" s="89"/>
      <c r="D211" s="89"/>
      <c r="E211" s="93"/>
      <c r="F211" s="93"/>
      <c r="G211" s="1"/>
      <c r="H211" s="1"/>
      <c r="I211" s="1"/>
      <c r="J211" s="1"/>
      <c r="K211" s="1"/>
      <c r="L211" s="1"/>
      <c r="M211" s="1"/>
      <c r="N211" s="1"/>
      <c r="O211" s="1"/>
      <c r="P211" s="1"/>
      <c r="Q211" s="1"/>
      <c r="R211" s="1"/>
      <c r="S211" s="1"/>
      <c r="T211" s="1"/>
      <c r="U211" s="1"/>
      <c r="V211" s="1"/>
      <c r="W211" s="1"/>
      <c r="X211" s="1"/>
    </row>
    <row r="212" spans="1:24" ht="12.75" customHeight="1" x14ac:dyDescent="0.2">
      <c r="A212" s="1"/>
      <c r="B212" s="1"/>
      <c r="C212" s="89"/>
      <c r="D212" s="89"/>
      <c r="E212" s="93"/>
      <c r="F212" s="93"/>
      <c r="G212" s="1"/>
      <c r="H212" s="1"/>
      <c r="I212" s="1"/>
      <c r="J212" s="1"/>
      <c r="K212" s="1"/>
      <c r="L212" s="1"/>
      <c r="M212" s="1"/>
      <c r="N212" s="1"/>
      <c r="O212" s="1"/>
      <c r="P212" s="1"/>
      <c r="Q212" s="1"/>
      <c r="R212" s="1"/>
      <c r="S212" s="1"/>
      <c r="T212" s="1"/>
      <c r="U212" s="1"/>
      <c r="V212" s="1"/>
      <c r="W212" s="1"/>
      <c r="X212" s="1"/>
    </row>
    <row r="213" spans="1:24" ht="12.75" customHeight="1" x14ac:dyDescent="0.2">
      <c r="A213" s="1"/>
      <c r="B213" s="1"/>
      <c r="C213" s="89"/>
      <c r="D213" s="89"/>
      <c r="E213" s="93"/>
      <c r="F213" s="93"/>
      <c r="G213" s="1"/>
      <c r="H213" s="1"/>
      <c r="I213" s="1"/>
      <c r="J213" s="1"/>
      <c r="K213" s="1"/>
      <c r="L213" s="1"/>
      <c r="M213" s="1"/>
      <c r="N213" s="1"/>
      <c r="O213" s="1"/>
      <c r="P213" s="1"/>
      <c r="Q213" s="1"/>
      <c r="R213" s="1"/>
      <c r="S213" s="1"/>
      <c r="T213" s="1"/>
      <c r="U213" s="1"/>
      <c r="V213" s="1"/>
      <c r="W213" s="1"/>
      <c r="X213" s="1"/>
    </row>
    <row r="214" spans="1:24" ht="12.75" customHeight="1" x14ac:dyDescent="0.2">
      <c r="A214" s="1"/>
      <c r="B214" s="1"/>
      <c r="C214" s="89"/>
      <c r="D214" s="89"/>
      <c r="E214" s="93"/>
      <c r="F214" s="93"/>
      <c r="G214" s="1"/>
      <c r="H214" s="1"/>
      <c r="I214" s="1"/>
      <c r="J214" s="1"/>
      <c r="K214" s="1"/>
      <c r="L214" s="1"/>
      <c r="M214" s="1"/>
      <c r="N214" s="1"/>
      <c r="O214" s="1"/>
      <c r="P214" s="1"/>
      <c r="Q214" s="1"/>
      <c r="R214" s="1"/>
      <c r="S214" s="1"/>
      <c r="T214" s="1"/>
      <c r="U214" s="1"/>
      <c r="V214" s="1"/>
      <c r="W214" s="1"/>
      <c r="X214" s="1"/>
    </row>
    <row r="215" spans="1:24" ht="12.75" customHeight="1" x14ac:dyDescent="0.2">
      <c r="A215" s="1"/>
      <c r="B215" s="1"/>
      <c r="C215" s="89"/>
      <c r="D215" s="89"/>
      <c r="E215" s="93"/>
      <c r="F215" s="93"/>
      <c r="G215" s="1"/>
      <c r="H215" s="1"/>
      <c r="I215" s="1"/>
      <c r="J215" s="1"/>
      <c r="K215" s="1"/>
      <c r="L215" s="1"/>
      <c r="M215" s="1"/>
      <c r="N215" s="1"/>
      <c r="O215" s="1"/>
      <c r="P215" s="1"/>
      <c r="Q215" s="1"/>
      <c r="R215" s="1"/>
      <c r="S215" s="1"/>
      <c r="T215" s="1"/>
      <c r="U215" s="1"/>
      <c r="V215" s="1"/>
      <c r="W215" s="1"/>
      <c r="X215" s="1"/>
    </row>
    <row r="216" spans="1:24" ht="12.75" customHeight="1" x14ac:dyDescent="0.2">
      <c r="A216" s="1"/>
      <c r="B216" s="1"/>
      <c r="C216" s="89"/>
      <c r="D216" s="89"/>
      <c r="E216" s="93"/>
      <c r="F216" s="93"/>
      <c r="G216" s="1"/>
      <c r="H216" s="1"/>
      <c r="I216" s="1"/>
      <c r="J216" s="1"/>
      <c r="K216" s="1"/>
      <c r="L216" s="1"/>
      <c r="M216" s="1"/>
      <c r="N216" s="1"/>
      <c r="O216" s="1"/>
      <c r="P216" s="1"/>
      <c r="Q216" s="1"/>
      <c r="R216" s="1"/>
      <c r="S216" s="1"/>
      <c r="T216" s="1"/>
      <c r="U216" s="1"/>
      <c r="V216" s="1"/>
      <c r="W216" s="1"/>
      <c r="X216" s="1"/>
    </row>
    <row r="217" spans="1:24" ht="12.75" customHeight="1" x14ac:dyDescent="0.2">
      <c r="A217" s="1"/>
      <c r="B217" s="1"/>
      <c r="C217" s="89"/>
      <c r="D217" s="89"/>
      <c r="E217" s="93"/>
      <c r="F217" s="93"/>
      <c r="G217" s="1"/>
      <c r="H217" s="1"/>
      <c r="I217" s="1"/>
      <c r="J217" s="1"/>
      <c r="K217" s="1"/>
      <c r="L217" s="1"/>
      <c r="M217" s="1"/>
      <c r="N217" s="1"/>
      <c r="O217" s="1"/>
      <c r="P217" s="1"/>
      <c r="Q217" s="1"/>
      <c r="R217" s="1"/>
      <c r="S217" s="1"/>
      <c r="T217" s="1"/>
      <c r="U217" s="1"/>
      <c r="V217" s="1"/>
      <c r="W217" s="1"/>
      <c r="X217" s="1"/>
    </row>
    <row r="218" spans="1:24" ht="12.75" customHeight="1" x14ac:dyDescent="0.2">
      <c r="A218" s="1"/>
      <c r="B218" s="1"/>
      <c r="C218" s="89"/>
      <c r="D218" s="89"/>
      <c r="E218" s="93"/>
      <c r="F218" s="93"/>
      <c r="G218" s="1"/>
      <c r="H218" s="1"/>
      <c r="I218" s="1"/>
      <c r="J218" s="1"/>
      <c r="K218" s="1"/>
      <c r="L218" s="1"/>
      <c r="M218" s="1"/>
      <c r="N218" s="1"/>
      <c r="O218" s="1"/>
      <c r="P218" s="1"/>
      <c r="Q218" s="1"/>
      <c r="R218" s="1"/>
      <c r="S218" s="1"/>
      <c r="T218" s="1"/>
      <c r="U218" s="1"/>
      <c r="V218" s="1"/>
      <c r="W218" s="1"/>
      <c r="X218" s="1"/>
    </row>
    <row r="219" spans="1:24" ht="12.75" customHeight="1" x14ac:dyDescent="0.2">
      <c r="A219" s="1"/>
      <c r="B219" s="1"/>
      <c r="C219" s="89"/>
      <c r="D219" s="89"/>
      <c r="E219" s="93"/>
      <c r="F219" s="93"/>
      <c r="G219" s="1"/>
      <c r="H219" s="1"/>
      <c r="I219" s="1"/>
      <c r="J219" s="1"/>
      <c r="K219" s="1"/>
      <c r="L219" s="1"/>
      <c r="M219" s="1"/>
      <c r="N219" s="1"/>
      <c r="O219" s="1"/>
      <c r="P219" s="1"/>
      <c r="Q219" s="1"/>
      <c r="R219" s="1"/>
      <c r="S219" s="1"/>
      <c r="T219" s="1"/>
      <c r="U219" s="1"/>
      <c r="V219" s="1"/>
      <c r="W219" s="1"/>
      <c r="X219" s="1"/>
    </row>
    <row r="220" spans="1:24" ht="12.75" customHeight="1" x14ac:dyDescent="0.2">
      <c r="A220" s="1"/>
      <c r="B220" s="1"/>
      <c r="C220" s="89"/>
      <c r="D220" s="89"/>
      <c r="E220" s="93"/>
      <c r="F220" s="93"/>
      <c r="G220" s="1"/>
      <c r="H220" s="1"/>
      <c r="I220" s="1"/>
      <c r="J220" s="1"/>
      <c r="K220" s="1"/>
      <c r="L220" s="1"/>
      <c r="M220" s="1"/>
      <c r="N220" s="1"/>
      <c r="O220" s="1"/>
      <c r="P220" s="1"/>
      <c r="Q220" s="1"/>
      <c r="R220" s="1"/>
      <c r="S220" s="1"/>
      <c r="T220" s="1"/>
      <c r="U220" s="1"/>
      <c r="V220" s="1"/>
      <c r="W220" s="1"/>
      <c r="X220" s="1"/>
    </row>
    <row r="221" spans="1:24" ht="12.75" customHeight="1" x14ac:dyDescent="0.2">
      <c r="A221" s="1"/>
      <c r="B221" s="1"/>
      <c r="C221" s="89"/>
      <c r="D221" s="89"/>
      <c r="E221" s="93"/>
      <c r="F221" s="93"/>
      <c r="G221" s="1"/>
      <c r="H221" s="1"/>
      <c r="I221" s="1"/>
      <c r="J221" s="1"/>
      <c r="K221" s="1"/>
      <c r="L221" s="1"/>
      <c r="M221" s="1"/>
      <c r="N221" s="1"/>
      <c r="O221" s="1"/>
      <c r="P221" s="1"/>
      <c r="Q221" s="1"/>
      <c r="R221" s="1"/>
      <c r="S221" s="1"/>
      <c r="T221" s="1"/>
      <c r="U221" s="1"/>
      <c r="V221" s="1"/>
      <c r="W221" s="1"/>
      <c r="X221" s="1"/>
    </row>
    <row r="222" spans="1:24" ht="12.75" customHeight="1" x14ac:dyDescent="0.2">
      <c r="A222" s="1"/>
      <c r="B222" s="1"/>
      <c r="C222" s="89"/>
      <c r="D222" s="89"/>
      <c r="E222" s="93"/>
      <c r="F222" s="93"/>
      <c r="G222" s="1"/>
      <c r="H222" s="1"/>
      <c r="I222" s="1"/>
      <c r="J222" s="1"/>
      <c r="K222" s="1"/>
      <c r="L222" s="1"/>
      <c r="M222" s="1"/>
      <c r="N222" s="1"/>
      <c r="O222" s="1"/>
      <c r="P222" s="1"/>
      <c r="Q222" s="1"/>
      <c r="R222" s="1"/>
      <c r="S222" s="1"/>
      <c r="T222" s="1"/>
      <c r="U222" s="1"/>
      <c r="V222" s="1"/>
      <c r="W222" s="1"/>
      <c r="X222" s="1"/>
    </row>
    <row r="223" spans="1:24" ht="12.75" customHeight="1" x14ac:dyDescent="0.2">
      <c r="A223" s="1"/>
      <c r="B223" s="1"/>
      <c r="C223" s="89"/>
      <c r="D223" s="89"/>
      <c r="E223" s="93"/>
      <c r="F223" s="93"/>
      <c r="G223" s="1"/>
      <c r="H223" s="1"/>
      <c r="I223" s="1"/>
      <c r="J223" s="1"/>
      <c r="K223" s="1"/>
      <c r="L223" s="1"/>
      <c r="M223" s="1"/>
      <c r="N223" s="1"/>
      <c r="O223" s="1"/>
      <c r="P223" s="1"/>
      <c r="Q223" s="1"/>
      <c r="R223" s="1"/>
      <c r="S223" s="1"/>
      <c r="T223" s="1"/>
      <c r="U223" s="1"/>
      <c r="V223" s="1"/>
      <c r="W223" s="1"/>
      <c r="X223" s="1"/>
    </row>
    <row r="224" spans="1:24" ht="12.75" customHeight="1" x14ac:dyDescent="0.2">
      <c r="A224" s="1"/>
      <c r="B224" s="1"/>
      <c r="C224" s="89"/>
      <c r="D224" s="89"/>
      <c r="E224" s="93"/>
      <c r="F224" s="93"/>
      <c r="G224" s="1"/>
      <c r="H224" s="1"/>
      <c r="I224" s="1"/>
      <c r="J224" s="1"/>
      <c r="K224" s="1"/>
      <c r="L224" s="1"/>
      <c r="M224" s="1"/>
      <c r="N224" s="1"/>
      <c r="O224" s="1"/>
      <c r="P224" s="1"/>
      <c r="Q224" s="1"/>
      <c r="R224" s="1"/>
      <c r="S224" s="1"/>
      <c r="T224" s="1"/>
      <c r="U224" s="1"/>
      <c r="V224" s="1"/>
      <c r="W224" s="1"/>
      <c r="X224" s="1"/>
    </row>
    <row r="225" spans="1:24" ht="12.75" customHeight="1" x14ac:dyDescent="0.2">
      <c r="A225" s="1"/>
      <c r="B225" s="1"/>
      <c r="C225" s="89"/>
      <c r="D225" s="89"/>
      <c r="E225" s="93"/>
      <c r="F225" s="93"/>
      <c r="G225" s="1"/>
      <c r="H225" s="1"/>
      <c r="I225" s="1"/>
      <c r="J225" s="1"/>
      <c r="K225" s="1"/>
      <c r="L225" s="1"/>
      <c r="M225" s="1"/>
      <c r="N225" s="1"/>
      <c r="O225" s="1"/>
      <c r="P225" s="1"/>
      <c r="Q225" s="1"/>
      <c r="R225" s="1"/>
      <c r="S225" s="1"/>
      <c r="T225" s="1"/>
      <c r="U225" s="1"/>
      <c r="V225" s="1"/>
      <c r="W225" s="1"/>
      <c r="X225" s="1"/>
    </row>
    <row r="226" spans="1:24" ht="12.75" customHeight="1" x14ac:dyDescent="0.2">
      <c r="A226" s="1"/>
      <c r="B226" s="1"/>
      <c r="C226" s="89"/>
      <c r="D226" s="89"/>
      <c r="E226" s="93"/>
      <c r="F226" s="93"/>
      <c r="G226" s="1"/>
      <c r="H226" s="1"/>
      <c r="I226" s="1"/>
      <c r="J226" s="1"/>
      <c r="K226" s="1"/>
      <c r="L226" s="1"/>
      <c r="M226" s="1"/>
      <c r="N226" s="1"/>
      <c r="O226" s="1"/>
      <c r="P226" s="1"/>
      <c r="Q226" s="1"/>
      <c r="R226" s="1"/>
      <c r="S226" s="1"/>
      <c r="T226" s="1"/>
      <c r="U226" s="1"/>
      <c r="V226" s="1"/>
      <c r="W226" s="1"/>
      <c r="X226" s="1"/>
    </row>
    <row r="227" spans="1:24" ht="12.75" customHeight="1" x14ac:dyDescent="0.2">
      <c r="A227" s="1"/>
      <c r="B227" s="1"/>
      <c r="C227" s="89"/>
      <c r="D227" s="89"/>
      <c r="E227" s="93"/>
      <c r="F227" s="93"/>
      <c r="G227" s="1"/>
      <c r="H227" s="1"/>
      <c r="I227" s="1"/>
      <c r="J227" s="1"/>
      <c r="K227" s="1"/>
      <c r="L227" s="1"/>
      <c r="M227" s="1"/>
      <c r="N227" s="1"/>
      <c r="O227" s="1"/>
      <c r="P227" s="1"/>
      <c r="Q227" s="1"/>
      <c r="R227" s="1"/>
      <c r="S227" s="1"/>
      <c r="T227" s="1"/>
      <c r="U227" s="1"/>
      <c r="V227" s="1"/>
      <c r="W227" s="1"/>
      <c r="X227" s="1"/>
    </row>
    <row r="228" spans="1:24" ht="12.75" customHeight="1" x14ac:dyDescent="0.2">
      <c r="A228" s="1"/>
      <c r="B228" s="1"/>
      <c r="C228" s="89"/>
      <c r="D228" s="89"/>
      <c r="E228" s="93"/>
      <c r="F228" s="93"/>
      <c r="G228" s="1"/>
      <c r="H228" s="1"/>
      <c r="I228" s="1"/>
      <c r="J228" s="1"/>
      <c r="K228" s="1"/>
      <c r="L228" s="1"/>
      <c r="M228" s="1"/>
      <c r="N228" s="1"/>
      <c r="O228" s="1"/>
      <c r="P228" s="1"/>
      <c r="Q228" s="1"/>
      <c r="R228" s="1"/>
      <c r="S228" s="1"/>
      <c r="T228" s="1"/>
      <c r="U228" s="1"/>
      <c r="V228" s="1"/>
      <c r="W228" s="1"/>
      <c r="X228" s="1"/>
    </row>
    <row r="229" spans="1:24" ht="12.75" customHeight="1" x14ac:dyDescent="0.2">
      <c r="A229" s="1"/>
      <c r="B229" s="1"/>
      <c r="C229" s="89"/>
      <c r="D229" s="89"/>
      <c r="E229" s="93"/>
      <c r="F229" s="93"/>
      <c r="G229" s="1"/>
      <c r="H229" s="1"/>
      <c r="I229" s="1"/>
      <c r="J229" s="1"/>
      <c r="K229" s="1"/>
      <c r="L229" s="1"/>
      <c r="M229" s="1"/>
      <c r="N229" s="1"/>
      <c r="O229" s="1"/>
      <c r="P229" s="1"/>
      <c r="Q229" s="1"/>
      <c r="R229" s="1"/>
      <c r="S229" s="1"/>
      <c r="T229" s="1"/>
      <c r="U229" s="1"/>
      <c r="V229" s="1"/>
      <c r="W229" s="1"/>
      <c r="X229" s="1"/>
    </row>
    <row r="230" spans="1:24" ht="12.75" customHeight="1" x14ac:dyDescent="0.2">
      <c r="A230" s="1"/>
      <c r="B230" s="1"/>
      <c r="C230" s="89"/>
      <c r="D230" s="89"/>
      <c r="E230" s="93"/>
      <c r="F230" s="93"/>
      <c r="G230" s="1"/>
      <c r="H230" s="1"/>
      <c r="I230" s="1"/>
      <c r="J230" s="1"/>
      <c r="K230" s="1"/>
      <c r="L230" s="1"/>
      <c r="M230" s="1"/>
      <c r="N230" s="1"/>
      <c r="O230" s="1"/>
      <c r="P230" s="1"/>
      <c r="Q230" s="1"/>
      <c r="R230" s="1"/>
      <c r="S230" s="1"/>
      <c r="T230" s="1"/>
      <c r="U230" s="1"/>
      <c r="V230" s="1"/>
      <c r="W230" s="1"/>
      <c r="X230" s="1"/>
    </row>
    <row r="231" spans="1:24" ht="12.75" customHeight="1" x14ac:dyDescent="0.2">
      <c r="A231" s="1"/>
      <c r="B231" s="1"/>
      <c r="C231" s="89"/>
      <c r="D231" s="89"/>
      <c r="E231" s="93"/>
      <c r="F231" s="93"/>
      <c r="G231" s="1"/>
      <c r="H231" s="1"/>
      <c r="I231" s="1"/>
      <c r="J231" s="1"/>
      <c r="K231" s="1"/>
      <c r="L231" s="1"/>
      <c r="M231" s="1"/>
      <c r="N231" s="1"/>
      <c r="O231" s="1"/>
      <c r="P231" s="1"/>
      <c r="Q231" s="1"/>
      <c r="R231" s="1"/>
      <c r="S231" s="1"/>
      <c r="T231" s="1"/>
      <c r="U231" s="1"/>
      <c r="V231" s="1"/>
      <c r="W231" s="1"/>
      <c r="X231" s="1"/>
    </row>
    <row r="232" spans="1:24" ht="12.75" customHeight="1" x14ac:dyDescent="0.2">
      <c r="A232" s="1"/>
      <c r="B232" s="1"/>
      <c r="C232" s="89"/>
      <c r="D232" s="89"/>
      <c r="E232" s="93"/>
      <c r="F232" s="93"/>
      <c r="G232" s="1"/>
      <c r="H232" s="1"/>
      <c r="I232" s="1"/>
      <c r="J232" s="1"/>
      <c r="K232" s="1"/>
      <c r="L232" s="1"/>
      <c r="M232" s="1"/>
      <c r="N232" s="1"/>
      <c r="O232" s="1"/>
      <c r="P232" s="1"/>
      <c r="Q232" s="1"/>
      <c r="R232" s="1"/>
      <c r="S232" s="1"/>
      <c r="T232" s="1"/>
      <c r="U232" s="1"/>
      <c r="V232" s="1"/>
      <c r="W232" s="1"/>
      <c r="X232" s="1"/>
    </row>
    <row r="233" spans="1:24" ht="12.75" customHeight="1" x14ac:dyDescent="0.2">
      <c r="A233" s="1"/>
      <c r="B233" s="1"/>
      <c r="C233" s="89"/>
      <c r="D233" s="89"/>
      <c r="E233" s="93"/>
      <c r="F233" s="93"/>
      <c r="G233" s="1"/>
      <c r="H233" s="1"/>
      <c r="I233" s="1"/>
      <c r="J233" s="1"/>
      <c r="K233" s="1"/>
      <c r="L233" s="1"/>
      <c r="M233" s="1"/>
      <c r="N233" s="1"/>
      <c r="O233" s="1"/>
      <c r="P233" s="1"/>
      <c r="Q233" s="1"/>
      <c r="R233" s="1"/>
      <c r="S233" s="1"/>
      <c r="T233" s="1"/>
      <c r="U233" s="1"/>
      <c r="V233" s="1"/>
      <c r="W233" s="1"/>
      <c r="X233" s="1"/>
    </row>
    <row r="234" spans="1:24" ht="12.75" customHeight="1" x14ac:dyDescent="0.2">
      <c r="A234" s="1"/>
      <c r="B234" s="1"/>
      <c r="C234" s="89"/>
      <c r="D234" s="89"/>
      <c r="E234" s="93"/>
      <c r="F234" s="93"/>
      <c r="G234" s="1"/>
      <c r="H234" s="1"/>
      <c r="I234" s="1"/>
      <c r="J234" s="1"/>
      <c r="K234" s="1"/>
      <c r="L234" s="1"/>
      <c r="M234" s="1"/>
      <c r="N234" s="1"/>
      <c r="O234" s="1"/>
      <c r="P234" s="1"/>
      <c r="Q234" s="1"/>
      <c r="R234" s="1"/>
      <c r="S234" s="1"/>
      <c r="T234" s="1"/>
      <c r="U234" s="1"/>
      <c r="V234" s="1"/>
      <c r="W234" s="1"/>
      <c r="X234" s="1"/>
    </row>
    <row r="235" spans="1:24" ht="12.75" customHeight="1" x14ac:dyDescent="0.2">
      <c r="A235" s="1"/>
      <c r="B235" s="1"/>
      <c r="C235" s="89"/>
      <c r="D235" s="89"/>
      <c r="E235" s="93"/>
      <c r="F235" s="93"/>
      <c r="G235" s="1"/>
      <c r="H235" s="1"/>
      <c r="I235" s="1"/>
      <c r="J235" s="1"/>
      <c r="K235" s="1"/>
      <c r="L235" s="1"/>
      <c r="M235" s="1"/>
      <c r="N235" s="1"/>
      <c r="O235" s="1"/>
      <c r="P235" s="1"/>
      <c r="Q235" s="1"/>
      <c r="R235" s="1"/>
      <c r="S235" s="1"/>
      <c r="T235" s="1"/>
      <c r="U235" s="1"/>
      <c r="V235" s="1"/>
      <c r="W235" s="1"/>
      <c r="X235" s="1"/>
    </row>
    <row r="236" spans="1:24" ht="12.75" customHeight="1" x14ac:dyDescent="0.2">
      <c r="A236" s="1"/>
      <c r="B236" s="1"/>
      <c r="C236" s="89"/>
      <c r="D236" s="89"/>
      <c r="E236" s="93"/>
      <c r="F236" s="93"/>
      <c r="G236" s="1"/>
      <c r="H236" s="1"/>
      <c r="I236" s="1"/>
      <c r="J236" s="1"/>
      <c r="K236" s="1"/>
      <c r="L236" s="1"/>
      <c r="M236" s="1"/>
      <c r="N236" s="1"/>
      <c r="O236" s="1"/>
      <c r="P236" s="1"/>
      <c r="Q236" s="1"/>
      <c r="R236" s="1"/>
      <c r="S236" s="1"/>
      <c r="T236" s="1"/>
      <c r="U236" s="1"/>
      <c r="V236" s="1"/>
      <c r="W236" s="1"/>
      <c r="X236" s="1"/>
    </row>
    <row r="237" spans="1:24" ht="12.75" customHeight="1" x14ac:dyDescent="0.2">
      <c r="A237" s="1"/>
      <c r="B237" s="1"/>
      <c r="C237" s="89"/>
      <c r="D237" s="89"/>
      <c r="E237" s="93"/>
      <c r="F237" s="93"/>
      <c r="G237" s="1"/>
      <c r="H237" s="1"/>
      <c r="I237" s="1"/>
      <c r="J237" s="1"/>
      <c r="K237" s="1"/>
      <c r="L237" s="1"/>
      <c r="M237" s="1"/>
      <c r="N237" s="1"/>
      <c r="O237" s="1"/>
      <c r="P237" s="1"/>
      <c r="Q237" s="1"/>
      <c r="R237" s="1"/>
      <c r="S237" s="1"/>
      <c r="T237" s="1"/>
      <c r="U237" s="1"/>
      <c r="V237" s="1"/>
      <c r="W237" s="1"/>
      <c r="X237" s="1"/>
    </row>
    <row r="238" spans="1:24" ht="12.75" customHeight="1" x14ac:dyDescent="0.2">
      <c r="A238" s="1"/>
      <c r="B238" s="1"/>
      <c r="C238" s="89"/>
      <c r="D238" s="89"/>
      <c r="E238" s="93"/>
      <c r="F238" s="93"/>
      <c r="G238" s="1"/>
      <c r="H238" s="1"/>
      <c r="I238" s="1"/>
      <c r="J238" s="1"/>
      <c r="K238" s="1"/>
      <c r="L238" s="1"/>
      <c r="M238" s="1"/>
      <c r="N238" s="1"/>
      <c r="O238" s="1"/>
      <c r="P238" s="1"/>
      <c r="Q238" s="1"/>
      <c r="R238" s="1"/>
      <c r="S238" s="1"/>
      <c r="T238" s="1"/>
      <c r="U238" s="1"/>
      <c r="V238" s="1"/>
      <c r="W238" s="1"/>
      <c r="X238" s="1"/>
    </row>
    <row r="239" spans="1:24" ht="12.75" customHeight="1" x14ac:dyDescent="0.2">
      <c r="A239" s="1"/>
      <c r="B239" s="1"/>
      <c r="C239" s="89"/>
      <c r="D239" s="89"/>
      <c r="E239" s="93"/>
      <c r="F239" s="93"/>
      <c r="G239" s="1"/>
      <c r="H239" s="1"/>
      <c r="I239" s="1"/>
      <c r="J239" s="1"/>
      <c r="K239" s="1"/>
      <c r="L239" s="1"/>
      <c r="M239" s="1"/>
      <c r="N239" s="1"/>
      <c r="O239" s="1"/>
      <c r="P239" s="1"/>
      <c r="Q239" s="1"/>
      <c r="R239" s="1"/>
      <c r="S239" s="1"/>
      <c r="T239" s="1"/>
      <c r="U239" s="1"/>
      <c r="V239" s="1"/>
      <c r="W239" s="1"/>
      <c r="X239" s="1"/>
    </row>
    <row r="240" spans="1:24" ht="12.75" customHeight="1" x14ac:dyDescent="0.2">
      <c r="A240" s="1"/>
      <c r="B240" s="1"/>
      <c r="C240" s="89"/>
      <c r="D240" s="89"/>
      <c r="E240" s="93"/>
      <c r="F240" s="93"/>
      <c r="G240" s="1"/>
      <c r="H240" s="1"/>
      <c r="I240" s="1"/>
      <c r="J240" s="1"/>
      <c r="K240" s="1"/>
      <c r="L240" s="1"/>
      <c r="M240" s="1"/>
      <c r="N240" s="1"/>
      <c r="O240" s="1"/>
      <c r="P240" s="1"/>
      <c r="Q240" s="1"/>
      <c r="R240" s="1"/>
      <c r="S240" s="1"/>
      <c r="T240" s="1"/>
      <c r="U240" s="1"/>
      <c r="V240" s="1"/>
      <c r="W240" s="1"/>
      <c r="X240" s="1"/>
    </row>
    <row r="241" spans="1:24" ht="12.75" customHeight="1" x14ac:dyDescent="0.2">
      <c r="A241" s="1"/>
      <c r="B241" s="1"/>
      <c r="C241" s="89"/>
      <c r="D241" s="89"/>
      <c r="E241" s="93"/>
      <c r="F241" s="93"/>
      <c r="G241" s="1"/>
      <c r="H241" s="1"/>
      <c r="I241" s="1"/>
      <c r="J241" s="1"/>
      <c r="K241" s="1"/>
      <c r="L241" s="1"/>
      <c r="M241" s="1"/>
      <c r="N241" s="1"/>
      <c r="O241" s="1"/>
      <c r="P241" s="1"/>
      <c r="Q241" s="1"/>
      <c r="R241" s="1"/>
      <c r="S241" s="1"/>
      <c r="T241" s="1"/>
      <c r="U241" s="1"/>
      <c r="V241" s="1"/>
      <c r="W241" s="1"/>
      <c r="X241" s="1"/>
    </row>
    <row r="242" spans="1:24" ht="12.75" customHeight="1" x14ac:dyDescent="0.2">
      <c r="A242" s="1"/>
      <c r="B242" s="1"/>
      <c r="C242" s="89"/>
      <c r="D242" s="89"/>
      <c r="E242" s="93"/>
      <c r="F242" s="93"/>
      <c r="G242" s="1"/>
      <c r="H242" s="1"/>
      <c r="I242" s="1"/>
      <c r="J242" s="1"/>
      <c r="K242" s="1"/>
      <c r="L242" s="1"/>
      <c r="M242" s="1"/>
      <c r="N242" s="1"/>
      <c r="O242" s="1"/>
      <c r="P242" s="1"/>
      <c r="Q242" s="1"/>
      <c r="R242" s="1"/>
      <c r="S242" s="1"/>
      <c r="T242" s="1"/>
      <c r="U242" s="1"/>
      <c r="V242" s="1"/>
      <c r="W242" s="1"/>
      <c r="X242" s="1"/>
    </row>
    <row r="243" spans="1:24" ht="12.75" customHeight="1" x14ac:dyDescent="0.2">
      <c r="A243" s="1"/>
      <c r="B243" s="1"/>
      <c r="C243" s="89"/>
      <c r="D243" s="89"/>
      <c r="E243" s="93"/>
      <c r="F243" s="93"/>
      <c r="G243" s="1"/>
      <c r="H243" s="1"/>
      <c r="I243" s="1"/>
      <c r="J243" s="1"/>
      <c r="K243" s="1"/>
      <c r="L243" s="1"/>
      <c r="M243" s="1"/>
      <c r="N243" s="1"/>
      <c r="O243" s="1"/>
      <c r="P243" s="1"/>
      <c r="Q243" s="1"/>
      <c r="R243" s="1"/>
      <c r="S243" s="1"/>
      <c r="T243" s="1"/>
      <c r="U243" s="1"/>
      <c r="V243" s="1"/>
      <c r="W243" s="1"/>
      <c r="X243" s="1"/>
    </row>
    <row r="244" spans="1:24" ht="12.75" customHeight="1" x14ac:dyDescent="0.2">
      <c r="A244" s="1"/>
      <c r="B244" s="1"/>
      <c r="C244" s="89"/>
      <c r="D244" s="89"/>
      <c r="E244" s="93"/>
      <c r="F244" s="93"/>
      <c r="G244" s="1"/>
      <c r="H244" s="1"/>
      <c r="I244" s="1"/>
      <c r="J244" s="1"/>
      <c r="K244" s="1"/>
      <c r="L244" s="1"/>
      <c r="M244" s="1"/>
      <c r="N244" s="1"/>
      <c r="O244" s="1"/>
      <c r="P244" s="1"/>
      <c r="Q244" s="1"/>
      <c r="R244" s="1"/>
      <c r="S244" s="1"/>
      <c r="T244" s="1"/>
      <c r="U244" s="1"/>
      <c r="V244" s="1"/>
      <c r="W244" s="1"/>
      <c r="X244" s="1"/>
    </row>
    <row r="245" spans="1:24" ht="12.75" customHeight="1" x14ac:dyDescent="0.2">
      <c r="A245" s="1"/>
      <c r="B245" s="1"/>
      <c r="C245" s="89"/>
      <c r="D245" s="89"/>
      <c r="E245" s="93"/>
      <c r="F245" s="93"/>
      <c r="G245" s="1"/>
      <c r="H245" s="1"/>
      <c r="I245" s="1"/>
      <c r="J245" s="1"/>
      <c r="K245" s="1"/>
      <c r="L245" s="1"/>
      <c r="M245" s="1"/>
      <c r="N245" s="1"/>
      <c r="O245" s="1"/>
      <c r="P245" s="1"/>
      <c r="Q245" s="1"/>
      <c r="R245" s="1"/>
      <c r="S245" s="1"/>
      <c r="T245" s="1"/>
      <c r="U245" s="1"/>
      <c r="V245" s="1"/>
      <c r="W245" s="1"/>
      <c r="X245" s="1"/>
    </row>
    <row r="246" spans="1:24" ht="12.75" customHeight="1" x14ac:dyDescent="0.2">
      <c r="A246" s="1"/>
      <c r="B246" s="1"/>
      <c r="C246" s="89"/>
      <c r="D246" s="89"/>
      <c r="E246" s="93"/>
      <c r="F246" s="93"/>
      <c r="G246" s="1"/>
      <c r="H246" s="1"/>
      <c r="I246" s="1"/>
      <c r="J246" s="1"/>
      <c r="K246" s="1"/>
      <c r="L246" s="1"/>
      <c r="M246" s="1"/>
      <c r="N246" s="1"/>
      <c r="O246" s="1"/>
      <c r="P246" s="1"/>
      <c r="Q246" s="1"/>
      <c r="R246" s="1"/>
      <c r="S246" s="1"/>
      <c r="T246" s="1"/>
      <c r="U246" s="1"/>
      <c r="V246" s="1"/>
      <c r="W246" s="1"/>
      <c r="X246" s="1"/>
    </row>
    <row r="247" spans="1:24" ht="12.75" customHeight="1" x14ac:dyDescent="0.2">
      <c r="A247" s="1"/>
      <c r="B247" s="1"/>
      <c r="C247" s="89"/>
      <c r="D247" s="89"/>
      <c r="E247" s="93"/>
      <c r="F247" s="93"/>
      <c r="G247" s="1"/>
      <c r="H247" s="1"/>
      <c r="I247" s="1"/>
      <c r="J247" s="1"/>
      <c r="K247" s="1"/>
      <c r="L247" s="1"/>
      <c r="M247" s="1"/>
      <c r="N247" s="1"/>
      <c r="O247" s="1"/>
      <c r="P247" s="1"/>
      <c r="Q247" s="1"/>
      <c r="R247" s="1"/>
      <c r="S247" s="1"/>
      <c r="T247" s="1"/>
      <c r="U247" s="1"/>
      <c r="V247" s="1"/>
      <c r="W247" s="1"/>
      <c r="X247" s="1"/>
    </row>
    <row r="248" spans="1:24" ht="12.75" customHeight="1" x14ac:dyDescent="0.2">
      <c r="A248" s="1"/>
      <c r="B248" s="1"/>
      <c r="C248" s="89"/>
      <c r="D248" s="89"/>
      <c r="E248" s="93"/>
      <c r="F248" s="93"/>
      <c r="G248" s="1"/>
      <c r="H248" s="1"/>
      <c r="I248" s="1"/>
      <c r="J248" s="1"/>
      <c r="K248" s="1"/>
      <c r="L248" s="1"/>
      <c r="M248" s="1"/>
      <c r="N248" s="1"/>
      <c r="O248" s="1"/>
      <c r="P248" s="1"/>
      <c r="Q248" s="1"/>
      <c r="R248" s="1"/>
      <c r="S248" s="1"/>
      <c r="T248" s="1"/>
      <c r="U248" s="1"/>
      <c r="V248" s="1"/>
      <c r="W248" s="1"/>
      <c r="X248" s="1"/>
    </row>
    <row r="249" spans="1:24" ht="12.75" customHeight="1" x14ac:dyDescent="0.2">
      <c r="A249" s="1"/>
      <c r="B249" s="1"/>
      <c r="C249" s="89"/>
      <c r="D249" s="89"/>
      <c r="E249" s="93"/>
      <c r="F249" s="93"/>
      <c r="G249" s="1"/>
      <c r="H249" s="1"/>
      <c r="I249" s="1"/>
      <c r="J249" s="1"/>
      <c r="K249" s="1"/>
      <c r="L249" s="1"/>
      <c r="M249" s="1"/>
      <c r="N249" s="1"/>
      <c r="O249" s="1"/>
      <c r="P249" s="1"/>
      <c r="Q249" s="1"/>
      <c r="R249" s="1"/>
      <c r="S249" s="1"/>
      <c r="T249" s="1"/>
      <c r="U249" s="1"/>
      <c r="V249" s="1"/>
      <c r="W249" s="1"/>
      <c r="X249" s="1"/>
    </row>
    <row r="250" spans="1:24" ht="12.75" customHeight="1" x14ac:dyDescent="0.2">
      <c r="A250" s="1"/>
      <c r="B250" s="1"/>
      <c r="C250" s="89"/>
      <c r="D250" s="89"/>
      <c r="E250" s="93"/>
      <c r="F250" s="93"/>
      <c r="G250" s="1"/>
      <c r="H250" s="1"/>
      <c r="I250" s="1"/>
      <c r="J250" s="1"/>
      <c r="K250" s="1"/>
      <c r="L250" s="1"/>
      <c r="M250" s="1"/>
      <c r="N250" s="1"/>
      <c r="O250" s="1"/>
      <c r="P250" s="1"/>
      <c r="Q250" s="1"/>
      <c r="R250" s="1"/>
      <c r="S250" s="1"/>
      <c r="T250" s="1"/>
      <c r="U250" s="1"/>
      <c r="V250" s="1"/>
      <c r="W250" s="1"/>
      <c r="X250" s="1"/>
    </row>
    <row r="251" spans="1:24" ht="12.75" customHeight="1" x14ac:dyDescent="0.2">
      <c r="A251" s="1"/>
      <c r="B251" s="1"/>
      <c r="C251" s="89"/>
      <c r="D251" s="89"/>
      <c r="E251" s="93"/>
      <c r="F251" s="93"/>
      <c r="G251" s="1"/>
      <c r="H251" s="1"/>
      <c r="I251" s="1"/>
      <c r="J251" s="1"/>
      <c r="K251" s="1"/>
      <c r="L251" s="1"/>
      <c r="M251" s="1"/>
      <c r="N251" s="1"/>
      <c r="O251" s="1"/>
      <c r="P251" s="1"/>
      <c r="Q251" s="1"/>
      <c r="R251" s="1"/>
      <c r="S251" s="1"/>
      <c r="T251" s="1"/>
      <c r="U251" s="1"/>
      <c r="V251" s="1"/>
      <c r="W251" s="1"/>
      <c r="X251" s="1"/>
    </row>
    <row r="252" spans="1:24" ht="12.75" customHeight="1" x14ac:dyDescent="0.2">
      <c r="A252" s="1"/>
      <c r="B252" s="1"/>
      <c r="C252" s="89"/>
      <c r="D252" s="89"/>
      <c r="E252" s="93"/>
      <c r="F252" s="93"/>
      <c r="G252" s="1"/>
      <c r="H252" s="1"/>
      <c r="I252" s="1"/>
      <c r="J252" s="1"/>
      <c r="K252" s="1"/>
      <c r="L252" s="1"/>
      <c r="M252" s="1"/>
      <c r="N252" s="1"/>
      <c r="O252" s="1"/>
      <c r="P252" s="1"/>
      <c r="Q252" s="1"/>
      <c r="R252" s="1"/>
      <c r="S252" s="1"/>
      <c r="T252" s="1"/>
      <c r="U252" s="1"/>
      <c r="V252" s="1"/>
      <c r="W252" s="1"/>
      <c r="X252" s="1"/>
    </row>
    <row r="253" spans="1:24" ht="12.75" customHeight="1" x14ac:dyDescent="0.2">
      <c r="A253" s="1"/>
      <c r="B253" s="1"/>
      <c r="C253" s="89"/>
      <c r="D253" s="89"/>
      <c r="E253" s="93"/>
      <c r="F253" s="93"/>
      <c r="G253" s="1"/>
      <c r="H253" s="1"/>
      <c r="I253" s="1"/>
      <c r="J253" s="1"/>
      <c r="K253" s="1"/>
      <c r="L253" s="1"/>
      <c r="M253" s="1"/>
      <c r="N253" s="1"/>
      <c r="O253" s="1"/>
      <c r="P253" s="1"/>
      <c r="Q253" s="1"/>
      <c r="R253" s="1"/>
      <c r="S253" s="1"/>
      <c r="T253" s="1"/>
      <c r="U253" s="1"/>
      <c r="V253" s="1"/>
      <c r="W253" s="1"/>
      <c r="X253" s="1"/>
    </row>
    <row r="254" spans="1:24" ht="12.75" customHeight="1" x14ac:dyDescent="0.2">
      <c r="A254" s="1"/>
      <c r="B254" s="1"/>
      <c r="C254" s="89"/>
      <c r="D254" s="89"/>
      <c r="E254" s="93"/>
      <c r="F254" s="93"/>
      <c r="G254" s="1"/>
      <c r="H254" s="1"/>
      <c r="I254" s="1"/>
      <c r="J254" s="1"/>
      <c r="K254" s="1"/>
      <c r="L254" s="1"/>
      <c r="M254" s="1"/>
      <c r="N254" s="1"/>
      <c r="O254" s="1"/>
      <c r="P254" s="1"/>
      <c r="Q254" s="1"/>
      <c r="R254" s="1"/>
      <c r="S254" s="1"/>
      <c r="T254" s="1"/>
      <c r="U254" s="1"/>
      <c r="V254" s="1"/>
      <c r="W254" s="1"/>
      <c r="X254" s="1"/>
    </row>
    <row r="255" spans="1:24" ht="12.75" customHeight="1" x14ac:dyDescent="0.2">
      <c r="A255" s="1"/>
      <c r="B255" s="1"/>
      <c r="C255" s="89"/>
      <c r="D255" s="89"/>
      <c r="E255" s="93"/>
      <c r="F255" s="93"/>
      <c r="G255" s="1"/>
      <c r="H255" s="1"/>
      <c r="I255" s="1"/>
      <c r="J255" s="1"/>
      <c r="K255" s="1"/>
      <c r="L255" s="1"/>
      <c r="M255" s="1"/>
      <c r="N255" s="1"/>
      <c r="O255" s="1"/>
      <c r="P255" s="1"/>
      <c r="Q255" s="1"/>
      <c r="R255" s="1"/>
      <c r="S255" s="1"/>
      <c r="T255" s="1"/>
      <c r="U255" s="1"/>
      <c r="V255" s="1"/>
      <c r="W255" s="1"/>
      <c r="X255" s="1"/>
    </row>
    <row r="256" spans="1:24" ht="12.75" customHeight="1" x14ac:dyDescent="0.2">
      <c r="A256" s="1"/>
      <c r="B256" s="1"/>
      <c r="C256" s="89"/>
      <c r="D256" s="89"/>
      <c r="E256" s="93"/>
      <c r="F256" s="93"/>
      <c r="G256" s="1"/>
      <c r="H256" s="1"/>
      <c r="I256" s="1"/>
      <c r="J256" s="1"/>
      <c r="K256" s="1"/>
      <c r="L256" s="1"/>
      <c r="M256" s="1"/>
      <c r="N256" s="1"/>
      <c r="O256" s="1"/>
      <c r="P256" s="1"/>
      <c r="Q256" s="1"/>
      <c r="R256" s="1"/>
      <c r="S256" s="1"/>
      <c r="T256" s="1"/>
      <c r="U256" s="1"/>
      <c r="V256" s="1"/>
      <c r="W256" s="1"/>
      <c r="X256" s="1"/>
    </row>
    <row r="257" spans="1:24" ht="12.75" customHeight="1" x14ac:dyDescent="0.2">
      <c r="A257" s="1"/>
      <c r="B257" s="1"/>
      <c r="C257" s="89"/>
      <c r="D257" s="89"/>
      <c r="E257" s="93"/>
      <c r="F257" s="93"/>
      <c r="G257" s="1"/>
      <c r="H257" s="1"/>
      <c r="I257" s="1"/>
      <c r="J257" s="1"/>
      <c r="K257" s="1"/>
      <c r="L257" s="1"/>
      <c r="M257" s="1"/>
      <c r="N257" s="1"/>
      <c r="O257" s="1"/>
      <c r="P257" s="1"/>
      <c r="Q257" s="1"/>
      <c r="R257" s="1"/>
      <c r="S257" s="1"/>
      <c r="T257" s="1"/>
      <c r="U257" s="1"/>
      <c r="V257" s="1"/>
      <c r="W257" s="1"/>
      <c r="X257" s="1"/>
    </row>
    <row r="258" spans="1:24" ht="12.75" customHeight="1" x14ac:dyDescent="0.2">
      <c r="A258" s="1"/>
      <c r="B258" s="1"/>
      <c r="C258" s="89"/>
      <c r="D258" s="89"/>
      <c r="E258" s="93"/>
      <c r="F258" s="93"/>
      <c r="G258" s="1"/>
      <c r="H258" s="1"/>
      <c r="I258" s="1"/>
      <c r="J258" s="1"/>
      <c r="K258" s="1"/>
      <c r="L258" s="1"/>
      <c r="M258" s="1"/>
      <c r="N258" s="1"/>
      <c r="O258" s="1"/>
      <c r="P258" s="1"/>
      <c r="Q258" s="1"/>
      <c r="R258" s="1"/>
      <c r="S258" s="1"/>
      <c r="T258" s="1"/>
      <c r="U258" s="1"/>
      <c r="V258" s="1"/>
      <c r="W258" s="1"/>
      <c r="X258" s="1"/>
    </row>
    <row r="259" spans="1:24" ht="12.75" customHeight="1" x14ac:dyDescent="0.2">
      <c r="A259" s="1"/>
      <c r="B259" s="1"/>
      <c r="C259" s="89"/>
      <c r="D259" s="89"/>
      <c r="E259" s="93"/>
      <c r="F259" s="93"/>
      <c r="G259" s="1"/>
      <c r="H259" s="1"/>
      <c r="I259" s="1"/>
      <c r="J259" s="1"/>
      <c r="K259" s="1"/>
      <c r="L259" s="1"/>
      <c r="M259" s="1"/>
      <c r="N259" s="1"/>
      <c r="O259" s="1"/>
      <c r="P259" s="1"/>
      <c r="Q259" s="1"/>
      <c r="R259" s="1"/>
      <c r="S259" s="1"/>
      <c r="T259" s="1"/>
      <c r="U259" s="1"/>
      <c r="V259" s="1"/>
      <c r="W259" s="1"/>
      <c r="X259" s="1"/>
    </row>
    <row r="260" spans="1:24" ht="12.75" customHeight="1" x14ac:dyDescent="0.2">
      <c r="A260" s="1"/>
      <c r="B260" s="1"/>
      <c r="C260" s="89"/>
      <c r="D260" s="89"/>
      <c r="E260" s="93"/>
      <c r="F260" s="93"/>
      <c r="G260" s="1"/>
      <c r="H260" s="1"/>
      <c r="I260" s="1"/>
      <c r="J260" s="1"/>
      <c r="K260" s="1"/>
      <c r="L260" s="1"/>
      <c r="M260" s="1"/>
      <c r="N260" s="1"/>
      <c r="O260" s="1"/>
      <c r="P260" s="1"/>
      <c r="Q260" s="1"/>
      <c r="R260" s="1"/>
      <c r="S260" s="1"/>
      <c r="T260" s="1"/>
      <c r="U260" s="1"/>
      <c r="V260" s="1"/>
      <c r="W260" s="1"/>
      <c r="X260" s="1"/>
    </row>
    <row r="261" spans="1:24" ht="12.75" customHeight="1" x14ac:dyDescent="0.2">
      <c r="A261" s="1"/>
      <c r="B261" s="1"/>
      <c r="C261" s="89"/>
      <c r="D261" s="89"/>
      <c r="E261" s="93"/>
      <c r="F261" s="93"/>
      <c r="G261" s="1"/>
      <c r="H261" s="1"/>
      <c r="I261" s="1"/>
      <c r="J261" s="1"/>
      <c r="K261" s="1"/>
      <c r="L261" s="1"/>
      <c r="M261" s="1"/>
      <c r="N261" s="1"/>
      <c r="O261" s="1"/>
      <c r="P261" s="1"/>
      <c r="Q261" s="1"/>
      <c r="R261" s="1"/>
      <c r="S261" s="1"/>
      <c r="T261" s="1"/>
      <c r="U261" s="1"/>
      <c r="V261" s="1"/>
      <c r="W261" s="1"/>
      <c r="X261" s="1"/>
    </row>
    <row r="262" spans="1:24" ht="12.75" customHeight="1" x14ac:dyDescent="0.2">
      <c r="A262" s="1"/>
      <c r="B262" s="1"/>
      <c r="C262" s="89"/>
      <c r="D262" s="89"/>
      <c r="E262" s="93"/>
      <c r="F262" s="93"/>
      <c r="G262" s="1"/>
      <c r="H262" s="1"/>
      <c r="I262" s="1"/>
      <c r="J262" s="1"/>
      <c r="K262" s="1"/>
      <c r="L262" s="1"/>
      <c r="M262" s="1"/>
      <c r="N262" s="1"/>
      <c r="O262" s="1"/>
      <c r="P262" s="1"/>
      <c r="Q262" s="1"/>
      <c r="R262" s="1"/>
      <c r="S262" s="1"/>
      <c r="T262" s="1"/>
      <c r="U262" s="1"/>
      <c r="V262" s="1"/>
      <c r="W262" s="1"/>
      <c r="X262" s="1"/>
    </row>
    <row r="263" spans="1:24" ht="12.75" customHeight="1" x14ac:dyDescent="0.2">
      <c r="A263" s="1"/>
      <c r="B263" s="1"/>
      <c r="C263" s="89"/>
      <c r="D263" s="89"/>
      <c r="E263" s="93"/>
      <c r="F263" s="93"/>
      <c r="G263" s="1"/>
      <c r="H263" s="1"/>
      <c r="I263" s="1"/>
      <c r="J263" s="1"/>
      <c r="K263" s="1"/>
      <c r="L263" s="1"/>
      <c r="M263" s="1"/>
      <c r="N263" s="1"/>
      <c r="O263" s="1"/>
      <c r="P263" s="1"/>
      <c r="Q263" s="1"/>
      <c r="R263" s="1"/>
      <c r="S263" s="1"/>
      <c r="T263" s="1"/>
      <c r="U263" s="1"/>
      <c r="V263" s="1"/>
      <c r="W263" s="1"/>
      <c r="X263" s="1"/>
    </row>
    <row r="264" spans="1:24" ht="12.75" customHeight="1" x14ac:dyDescent="0.2">
      <c r="A264" s="1"/>
      <c r="B264" s="1"/>
      <c r="C264" s="89"/>
      <c r="D264" s="89"/>
      <c r="E264" s="93"/>
      <c r="F264" s="93"/>
      <c r="G264" s="1"/>
      <c r="H264" s="1"/>
      <c r="I264" s="1"/>
      <c r="J264" s="1"/>
      <c r="K264" s="1"/>
      <c r="L264" s="1"/>
      <c r="M264" s="1"/>
      <c r="N264" s="1"/>
      <c r="O264" s="1"/>
      <c r="P264" s="1"/>
      <c r="Q264" s="1"/>
      <c r="R264" s="1"/>
      <c r="S264" s="1"/>
      <c r="T264" s="1"/>
      <c r="U264" s="1"/>
      <c r="V264" s="1"/>
      <c r="W264" s="1"/>
      <c r="X264" s="1"/>
    </row>
    <row r="265" spans="1:24" ht="12.75" customHeight="1" x14ac:dyDescent="0.2">
      <c r="A265" s="1"/>
      <c r="B265" s="1"/>
      <c r="C265" s="89"/>
      <c r="D265" s="89"/>
      <c r="E265" s="93"/>
      <c r="F265" s="93"/>
      <c r="G265" s="1"/>
      <c r="H265" s="1"/>
      <c r="I265" s="1"/>
      <c r="J265" s="1"/>
      <c r="K265" s="1"/>
      <c r="L265" s="1"/>
      <c r="M265" s="1"/>
      <c r="N265" s="1"/>
      <c r="O265" s="1"/>
      <c r="P265" s="1"/>
      <c r="Q265" s="1"/>
      <c r="R265" s="1"/>
      <c r="S265" s="1"/>
      <c r="T265" s="1"/>
      <c r="U265" s="1"/>
      <c r="V265" s="1"/>
      <c r="W265" s="1"/>
      <c r="X265" s="1"/>
    </row>
    <row r="266" spans="1:24" ht="12.75" customHeight="1" x14ac:dyDescent="0.2">
      <c r="A266" s="1"/>
      <c r="B266" s="1"/>
      <c r="C266" s="89"/>
      <c r="D266" s="89"/>
      <c r="E266" s="93"/>
      <c r="F266" s="93"/>
      <c r="G266" s="1"/>
      <c r="H266" s="1"/>
      <c r="I266" s="1"/>
      <c r="J266" s="1"/>
      <c r="K266" s="1"/>
      <c r="L266" s="1"/>
      <c r="M266" s="1"/>
      <c r="N266" s="1"/>
      <c r="O266" s="1"/>
      <c r="P266" s="1"/>
      <c r="Q266" s="1"/>
      <c r="R266" s="1"/>
      <c r="S266" s="1"/>
      <c r="T266" s="1"/>
      <c r="U266" s="1"/>
      <c r="V266" s="1"/>
      <c r="W266" s="1"/>
      <c r="X266" s="1"/>
    </row>
    <row r="267" spans="1:24" ht="12.75" customHeight="1" x14ac:dyDescent="0.2">
      <c r="A267" s="1"/>
      <c r="B267" s="1"/>
      <c r="C267" s="89"/>
      <c r="D267" s="89"/>
      <c r="E267" s="93"/>
      <c r="F267" s="93"/>
      <c r="G267" s="1"/>
      <c r="H267" s="1"/>
      <c r="I267" s="1"/>
      <c r="J267" s="1"/>
      <c r="K267" s="1"/>
      <c r="L267" s="1"/>
      <c r="M267" s="1"/>
      <c r="N267" s="1"/>
      <c r="O267" s="1"/>
      <c r="P267" s="1"/>
      <c r="Q267" s="1"/>
      <c r="R267" s="1"/>
      <c r="S267" s="1"/>
      <c r="T267" s="1"/>
      <c r="U267" s="1"/>
      <c r="V267" s="1"/>
      <c r="W267" s="1"/>
      <c r="X267" s="1"/>
    </row>
    <row r="268" spans="1:24" ht="12.75" customHeight="1" x14ac:dyDescent="0.2">
      <c r="A268" s="1"/>
      <c r="B268" s="1"/>
      <c r="C268" s="89"/>
      <c r="D268" s="89"/>
      <c r="E268" s="93"/>
      <c r="F268" s="93"/>
      <c r="G268" s="1"/>
      <c r="H268" s="1"/>
      <c r="I268" s="1"/>
      <c r="J268" s="1"/>
      <c r="K268" s="1"/>
      <c r="L268" s="1"/>
      <c r="M268" s="1"/>
      <c r="N268" s="1"/>
      <c r="O268" s="1"/>
      <c r="P268" s="1"/>
      <c r="Q268" s="1"/>
      <c r="R268" s="1"/>
      <c r="S268" s="1"/>
      <c r="T268" s="1"/>
      <c r="U268" s="1"/>
      <c r="V268" s="1"/>
      <c r="W268" s="1"/>
      <c r="X268" s="1"/>
    </row>
    <row r="269" spans="1:24" ht="12.75" customHeight="1" x14ac:dyDescent="0.2">
      <c r="A269" s="1"/>
      <c r="B269" s="1"/>
      <c r="C269" s="89"/>
      <c r="D269" s="89"/>
      <c r="E269" s="93"/>
      <c r="F269" s="93"/>
      <c r="G269" s="1"/>
      <c r="H269" s="1"/>
      <c r="I269" s="1"/>
      <c r="J269" s="1"/>
      <c r="K269" s="1"/>
      <c r="L269" s="1"/>
      <c r="M269" s="1"/>
      <c r="N269" s="1"/>
      <c r="O269" s="1"/>
      <c r="P269" s="1"/>
      <c r="Q269" s="1"/>
      <c r="R269" s="1"/>
      <c r="S269" s="1"/>
      <c r="T269" s="1"/>
      <c r="U269" s="1"/>
      <c r="V269" s="1"/>
      <c r="W269" s="1"/>
      <c r="X269" s="1"/>
    </row>
    <row r="270" spans="1:24" ht="12.75" customHeight="1" x14ac:dyDescent="0.2">
      <c r="A270" s="1"/>
      <c r="B270" s="1"/>
      <c r="C270" s="89"/>
      <c r="D270" s="89"/>
      <c r="E270" s="93"/>
      <c r="F270" s="93"/>
      <c r="G270" s="1"/>
      <c r="H270" s="1"/>
      <c r="I270" s="1"/>
      <c r="J270" s="1"/>
      <c r="K270" s="1"/>
      <c r="L270" s="1"/>
      <c r="M270" s="1"/>
      <c r="N270" s="1"/>
      <c r="O270" s="1"/>
      <c r="P270" s="1"/>
      <c r="Q270" s="1"/>
      <c r="R270" s="1"/>
      <c r="S270" s="1"/>
      <c r="T270" s="1"/>
      <c r="U270" s="1"/>
      <c r="V270" s="1"/>
      <c r="W270" s="1"/>
      <c r="X270" s="1"/>
    </row>
    <row r="271" spans="1:24" ht="12.75" customHeight="1" x14ac:dyDescent="0.2">
      <c r="A271" s="1"/>
      <c r="B271" s="1"/>
      <c r="C271" s="89"/>
      <c r="D271" s="89"/>
      <c r="E271" s="93"/>
      <c r="F271" s="93"/>
      <c r="G271" s="1"/>
      <c r="H271" s="1"/>
      <c r="I271" s="1"/>
      <c r="J271" s="1"/>
      <c r="K271" s="1"/>
      <c r="L271" s="1"/>
      <c r="M271" s="1"/>
      <c r="N271" s="1"/>
      <c r="O271" s="1"/>
      <c r="P271" s="1"/>
      <c r="Q271" s="1"/>
      <c r="R271" s="1"/>
      <c r="S271" s="1"/>
      <c r="T271" s="1"/>
      <c r="U271" s="1"/>
      <c r="V271" s="1"/>
      <c r="W271" s="1"/>
      <c r="X271" s="1"/>
    </row>
    <row r="272" spans="1:24" ht="12.75" customHeight="1" x14ac:dyDescent="0.2">
      <c r="A272" s="1"/>
      <c r="B272" s="1"/>
      <c r="C272" s="89"/>
      <c r="D272" s="89"/>
      <c r="E272" s="93"/>
      <c r="F272" s="93"/>
      <c r="G272" s="1"/>
      <c r="H272" s="1"/>
      <c r="I272" s="1"/>
      <c r="J272" s="1"/>
      <c r="K272" s="1"/>
      <c r="L272" s="1"/>
      <c r="M272" s="1"/>
      <c r="N272" s="1"/>
      <c r="O272" s="1"/>
      <c r="P272" s="1"/>
      <c r="Q272" s="1"/>
      <c r="R272" s="1"/>
      <c r="S272" s="1"/>
      <c r="T272" s="1"/>
      <c r="U272" s="1"/>
      <c r="V272" s="1"/>
      <c r="W272" s="1"/>
      <c r="X272" s="1"/>
    </row>
    <row r="273" spans="1:24" ht="12.75" customHeight="1" x14ac:dyDescent="0.2">
      <c r="A273" s="1"/>
      <c r="B273" s="1"/>
      <c r="C273" s="89"/>
      <c r="D273" s="89"/>
      <c r="E273" s="93"/>
      <c r="F273" s="93"/>
      <c r="G273" s="1"/>
      <c r="H273" s="1"/>
      <c r="I273" s="1"/>
      <c r="J273" s="1"/>
      <c r="K273" s="1"/>
      <c r="L273" s="1"/>
      <c r="M273" s="1"/>
      <c r="N273" s="1"/>
      <c r="O273" s="1"/>
      <c r="P273" s="1"/>
      <c r="Q273" s="1"/>
      <c r="R273" s="1"/>
      <c r="S273" s="1"/>
      <c r="T273" s="1"/>
      <c r="U273" s="1"/>
      <c r="V273" s="1"/>
      <c r="W273" s="1"/>
      <c r="X273" s="1"/>
    </row>
    <row r="274" spans="1:24" ht="12.75" customHeight="1" x14ac:dyDescent="0.2">
      <c r="A274" s="1"/>
      <c r="B274" s="1"/>
      <c r="C274" s="89"/>
      <c r="D274" s="89"/>
      <c r="E274" s="93"/>
      <c r="F274" s="93"/>
      <c r="G274" s="1"/>
      <c r="H274" s="1"/>
      <c r="I274" s="1"/>
      <c r="J274" s="1"/>
      <c r="K274" s="1"/>
      <c r="L274" s="1"/>
      <c r="M274" s="1"/>
      <c r="N274" s="1"/>
      <c r="O274" s="1"/>
      <c r="P274" s="1"/>
      <c r="Q274" s="1"/>
      <c r="R274" s="1"/>
      <c r="S274" s="1"/>
      <c r="T274" s="1"/>
      <c r="U274" s="1"/>
      <c r="V274" s="1"/>
      <c r="W274" s="1"/>
      <c r="X274" s="1"/>
    </row>
    <row r="275" spans="1:24" ht="12.75" customHeight="1" x14ac:dyDescent="0.2">
      <c r="A275" s="1"/>
      <c r="B275" s="1"/>
      <c r="C275" s="89"/>
      <c r="D275" s="89"/>
      <c r="E275" s="93"/>
      <c r="F275" s="93"/>
      <c r="G275" s="1"/>
      <c r="H275" s="1"/>
      <c r="I275" s="1"/>
      <c r="J275" s="1"/>
      <c r="K275" s="1"/>
      <c r="L275" s="1"/>
      <c r="M275" s="1"/>
      <c r="N275" s="1"/>
      <c r="O275" s="1"/>
      <c r="P275" s="1"/>
      <c r="Q275" s="1"/>
      <c r="R275" s="1"/>
      <c r="S275" s="1"/>
      <c r="T275" s="1"/>
      <c r="U275" s="1"/>
      <c r="V275" s="1"/>
      <c r="W275" s="1"/>
      <c r="X275" s="1"/>
    </row>
    <row r="276" spans="1:24" ht="12.75" customHeight="1" x14ac:dyDescent="0.2">
      <c r="A276" s="1"/>
      <c r="B276" s="1"/>
      <c r="C276" s="89"/>
      <c r="D276" s="89"/>
      <c r="E276" s="93"/>
      <c r="F276" s="93"/>
      <c r="G276" s="1"/>
      <c r="H276" s="1"/>
      <c r="I276" s="1"/>
      <c r="J276" s="1"/>
      <c r="K276" s="1"/>
      <c r="L276" s="1"/>
      <c r="M276" s="1"/>
      <c r="N276" s="1"/>
      <c r="O276" s="1"/>
      <c r="P276" s="1"/>
      <c r="Q276" s="1"/>
      <c r="R276" s="1"/>
      <c r="S276" s="1"/>
      <c r="T276" s="1"/>
      <c r="U276" s="1"/>
      <c r="V276" s="1"/>
      <c r="W276" s="1"/>
      <c r="X276" s="1"/>
    </row>
    <row r="277" spans="1:24" ht="12.75" customHeight="1" x14ac:dyDescent="0.2">
      <c r="A277" s="1"/>
      <c r="B277" s="1"/>
      <c r="C277" s="89"/>
      <c r="D277" s="89"/>
      <c r="E277" s="93"/>
      <c r="F277" s="93"/>
      <c r="G277" s="1"/>
      <c r="H277" s="1"/>
      <c r="I277" s="1"/>
      <c r="J277" s="1"/>
      <c r="K277" s="1"/>
      <c r="L277" s="1"/>
      <c r="M277" s="1"/>
      <c r="N277" s="1"/>
      <c r="O277" s="1"/>
      <c r="P277" s="1"/>
      <c r="Q277" s="1"/>
      <c r="R277" s="1"/>
      <c r="S277" s="1"/>
      <c r="T277" s="1"/>
      <c r="U277" s="1"/>
      <c r="V277" s="1"/>
      <c r="W277" s="1"/>
      <c r="X277" s="1"/>
    </row>
    <row r="278" spans="1:24" ht="12.75" customHeight="1" x14ac:dyDescent="0.2">
      <c r="A278" s="1"/>
      <c r="B278" s="1"/>
      <c r="C278" s="89"/>
      <c r="D278" s="89"/>
      <c r="E278" s="93"/>
      <c r="F278" s="93"/>
      <c r="G278" s="1"/>
      <c r="H278" s="1"/>
      <c r="I278" s="1"/>
      <c r="J278" s="1"/>
      <c r="K278" s="1"/>
      <c r="L278" s="1"/>
      <c r="M278" s="1"/>
      <c r="N278" s="1"/>
      <c r="O278" s="1"/>
      <c r="P278" s="1"/>
      <c r="Q278" s="1"/>
      <c r="R278" s="1"/>
      <c r="S278" s="1"/>
      <c r="T278" s="1"/>
      <c r="U278" s="1"/>
      <c r="V278" s="1"/>
      <c r="W278" s="1"/>
      <c r="X278" s="1"/>
    </row>
    <row r="279" spans="1:24" ht="12.75" customHeight="1" x14ac:dyDescent="0.2">
      <c r="A279" s="1"/>
      <c r="B279" s="1"/>
      <c r="C279" s="89"/>
      <c r="D279" s="89"/>
      <c r="E279" s="93"/>
      <c r="F279" s="93"/>
      <c r="G279" s="1"/>
      <c r="H279" s="1"/>
      <c r="I279" s="1"/>
      <c r="J279" s="1"/>
      <c r="K279" s="1"/>
      <c r="L279" s="1"/>
      <c r="M279" s="1"/>
      <c r="N279" s="1"/>
      <c r="O279" s="1"/>
      <c r="P279" s="1"/>
      <c r="Q279" s="1"/>
      <c r="R279" s="1"/>
      <c r="S279" s="1"/>
      <c r="T279" s="1"/>
      <c r="U279" s="1"/>
      <c r="V279" s="1"/>
      <c r="W279" s="1"/>
      <c r="X279" s="1"/>
    </row>
    <row r="280" spans="1:24" ht="12.75" customHeight="1" x14ac:dyDescent="0.2">
      <c r="A280" s="1"/>
      <c r="B280" s="1"/>
      <c r="C280" s="89"/>
      <c r="D280" s="89"/>
      <c r="E280" s="93"/>
      <c r="F280" s="93"/>
      <c r="G280" s="1"/>
      <c r="H280" s="1"/>
      <c r="I280" s="1"/>
      <c r="J280" s="1"/>
      <c r="K280" s="1"/>
      <c r="L280" s="1"/>
      <c r="M280" s="1"/>
      <c r="N280" s="1"/>
      <c r="O280" s="1"/>
      <c r="P280" s="1"/>
      <c r="Q280" s="1"/>
      <c r="R280" s="1"/>
      <c r="S280" s="1"/>
      <c r="T280" s="1"/>
      <c r="U280" s="1"/>
      <c r="V280" s="1"/>
      <c r="W280" s="1"/>
      <c r="X280" s="1"/>
    </row>
    <row r="281" spans="1:24" ht="12.75" customHeight="1" x14ac:dyDescent="0.2">
      <c r="A281" s="1"/>
      <c r="B281" s="1"/>
      <c r="C281" s="89"/>
      <c r="D281" s="89"/>
      <c r="E281" s="93"/>
      <c r="F281" s="93"/>
      <c r="G281" s="1"/>
      <c r="H281" s="1"/>
      <c r="I281" s="1"/>
      <c r="J281" s="1"/>
      <c r="K281" s="1"/>
      <c r="L281" s="1"/>
      <c r="M281" s="1"/>
      <c r="N281" s="1"/>
      <c r="O281" s="1"/>
      <c r="P281" s="1"/>
      <c r="Q281" s="1"/>
      <c r="R281" s="1"/>
      <c r="S281" s="1"/>
      <c r="T281" s="1"/>
      <c r="U281" s="1"/>
      <c r="V281" s="1"/>
      <c r="W281" s="1"/>
      <c r="X281" s="1"/>
    </row>
    <row r="282" spans="1:24" ht="12.75" customHeight="1" x14ac:dyDescent="0.2">
      <c r="A282" s="1"/>
      <c r="B282" s="1"/>
      <c r="C282" s="89"/>
      <c r="D282" s="89"/>
      <c r="E282" s="93"/>
      <c r="F282" s="93"/>
      <c r="G282" s="1"/>
      <c r="H282" s="1"/>
      <c r="I282" s="1"/>
      <c r="J282" s="1"/>
      <c r="K282" s="1"/>
      <c r="L282" s="1"/>
      <c r="M282" s="1"/>
      <c r="N282" s="1"/>
      <c r="O282" s="1"/>
      <c r="P282" s="1"/>
      <c r="Q282" s="1"/>
      <c r="R282" s="1"/>
      <c r="S282" s="1"/>
      <c r="T282" s="1"/>
      <c r="U282" s="1"/>
      <c r="V282" s="1"/>
      <c r="W282" s="1"/>
      <c r="X282" s="1"/>
    </row>
    <row r="283" spans="1:24" ht="12.75" customHeight="1" x14ac:dyDescent="0.2">
      <c r="A283" s="1"/>
      <c r="B283" s="1"/>
      <c r="C283" s="89"/>
      <c r="D283" s="89"/>
      <c r="E283" s="93"/>
      <c r="F283" s="93"/>
      <c r="G283" s="1"/>
      <c r="H283" s="1"/>
      <c r="I283" s="1"/>
      <c r="J283" s="1"/>
      <c r="K283" s="1"/>
      <c r="L283" s="1"/>
      <c r="M283" s="1"/>
      <c r="N283" s="1"/>
      <c r="O283" s="1"/>
      <c r="P283" s="1"/>
      <c r="Q283" s="1"/>
      <c r="R283" s="1"/>
      <c r="S283" s="1"/>
      <c r="T283" s="1"/>
      <c r="U283" s="1"/>
      <c r="V283" s="1"/>
      <c r="W283" s="1"/>
      <c r="X283" s="1"/>
    </row>
    <row r="284" spans="1:24" ht="12.75" customHeight="1" x14ac:dyDescent="0.2">
      <c r="A284" s="1"/>
      <c r="B284" s="1"/>
      <c r="C284" s="89"/>
      <c r="D284" s="89"/>
      <c r="E284" s="93"/>
      <c r="F284" s="93"/>
      <c r="G284" s="1"/>
      <c r="H284" s="1"/>
      <c r="I284" s="1"/>
      <c r="J284" s="1"/>
      <c r="K284" s="1"/>
      <c r="L284" s="1"/>
      <c r="M284" s="1"/>
      <c r="N284" s="1"/>
      <c r="O284" s="1"/>
      <c r="P284" s="1"/>
      <c r="Q284" s="1"/>
      <c r="R284" s="1"/>
      <c r="S284" s="1"/>
      <c r="T284" s="1"/>
      <c r="U284" s="1"/>
      <c r="V284" s="1"/>
      <c r="W284" s="1"/>
      <c r="X284" s="1"/>
    </row>
    <row r="285" spans="1:24" ht="12.75" customHeight="1" x14ac:dyDescent="0.2">
      <c r="A285" s="1"/>
      <c r="B285" s="1"/>
      <c r="C285" s="89"/>
      <c r="D285" s="89"/>
      <c r="E285" s="93"/>
      <c r="F285" s="93"/>
      <c r="G285" s="1"/>
      <c r="H285" s="1"/>
      <c r="I285" s="1"/>
      <c r="J285" s="1"/>
      <c r="K285" s="1"/>
      <c r="L285" s="1"/>
      <c r="M285" s="1"/>
      <c r="N285" s="1"/>
      <c r="O285" s="1"/>
      <c r="P285" s="1"/>
      <c r="Q285" s="1"/>
      <c r="R285" s="1"/>
      <c r="S285" s="1"/>
      <c r="T285" s="1"/>
      <c r="U285" s="1"/>
      <c r="V285" s="1"/>
      <c r="W285" s="1"/>
      <c r="X285" s="1"/>
    </row>
    <row r="286" spans="1:24" ht="12.75" customHeight="1" x14ac:dyDescent="0.2">
      <c r="A286" s="1"/>
      <c r="B286" s="1"/>
      <c r="C286" s="89"/>
      <c r="D286" s="89"/>
      <c r="E286" s="93"/>
      <c r="F286" s="93"/>
      <c r="G286" s="1"/>
      <c r="H286" s="1"/>
      <c r="I286" s="1"/>
      <c r="J286" s="1"/>
      <c r="K286" s="1"/>
      <c r="L286" s="1"/>
      <c r="M286" s="1"/>
      <c r="N286" s="1"/>
      <c r="O286" s="1"/>
      <c r="P286" s="1"/>
      <c r="Q286" s="1"/>
      <c r="R286" s="1"/>
      <c r="S286" s="1"/>
      <c r="T286" s="1"/>
      <c r="U286" s="1"/>
      <c r="V286" s="1"/>
      <c r="W286" s="1"/>
      <c r="X286" s="1"/>
    </row>
    <row r="287" spans="1:24" ht="12.75" customHeight="1" x14ac:dyDescent="0.2">
      <c r="A287" s="1"/>
      <c r="B287" s="1"/>
      <c r="C287" s="89"/>
      <c r="D287" s="89"/>
      <c r="E287" s="93"/>
      <c r="F287" s="93"/>
      <c r="G287" s="1"/>
      <c r="H287" s="1"/>
      <c r="I287" s="1"/>
      <c r="J287" s="1"/>
      <c r="K287" s="1"/>
      <c r="L287" s="1"/>
      <c r="M287" s="1"/>
      <c r="N287" s="1"/>
      <c r="O287" s="1"/>
      <c r="P287" s="1"/>
      <c r="Q287" s="1"/>
      <c r="R287" s="1"/>
      <c r="S287" s="1"/>
      <c r="T287" s="1"/>
      <c r="U287" s="1"/>
      <c r="V287" s="1"/>
      <c r="W287" s="1"/>
      <c r="X287" s="1"/>
    </row>
    <row r="288" spans="1:24" ht="12.75" customHeight="1" x14ac:dyDescent="0.2">
      <c r="A288" s="1"/>
      <c r="B288" s="1"/>
      <c r="C288" s="89"/>
      <c r="D288" s="89"/>
      <c r="E288" s="93"/>
      <c r="F288" s="93"/>
      <c r="G288" s="1"/>
      <c r="H288" s="1"/>
      <c r="I288" s="1"/>
      <c r="J288" s="1"/>
      <c r="K288" s="1"/>
      <c r="L288" s="1"/>
      <c r="M288" s="1"/>
      <c r="N288" s="1"/>
      <c r="O288" s="1"/>
      <c r="P288" s="1"/>
      <c r="Q288" s="1"/>
      <c r="R288" s="1"/>
      <c r="S288" s="1"/>
      <c r="T288" s="1"/>
      <c r="U288" s="1"/>
      <c r="V288" s="1"/>
      <c r="W288" s="1"/>
      <c r="X288" s="1"/>
    </row>
    <row r="289" spans="1:24" ht="12.75" customHeight="1" x14ac:dyDescent="0.2">
      <c r="A289" s="1"/>
      <c r="B289" s="1"/>
      <c r="C289" s="89"/>
      <c r="D289" s="89"/>
      <c r="E289" s="93"/>
      <c r="F289" s="93"/>
      <c r="G289" s="1"/>
      <c r="H289" s="1"/>
      <c r="I289" s="1"/>
      <c r="J289" s="1"/>
      <c r="K289" s="1"/>
      <c r="L289" s="1"/>
      <c r="M289" s="1"/>
      <c r="N289" s="1"/>
      <c r="O289" s="1"/>
      <c r="P289" s="1"/>
      <c r="Q289" s="1"/>
      <c r="R289" s="1"/>
      <c r="S289" s="1"/>
      <c r="T289" s="1"/>
      <c r="U289" s="1"/>
      <c r="V289" s="1"/>
      <c r="W289" s="1"/>
      <c r="X289" s="1"/>
    </row>
    <row r="290" spans="1:24" ht="12.75" customHeight="1" x14ac:dyDescent="0.2">
      <c r="A290" s="1"/>
      <c r="B290" s="1"/>
      <c r="C290" s="89"/>
      <c r="D290" s="89"/>
      <c r="E290" s="93"/>
      <c r="F290" s="93"/>
      <c r="G290" s="1"/>
      <c r="H290" s="1"/>
      <c r="I290" s="1"/>
      <c r="J290" s="1"/>
      <c r="K290" s="1"/>
      <c r="L290" s="1"/>
      <c r="M290" s="1"/>
      <c r="N290" s="1"/>
      <c r="O290" s="1"/>
      <c r="P290" s="1"/>
      <c r="Q290" s="1"/>
      <c r="R290" s="1"/>
      <c r="S290" s="1"/>
      <c r="T290" s="1"/>
      <c r="U290" s="1"/>
      <c r="V290" s="1"/>
      <c r="W290" s="1"/>
      <c r="X290" s="1"/>
    </row>
    <row r="291" spans="1:24" ht="12.75" customHeight="1" x14ac:dyDescent="0.2">
      <c r="A291" s="1"/>
      <c r="B291" s="1"/>
      <c r="C291" s="89"/>
      <c r="D291" s="89"/>
      <c r="E291" s="93"/>
      <c r="F291" s="93"/>
      <c r="G291" s="1"/>
      <c r="H291" s="1"/>
      <c r="I291" s="1"/>
      <c r="J291" s="1"/>
      <c r="K291" s="1"/>
      <c r="L291" s="1"/>
      <c r="M291" s="1"/>
      <c r="N291" s="1"/>
      <c r="O291" s="1"/>
      <c r="P291" s="1"/>
      <c r="Q291" s="1"/>
      <c r="R291" s="1"/>
      <c r="S291" s="1"/>
      <c r="T291" s="1"/>
      <c r="U291" s="1"/>
      <c r="V291" s="1"/>
      <c r="W291" s="1"/>
      <c r="X291" s="1"/>
    </row>
    <row r="292" spans="1:24" ht="12.75" customHeight="1" x14ac:dyDescent="0.2">
      <c r="A292" s="1"/>
      <c r="B292" s="1"/>
      <c r="C292" s="89"/>
      <c r="D292" s="89"/>
      <c r="E292" s="93"/>
      <c r="F292" s="93"/>
      <c r="G292" s="1"/>
      <c r="H292" s="1"/>
      <c r="I292" s="1"/>
      <c r="J292" s="1"/>
      <c r="K292" s="1"/>
      <c r="L292" s="1"/>
      <c r="M292" s="1"/>
      <c r="N292" s="1"/>
      <c r="O292" s="1"/>
      <c r="P292" s="1"/>
      <c r="Q292" s="1"/>
      <c r="R292" s="1"/>
      <c r="S292" s="1"/>
      <c r="T292" s="1"/>
      <c r="U292" s="1"/>
      <c r="V292" s="1"/>
      <c r="W292" s="1"/>
      <c r="X292" s="1"/>
    </row>
    <row r="293" spans="1:24" ht="12.75" customHeight="1" x14ac:dyDescent="0.2">
      <c r="A293" s="1"/>
      <c r="B293" s="1"/>
      <c r="C293" s="89"/>
      <c r="D293" s="89"/>
      <c r="E293" s="93"/>
      <c r="F293" s="93"/>
      <c r="G293" s="1"/>
      <c r="H293" s="1"/>
      <c r="I293" s="1"/>
      <c r="J293" s="1"/>
      <c r="K293" s="1"/>
      <c r="L293" s="1"/>
      <c r="M293" s="1"/>
      <c r="N293" s="1"/>
      <c r="O293" s="1"/>
      <c r="P293" s="1"/>
      <c r="Q293" s="1"/>
      <c r="R293" s="1"/>
      <c r="S293" s="1"/>
      <c r="T293" s="1"/>
      <c r="U293" s="1"/>
      <c r="V293" s="1"/>
      <c r="W293" s="1"/>
      <c r="X293" s="1"/>
    </row>
    <row r="294" spans="1:24" ht="12.75" customHeight="1" x14ac:dyDescent="0.2">
      <c r="A294" s="1"/>
      <c r="B294" s="1"/>
      <c r="C294" s="89"/>
      <c r="D294" s="89"/>
      <c r="E294" s="93"/>
      <c r="F294" s="93"/>
      <c r="G294" s="1"/>
      <c r="H294" s="1"/>
      <c r="I294" s="1"/>
      <c r="J294" s="1"/>
      <c r="K294" s="1"/>
      <c r="L294" s="1"/>
      <c r="M294" s="1"/>
      <c r="N294" s="1"/>
      <c r="O294" s="1"/>
      <c r="P294" s="1"/>
      <c r="Q294" s="1"/>
      <c r="R294" s="1"/>
      <c r="S294" s="1"/>
      <c r="T294" s="1"/>
      <c r="U294" s="1"/>
      <c r="V294" s="1"/>
      <c r="W294" s="1"/>
      <c r="X294" s="1"/>
    </row>
    <row r="295" spans="1:24" ht="12.75" customHeight="1" x14ac:dyDescent="0.2">
      <c r="A295" s="1"/>
      <c r="B295" s="1"/>
      <c r="C295" s="89"/>
      <c r="D295" s="89"/>
      <c r="E295" s="93"/>
      <c r="F295" s="93"/>
      <c r="G295" s="1"/>
      <c r="H295" s="1"/>
      <c r="I295" s="1"/>
      <c r="J295" s="1"/>
      <c r="K295" s="1"/>
      <c r="L295" s="1"/>
      <c r="M295" s="1"/>
      <c r="N295" s="1"/>
      <c r="O295" s="1"/>
      <c r="P295" s="1"/>
      <c r="Q295" s="1"/>
      <c r="R295" s="1"/>
      <c r="S295" s="1"/>
      <c r="T295" s="1"/>
      <c r="U295" s="1"/>
      <c r="V295" s="1"/>
      <c r="W295" s="1"/>
      <c r="X295" s="1"/>
    </row>
    <row r="296" spans="1:24" ht="12.75" customHeight="1" x14ac:dyDescent="0.2">
      <c r="A296" s="1"/>
      <c r="B296" s="1"/>
      <c r="C296" s="89"/>
      <c r="D296" s="89"/>
      <c r="E296" s="93"/>
      <c r="F296" s="93"/>
      <c r="G296" s="1"/>
      <c r="H296" s="1"/>
      <c r="I296" s="1"/>
      <c r="J296" s="1"/>
      <c r="K296" s="1"/>
      <c r="L296" s="1"/>
      <c r="M296" s="1"/>
      <c r="N296" s="1"/>
      <c r="O296" s="1"/>
      <c r="P296" s="1"/>
      <c r="Q296" s="1"/>
      <c r="R296" s="1"/>
      <c r="S296" s="1"/>
      <c r="T296" s="1"/>
      <c r="U296" s="1"/>
      <c r="V296" s="1"/>
      <c r="W296" s="1"/>
      <c r="X296" s="1"/>
    </row>
    <row r="297" spans="1:24" ht="12.75" customHeight="1" x14ac:dyDescent="0.2">
      <c r="A297" s="1"/>
      <c r="B297" s="1"/>
      <c r="C297" s="89"/>
      <c r="D297" s="89"/>
      <c r="E297" s="93"/>
      <c r="F297" s="93"/>
      <c r="G297" s="1"/>
      <c r="H297" s="1"/>
      <c r="I297" s="1"/>
      <c r="J297" s="1"/>
      <c r="K297" s="1"/>
      <c r="L297" s="1"/>
      <c r="M297" s="1"/>
      <c r="N297" s="1"/>
      <c r="O297" s="1"/>
      <c r="P297" s="1"/>
      <c r="Q297" s="1"/>
      <c r="R297" s="1"/>
      <c r="S297" s="1"/>
      <c r="T297" s="1"/>
      <c r="U297" s="1"/>
      <c r="V297" s="1"/>
      <c r="W297" s="1"/>
      <c r="X297" s="1"/>
    </row>
    <row r="298" spans="1:24" ht="12.75" customHeight="1" x14ac:dyDescent="0.2">
      <c r="A298" s="1"/>
      <c r="B298" s="1"/>
      <c r="C298" s="89"/>
      <c r="D298" s="89"/>
      <c r="E298" s="93"/>
      <c r="F298" s="93"/>
      <c r="G298" s="1"/>
      <c r="H298" s="1"/>
      <c r="I298" s="1"/>
      <c r="J298" s="1"/>
      <c r="K298" s="1"/>
      <c r="L298" s="1"/>
      <c r="M298" s="1"/>
      <c r="N298" s="1"/>
      <c r="O298" s="1"/>
      <c r="P298" s="1"/>
      <c r="Q298" s="1"/>
      <c r="R298" s="1"/>
      <c r="S298" s="1"/>
      <c r="T298" s="1"/>
      <c r="U298" s="1"/>
      <c r="V298" s="1"/>
      <c r="W298" s="1"/>
      <c r="X298" s="1"/>
    </row>
    <row r="299" spans="1:24" ht="12.75" customHeight="1" x14ac:dyDescent="0.2">
      <c r="A299" s="1"/>
      <c r="B299" s="1"/>
      <c r="C299" s="89"/>
      <c r="D299" s="89"/>
      <c r="E299" s="93"/>
      <c r="F299" s="93"/>
      <c r="G299" s="1"/>
      <c r="H299" s="1"/>
      <c r="I299" s="1"/>
      <c r="J299" s="1"/>
      <c r="K299" s="1"/>
      <c r="L299" s="1"/>
      <c r="M299" s="1"/>
      <c r="N299" s="1"/>
      <c r="O299" s="1"/>
      <c r="P299" s="1"/>
      <c r="Q299" s="1"/>
      <c r="R299" s="1"/>
      <c r="S299" s="1"/>
      <c r="T299" s="1"/>
      <c r="U299" s="1"/>
      <c r="V299" s="1"/>
      <c r="W299" s="1"/>
      <c r="X299" s="1"/>
    </row>
    <row r="300" spans="1:24" ht="12.75" customHeight="1" x14ac:dyDescent="0.2">
      <c r="A300" s="1"/>
      <c r="B300" s="1"/>
      <c r="C300" s="89"/>
      <c r="D300" s="89"/>
      <c r="E300" s="93"/>
      <c r="F300" s="93"/>
      <c r="G300" s="1"/>
      <c r="H300" s="1"/>
      <c r="I300" s="1"/>
      <c r="J300" s="1"/>
      <c r="K300" s="1"/>
      <c r="L300" s="1"/>
      <c r="M300" s="1"/>
      <c r="N300" s="1"/>
      <c r="O300" s="1"/>
      <c r="P300" s="1"/>
      <c r="Q300" s="1"/>
      <c r="R300" s="1"/>
      <c r="S300" s="1"/>
      <c r="T300" s="1"/>
      <c r="U300" s="1"/>
      <c r="V300" s="1"/>
      <c r="W300" s="1"/>
      <c r="X300" s="1"/>
    </row>
    <row r="301" spans="1:24" ht="12.75" customHeight="1" x14ac:dyDescent="0.2">
      <c r="A301" s="1"/>
      <c r="B301" s="1"/>
      <c r="C301" s="89"/>
      <c r="D301" s="89"/>
      <c r="E301" s="93"/>
      <c r="F301" s="93"/>
      <c r="G301" s="1"/>
      <c r="H301" s="1"/>
      <c r="I301" s="1"/>
      <c r="J301" s="1"/>
      <c r="K301" s="1"/>
      <c r="L301" s="1"/>
      <c r="M301" s="1"/>
      <c r="N301" s="1"/>
      <c r="O301" s="1"/>
      <c r="P301" s="1"/>
      <c r="Q301" s="1"/>
      <c r="R301" s="1"/>
      <c r="S301" s="1"/>
      <c r="T301" s="1"/>
      <c r="U301" s="1"/>
      <c r="V301" s="1"/>
      <c r="W301" s="1"/>
      <c r="X301" s="1"/>
    </row>
    <row r="302" spans="1:24" ht="12.75" customHeight="1" x14ac:dyDescent="0.2">
      <c r="A302" s="1"/>
      <c r="B302" s="1"/>
      <c r="C302" s="89"/>
      <c r="D302" s="89"/>
      <c r="E302" s="93"/>
      <c r="F302" s="93"/>
      <c r="G302" s="1"/>
      <c r="H302" s="1"/>
      <c r="I302" s="1"/>
      <c r="J302" s="1"/>
      <c r="K302" s="1"/>
      <c r="L302" s="1"/>
      <c r="M302" s="1"/>
      <c r="N302" s="1"/>
      <c r="O302" s="1"/>
      <c r="P302" s="1"/>
      <c r="Q302" s="1"/>
      <c r="R302" s="1"/>
      <c r="S302" s="1"/>
      <c r="T302" s="1"/>
      <c r="U302" s="1"/>
      <c r="V302" s="1"/>
      <c r="W302" s="1"/>
      <c r="X302" s="1"/>
    </row>
    <row r="303" spans="1:24" ht="12.75" customHeight="1" x14ac:dyDescent="0.2">
      <c r="A303" s="1"/>
      <c r="B303" s="1"/>
      <c r="C303" s="89"/>
      <c r="D303" s="89"/>
      <c r="E303" s="93"/>
      <c r="F303" s="93"/>
      <c r="G303" s="1"/>
      <c r="H303" s="1"/>
      <c r="I303" s="1"/>
      <c r="J303" s="1"/>
      <c r="K303" s="1"/>
      <c r="L303" s="1"/>
      <c r="M303" s="1"/>
      <c r="N303" s="1"/>
      <c r="O303" s="1"/>
      <c r="P303" s="1"/>
      <c r="Q303" s="1"/>
      <c r="R303" s="1"/>
      <c r="S303" s="1"/>
      <c r="T303" s="1"/>
      <c r="U303" s="1"/>
      <c r="V303" s="1"/>
      <c r="W303" s="1"/>
      <c r="X303" s="1"/>
    </row>
    <row r="304" spans="1:24" ht="12.75" customHeight="1" x14ac:dyDescent="0.2">
      <c r="A304" s="1"/>
      <c r="B304" s="1"/>
      <c r="C304" s="89"/>
      <c r="D304" s="89"/>
      <c r="E304" s="93"/>
      <c r="F304" s="93"/>
      <c r="G304" s="1"/>
      <c r="H304" s="1"/>
      <c r="I304" s="1"/>
      <c r="J304" s="1"/>
      <c r="K304" s="1"/>
      <c r="L304" s="1"/>
      <c r="M304" s="1"/>
      <c r="N304" s="1"/>
      <c r="O304" s="1"/>
      <c r="P304" s="1"/>
      <c r="Q304" s="1"/>
      <c r="R304" s="1"/>
      <c r="S304" s="1"/>
      <c r="T304" s="1"/>
      <c r="U304" s="1"/>
      <c r="V304" s="1"/>
      <c r="W304" s="1"/>
      <c r="X304" s="1"/>
    </row>
    <row r="305" spans="1:24" ht="12.75" customHeight="1" x14ac:dyDescent="0.2">
      <c r="A305" s="1"/>
      <c r="B305" s="1"/>
      <c r="C305" s="89"/>
      <c r="D305" s="89"/>
      <c r="E305" s="93"/>
      <c r="F305" s="93"/>
      <c r="G305" s="1"/>
      <c r="H305" s="1"/>
      <c r="I305" s="1"/>
      <c r="J305" s="1"/>
      <c r="K305" s="1"/>
      <c r="L305" s="1"/>
      <c r="M305" s="1"/>
      <c r="N305" s="1"/>
      <c r="O305" s="1"/>
      <c r="P305" s="1"/>
      <c r="Q305" s="1"/>
      <c r="R305" s="1"/>
      <c r="S305" s="1"/>
      <c r="T305" s="1"/>
      <c r="U305" s="1"/>
      <c r="V305" s="1"/>
      <c r="W305" s="1"/>
      <c r="X305" s="1"/>
    </row>
    <row r="306" spans="1:24" ht="12.75" customHeight="1" x14ac:dyDescent="0.2">
      <c r="A306" s="1"/>
      <c r="B306" s="1"/>
      <c r="C306" s="89"/>
      <c r="D306" s="89"/>
      <c r="E306" s="93"/>
      <c r="F306" s="93"/>
      <c r="G306" s="1"/>
      <c r="H306" s="1"/>
      <c r="I306" s="1"/>
      <c r="J306" s="1"/>
      <c r="K306" s="1"/>
      <c r="L306" s="1"/>
      <c r="M306" s="1"/>
      <c r="N306" s="1"/>
      <c r="O306" s="1"/>
      <c r="P306" s="1"/>
      <c r="Q306" s="1"/>
      <c r="R306" s="1"/>
      <c r="S306" s="1"/>
      <c r="T306" s="1"/>
      <c r="U306" s="1"/>
      <c r="V306" s="1"/>
      <c r="W306" s="1"/>
      <c r="X306" s="1"/>
    </row>
    <row r="307" spans="1:24" ht="12.75" customHeight="1" x14ac:dyDescent="0.2">
      <c r="A307" s="1"/>
      <c r="B307" s="1"/>
      <c r="C307" s="89"/>
      <c r="D307" s="89"/>
      <c r="E307" s="93"/>
      <c r="F307" s="93"/>
      <c r="G307" s="1"/>
      <c r="H307" s="1"/>
      <c r="I307" s="1"/>
      <c r="J307" s="1"/>
      <c r="K307" s="1"/>
      <c r="L307" s="1"/>
      <c r="M307" s="1"/>
      <c r="N307" s="1"/>
      <c r="O307" s="1"/>
      <c r="P307" s="1"/>
      <c r="Q307" s="1"/>
      <c r="R307" s="1"/>
      <c r="S307" s="1"/>
      <c r="T307" s="1"/>
      <c r="U307" s="1"/>
      <c r="V307" s="1"/>
      <c r="W307" s="1"/>
      <c r="X307" s="1"/>
    </row>
    <row r="308" spans="1:24" ht="12.75" customHeight="1" x14ac:dyDescent="0.2">
      <c r="A308" s="1"/>
      <c r="B308" s="1"/>
      <c r="C308" s="89"/>
      <c r="D308" s="89"/>
      <c r="E308" s="93"/>
      <c r="F308" s="93"/>
      <c r="G308" s="1"/>
      <c r="H308" s="1"/>
      <c r="I308" s="1"/>
      <c r="J308" s="1"/>
      <c r="K308" s="1"/>
      <c r="L308" s="1"/>
      <c r="M308" s="1"/>
      <c r="N308" s="1"/>
      <c r="O308" s="1"/>
      <c r="P308" s="1"/>
      <c r="Q308" s="1"/>
      <c r="R308" s="1"/>
      <c r="S308" s="1"/>
      <c r="T308" s="1"/>
      <c r="U308" s="1"/>
      <c r="V308" s="1"/>
      <c r="W308" s="1"/>
      <c r="X308" s="1"/>
    </row>
    <row r="309" spans="1:24" ht="12.75" customHeight="1" x14ac:dyDescent="0.2">
      <c r="A309" s="1"/>
      <c r="B309" s="1"/>
      <c r="C309" s="89"/>
      <c r="D309" s="89"/>
      <c r="E309" s="93"/>
      <c r="F309" s="93"/>
      <c r="G309" s="1"/>
      <c r="H309" s="1"/>
      <c r="I309" s="1"/>
      <c r="J309" s="1"/>
      <c r="K309" s="1"/>
      <c r="L309" s="1"/>
      <c r="M309" s="1"/>
      <c r="N309" s="1"/>
      <c r="O309" s="1"/>
      <c r="P309" s="1"/>
      <c r="Q309" s="1"/>
      <c r="R309" s="1"/>
      <c r="S309" s="1"/>
      <c r="T309" s="1"/>
      <c r="U309" s="1"/>
      <c r="V309" s="1"/>
      <c r="W309" s="1"/>
      <c r="X309" s="1"/>
    </row>
    <row r="310" spans="1:24" ht="12.75" customHeight="1" x14ac:dyDescent="0.2">
      <c r="A310" s="1"/>
      <c r="B310" s="1"/>
      <c r="C310" s="89"/>
      <c r="D310" s="89"/>
      <c r="E310" s="93"/>
      <c r="F310" s="93"/>
      <c r="G310" s="1"/>
      <c r="H310" s="1"/>
      <c r="I310" s="1"/>
      <c r="J310" s="1"/>
      <c r="K310" s="1"/>
      <c r="L310" s="1"/>
      <c r="M310" s="1"/>
      <c r="N310" s="1"/>
      <c r="O310" s="1"/>
      <c r="P310" s="1"/>
      <c r="Q310" s="1"/>
      <c r="R310" s="1"/>
      <c r="S310" s="1"/>
      <c r="T310" s="1"/>
      <c r="U310" s="1"/>
      <c r="V310" s="1"/>
      <c r="W310" s="1"/>
      <c r="X310" s="1"/>
    </row>
    <row r="311" spans="1:24" ht="12.75" customHeight="1" x14ac:dyDescent="0.2">
      <c r="A311" s="1"/>
      <c r="B311" s="1"/>
      <c r="C311" s="89"/>
      <c r="D311" s="89"/>
      <c r="E311" s="93"/>
      <c r="F311" s="93"/>
      <c r="G311" s="1"/>
      <c r="H311" s="1"/>
      <c r="I311" s="1"/>
      <c r="J311" s="1"/>
      <c r="K311" s="1"/>
      <c r="L311" s="1"/>
      <c r="M311" s="1"/>
      <c r="N311" s="1"/>
      <c r="O311" s="1"/>
      <c r="P311" s="1"/>
      <c r="Q311" s="1"/>
      <c r="R311" s="1"/>
      <c r="S311" s="1"/>
      <c r="T311" s="1"/>
      <c r="U311" s="1"/>
      <c r="V311" s="1"/>
      <c r="W311" s="1"/>
      <c r="X311" s="1"/>
    </row>
    <row r="312" spans="1:24" ht="12.75" customHeight="1" x14ac:dyDescent="0.2">
      <c r="A312" s="1"/>
      <c r="B312" s="1"/>
      <c r="C312" s="89"/>
      <c r="D312" s="89"/>
      <c r="E312" s="93"/>
      <c r="F312" s="93"/>
      <c r="G312" s="1"/>
      <c r="H312" s="1"/>
      <c r="I312" s="1"/>
      <c r="J312" s="1"/>
      <c r="K312" s="1"/>
      <c r="L312" s="1"/>
      <c r="M312" s="1"/>
      <c r="N312" s="1"/>
      <c r="O312" s="1"/>
      <c r="P312" s="1"/>
      <c r="Q312" s="1"/>
      <c r="R312" s="1"/>
      <c r="S312" s="1"/>
      <c r="T312" s="1"/>
      <c r="U312" s="1"/>
      <c r="V312" s="1"/>
      <c r="W312" s="1"/>
      <c r="X312" s="1"/>
    </row>
    <row r="313" spans="1:24" ht="12.75" customHeight="1" x14ac:dyDescent="0.2">
      <c r="A313" s="1"/>
      <c r="B313" s="1"/>
      <c r="C313" s="89"/>
      <c r="D313" s="89"/>
      <c r="E313" s="93"/>
      <c r="F313" s="93"/>
      <c r="G313" s="1"/>
      <c r="H313" s="1"/>
      <c r="I313" s="1"/>
      <c r="J313" s="1"/>
      <c r="K313" s="1"/>
      <c r="L313" s="1"/>
      <c r="M313" s="1"/>
      <c r="N313" s="1"/>
      <c r="O313" s="1"/>
      <c r="P313" s="1"/>
      <c r="Q313" s="1"/>
      <c r="R313" s="1"/>
      <c r="S313" s="1"/>
      <c r="T313" s="1"/>
      <c r="U313" s="1"/>
      <c r="V313" s="1"/>
      <c r="W313" s="1"/>
      <c r="X313" s="1"/>
    </row>
    <row r="314" spans="1:24" ht="12.75" customHeight="1" x14ac:dyDescent="0.2">
      <c r="A314" s="1"/>
      <c r="B314" s="1"/>
      <c r="C314" s="89"/>
      <c r="D314" s="89"/>
      <c r="E314" s="93"/>
      <c r="F314" s="93"/>
      <c r="G314" s="1"/>
      <c r="H314" s="1"/>
      <c r="I314" s="1"/>
      <c r="J314" s="1"/>
      <c r="K314" s="1"/>
      <c r="L314" s="1"/>
      <c r="M314" s="1"/>
      <c r="N314" s="1"/>
      <c r="O314" s="1"/>
      <c r="P314" s="1"/>
      <c r="Q314" s="1"/>
      <c r="R314" s="1"/>
      <c r="S314" s="1"/>
      <c r="T314" s="1"/>
      <c r="U314" s="1"/>
      <c r="V314" s="1"/>
      <c r="W314" s="1"/>
      <c r="X314" s="1"/>
    </row>
    <row r="315" spans="1:24" ht="12.75" customHeight="1" x14ac:dyDescent="0.2">
      <c r="A315" s="1"/>
      <c r="B315" s="1"/>
      <c r="C315" s="89"/>
      <c r="D315" s="89"/>
      <c r="E315" s="93"/>
      <c r="F315" s="93"/>
      <c r="G315" s="1"/>
      <c r="H315" s="1"/>
      <c r="I315" s="1"/>
      <c r="J315" s="1"/>
      <c r="K315" s="1"/>
      <c r="L315" s="1"/>
      <c r="M315" s="1"/>
      <c r="N315" s="1"/>
      <c r="O315" s="1"/>
      <c r="P315" s="1"/>
      <c r="Q315" s="1"/>
      <c r="R315" s="1"/>
      <c r="S315" s="1"/>
      <c r="T315" s="1"/>
      <c r="U315" s="1"/>
      <c r="V315" s="1"/>
      <c r="W315" s="1"/>
      <c r="X315" s="1"/>
    </row>
    <row r="316" spans="1:24" ht="12.75" customHeight="1" x14ac:dyDescent="0.2">
      <c r="A316" s="1"/>
      <c r="B316" s="1"/>
      <c r="C316" s="89"/>
      <c r="D316" s="89"/>
      <c r="E316" s="93"/>
      <c r="F316" s="93"/>
      <c r="G316" s="1"/>
      <c r="H316" s="1"/>
      <c r="I316" s="1"/>
      <c r="J316" s="1"/>
      <c r="K316" s="1"/>
      <c r="L316" s="1"/>
      <c r="M316" s="1"/>
      <c r="N316" s="1"/>
      <c r="O316" s="1"/>
      <c r="P316" s="1"/>
      <c r="Q316" s="1"/>
      <c r="R316" s="1"/>
      <c r="S316" s="1"/>
      <c r="T316" s="1"/>
      <c r="U316" s="1"/>
      <c r="V316" s="1"/>
      <c r="W316" s="1"/>
      <c r="X316" s="1"/>
    </row>
    <row r="317" spans="1:24" ht="12.75" customHeight="1" x14ac:dyDescent="0.2">
      <c r="A317" s="1"/>
      <c r="B317" s="1"/>
      <c r="C317" s="89"/>
      <c r="D317" s="89"/>
      <c r="E317" s="93"/>
      <c r="F317" s="93"/>
      <c r="G317" s="1"/>
      <c r="H317" s="1"/>
      <c r="I317" s="1"/>
      <c r="J317" s="1"/>
      <c r="K317" s="1"/>
      <c r="L317" s="1"/>
      <c r="M317" s="1"/>
      <c r="N317" s="1"/>
      <c r="O317" s="1"/>
      <c r="P317" s="1"/>
      <c r="Q317" s="1"/>
      <c r="R317" s="1"/>
      <c r="S317" s="1"/>
      <c r="T317" s="1"/>
      <c r="U317" s="1"/>
      <c r="V317" s="1"/>
      <c r="W317" s="1"/>
      <c r="X317" s="1"/>
    </row>
    <row r="318" spans="1:24" ht="12.75" customHeight="1" x14ac:dyDescent="0.2">
      <c r="A318" s="1"/>
      <c r="B318" s="1"/>
      <c r="C318" s="89"/>
      <c r="D318" s="89"/>
      <c r="E318" s="93"/>
      <c r="F318" s="93"/>
      <c r="G318" s="1"/>
      <c r="H318" s="1"/>
      <c r="I318" s="1"/>
      <c r="J318" s="1"/>
      <c r="K318" s="1"/>
      <c r="L318" s="1"/>
      <c r="M318" s="1"/>
      <c r="N318" s="1"/>
      <c r="O318" s="1"/>
      <c r="P318" s="1"/>
      <c r="Q318" s="1"/>
      <c r="R318" s="1"/>
      <c r="S318" s="1"/>
      <c r="T318" s="1"/>
      <c r="U318" s="1"/>
      <c r="V318" s="1"/>
      <c r="W318" s="1"/>
      <c r="X318" s="1"/>
    </row>
    <row r="319" spans="1:24" ht="12.75" customHeight="1" x14ac:dyDescent="0.2">
      <c r="A319" s="1"/>
      <c r="B319" s="1"/>
      <c r="C319" s="89"/>
      <c r="D319" s="89"/>
      <c r="E319" s="93"/>
      <c r="F319" s="93"/>
      <c r="G319" s="1"/>
      <c r="H319" s="1"/>
      <c r="I319" s="1"/>
      <c r="J319" s="1"/>
      <c r="K319" s="1"/>
      <c r="L319" s="1"/>
      <c r="M319" s="1"/>
      <c r="N319" s="1"/>
      <c r="O319" s="1"/>
      <c r="P319" s="1"/>
      <c r="Q319" s="1"/>
      <c r="R319" s="1"/>
      <c r="S319" s="1"/>
      <c r="T319" s="1"/>
      <c r="U319" s="1"/>
      <c r="V319" s="1"/>
      <c r="W319" s="1"/>
      <c r="X319" s="1"/>
    </row>
    <row r="320" spans="1:24" ht="12.75" customHeight="1" x14ac:dyDescent="0.2">
      <c r="A320" s="1"/>
      <c r="B320" s="1"/>
      <c r="C320" s="89"/>
      <c r="D320" s="89"/>
      <c r="E320" s="93"/>
      <c r="F320" s="93"/>
      <c r="G320" s="1"/>
      <c r="H320" s="1"/>
      <c r="I320" s="1"/>
      <c r="J320" s="1"/>
      <c r="K320" s="1"/>
      <c r="L320" s="1"/>
      <c r="M320" s="1"/>
      <c r="N320" s="1"/>
      <c r="O320" s="1"/>
      <c r="P320" s="1"/>
      <c r="Q320" s="1"/>
      <c r="R320" s="1"/>
      <c r="S320" s="1"/>
      <c r="T320" s="1"/>
      <c r="U320" s="1"/>
      <c r="V320" s="1"/>
      <c r="W320" s="1"/>
      <c r="X320" s="1"/>
    </row>
    <row r="321" spans="1:24" ht="12.75" customHeight="1" x14ac:dyDescent="0.2">
      <c r="A321" s="1"/>
      <c r="B321" s="1"/>
      <c r="C321" s="89"/>
      <c r="D321" s="89"/>
      <c r="E321" s="93"/>
      <c r="F321" s="93"/>
      <c r="G321" s="1"/>
      <c r="H321" s="1"/>
      <c r="I321" s="1"/>
      <c r="J321" s="1"/>
      <c r="K321" s="1"/>
      <c r="L321" s="1"/>
      <c r="M321" s="1"/>
      <c r="N321" s="1"/>
      <c r="O321" s="1"/>
      <c r="P321" s="1"/>
      <c r="Q321" s="1"/>
      <c r="R321" s="1"/>
      <c r="S321" s="1"/>
      <c r="T321" s="1"/>
      <c r="U321" s="1"/>
      <c r="V321" s="1"/>
      <c r="W321" s="1"/>
      <c r="X321" s="1"/>
    </row>
    <row r="322" spans="1:24" ht="12.75" customHeight="1" x14ac:dyDescent="0.2">
      <c r="A322" s="1"/>
      <c r="B322" s="1"/>
      <c r="C322" s="89"/>
      <c r="D322" s="89"/>
      <c r="E322" s="93"/>
      <c r="F322" s="93"/>
      <c r="G322" s="1"/>
      <c r="H322" s="1"/>
      <c r="I322" s="1"/>
      <c r="J322" s="1"/>
      <c r="K322" s="1"/>
      <c r="L322" s="1"/>
      <c r="M322" s="1"/>
      <c r="N322" s="1"/>
      <c r="O322" s="1"/>
      <c r="P322" s="1"/>
      <c r="Q322" s="1"/>
      <c r="R322" s="1"/>
      <c r="S322" s="1"/>
      <c r="T322" s="1"/>
      <c r="U322" s="1"/>
      <c r="V322" s="1"/>
      <c r="W322" s="1"/>
      <c r="X322" s="1"/>
    </row>
    <row r="323" spans="1:24" ht="12.75" customHeight="1" x14ac:dyDescent="0.2">
      <c r="A323" s="1"/>
      <c r="B323" s="1"/>
      <c r="C323" s="89"/>
      <c r="D323" s="89"/>
      <c r="E323" s="93"/>
      <c r="F323" s="93"/>
      <c r="G323" s="1"/>
      <c r="H323" s="1"/>
      <c r="I323" s="1"/>
      <c r="J323" s="1"/>
      <c r="K323" s="1"/>
      <c r="L323" s="1"/>
      <c r="M323" s="1"/>
      <c r="N323" s="1"/>
      <c r="O323" s="1"/>
      <c r="P323" s="1"/>
      <c r="Q323" s="1"/>
      <c r="R323" s="1"/>
      <c r="S323" s="1"/>
      <c r="T323" s="1"/>
      <c r="U323" s="1"/>
      <c r="V323" s="1"/>
      <c r="W323" s="1"/>
      <c r="X323" s="1"/>
    </row>
    <row r="324" spans="1:24" ht="12.75" customHeight="1" x14ac:dyDescent="0.2">
      <c r="A324" s="1"/>
      <c r="B324" s="1"/>
      <c r="C324" s="89"/>
      <c r="D324" s="89"/>
      <c r="E324" s="93"/>
      <c r="F324" s="93"/>
      <c r="G324" s="1"/>
      <c r="H324" s="1"/>
      <c r="I324" s="1"/>
      <c r="J324" s="1"/>
      <c r="K324" s="1"/>
      <c r="L324" s="1"/>
      <c r="M324" s="1"/>
      <c r="N324" s="1"/>
      <c r="O324" s="1"/>
      <c r="P324" s="1"/>
      <c r="Q324" s="1"/>
      <c r="R324" s="1"/>
      <c r="S324" s="1"/>
      <c r="T324" s="1"/>
      <c r="U324" s="1"/>
      <c r="V324" s="1"/>
      <c r="W324" s="1"/>
      <c r="X324" s="1"/>
    </row>
    <row r="325" spans="1:24" ht="12.75" customHeight="1" x14ac:dyDescent="0.2">
      <c r="A325" s="1"/>
      <c r="B325" s="1"/>
      <c r="C325" s="89"/>
      <c r="D325" s="89"/>
      <c r="E325" s="93"/>
      <c r="F325" s="93"/>
      <c r="G325" s="1"/>
      <c r="H325" s="1"/>
      <c r="I325" s="1"/>
      <c r="J325" s="1"/>
      <c r="K325" s="1"/>
      <c r="L325" s="1"/>
      <c r="M325" s="1"/>
      <c r="N325" s="1"/>
      <c r="O325" s="1"/>
      <c r="P325" s="1"/>
      <c r="Q325" s="1"/>
      <c r="R325" s="1"/>
      <c r="S325" s="1"/>
      <c r="T325" s="1"/>
      <c r="U325" s="1"/>
      <c r="V325" s="1"/>
      <c r="W325" s="1"/>
      <c r="X325" s="1"/>
    </row>
    <row r="326" spans="1:24" ht="12.75" customHeight="1" x14ac:dyDescent="0.2">
      <c r="A326" s="1"/>
      <c r="B326" s="1"/>
      <c r="C326" s="89"/>
      <c r="D326" s="89"/>
      <c r="E326" s="93"/>
      <c r="F326" s="93"/>
      <c r="G326" s="1"/>
      <c r="H326" s="1"/>
      <c r="I326" s="1"/>
      <c r="J326" s="1"/>
      <c r="K326" s="1"/>
      <c r="L326" s="1"/>
      <c r="M326" s="1"/>
      <c r="N326" s="1"/>
      <c r="O326" s="1"/>
      <c r="P326" s="1"/>
      <c r="Q326" s="1"/>
      <c r="R326" s="1"/>
      <c r="S326" s="1"/>
      <c r="T326" s="1"/>
      <c r="U326" s="1"/>
      <c r="V326" s="1"/>
      <c r="W326" s="1"/>
      <c r="X326" s="1"/>
    </row>
    <row r="327" spans="1:24" ht="12.75" customHeight="1" x14ac:dyDescent="0.2">
      <c r="A327" s="1"/>
      <c r="B327" s="1"/>
      <c r="C327" s="89"/>
      <c r="D327" s="89"/>
      <c r="E327" s="93"/>
      <c r="F327" s="93"/>
      <c r="G327" s="1"/>
      <c r="H327" s="1"/>
      <c r="I327" s="1"/>
      <c r="J327" s="1"/>
      <c r="K327" s="1"/>
      <c r="L327" s="1"/>
      <c r="M327" s="1"/>
      <c r="N327" s="1"/>
      <c r="O327" s="1"/>
      <c r="P327" s="1"/>
      <c r="Q327" s="1"/>
      <c r="R327" s="1"/>
      <c r="S327" s="1"/>
      <c r="T327" s="1"/>
      <c r="U327" s="1"/>
      <c r="V327" s="1"/>
      <c r="W327" s="1"/>
      <c r="X327" s="1"/>
    </row>
    <row r="328" spans="1:24" ht="12.75" customHeight="1" x14ac:dyDescent="0.2">
      <c r="A328" s="1"/>
      <c r="B328" s="1"/>
      <c r="C328" s="89"/>
      <c r="D328" s="89"/>
      <c r="E328" s="93"/>
      <c r="F328" s="93"/>
      <c r="G328" s="1"/>
      <c r="H328" s="1"/>
      <c r="I328" s="1"/>
      <c r="J328" s="1"/>
      <c r="K328" s="1"/>
      <c r="L328" s="1"/>
      <c r="M328" s="1"/>
      <c r="N328" s="1"/>
      <c r="O328" s="1"/>
      <c r="P328" s="1"/>
      <c r="Q328" s="1"/>
      <c r="R328" s="1"/>
      <c r="S328" s="1"/>
      <c r="T328" s="1"/>
      <c r="U328" s="1"/>
      <c r="V328" s="1"/>
      <c r="W328" s="1"/>
      <c r="X328" s="1"/>
    </row>
    <row r="329" spans="1:24" ht="12.75" customHeight="1" x14ac:dyDescent="0.2">
      <c r="A329" s="1"/>
      <c r="B329" s="1"/>
      <c r="C329" s="89"/>
      <c r="D329" s="89"/>
      <c r="E329" s="93"/>
      <c r="F329" s="93"/>
      <c r="G329" s="1"/>
      <c r="H329" s="1"/>
      <c r="I329" s="1"/>
      <c r="J329" s="1"/>
      <c r="K329" s="1"/>
      <c r="L329" s="1"/>
      <c r="M329" s="1"/>
      <c r="N329" s="1"/>
      <c r="O329" s="1"/>
      <c r="P329" s="1"/>
      <c r="Q329" s="1"/>
      <c r="R329" s="1"/>
      <c r="S329" s="1"/>
      <c r="T329" s="1"/>
      <c r="U329" s="1"/>
      <c r="V329" s="1"/>
      <c r="W329" s="1"/>
      <c r="X329" s="1"/>
    </row>
    <row r="330" spans="1:24" ht="12.75" customHeight="1" x14ac:dyDescent="0.2">
      <c r="A330" s="1"/>
      <c r="B330" s="1"/>
      <c r="C330" s="89"/>
      <c r="D330" s="89"/>
      <c r="E330" s="93"/>
      <c r="F330" s="93"/>
      <c r="G330" s="1"/>
      <c r="H330" s="1"/>
      <c r="I330" s="1"/>
      <c r="J330" s="1"/>
      <c r="K330" s="1"/>
      <c r="L330" s="1"/>
      <c r="M330" s="1"/>
      <c r="N330" s="1"/>
      <c r="O330" s="1"/>
      <c r="P330" s="1"/>
      <c r="Q330" s="1"/>
      <c r="R330" s="1"/>
      <c r="S330" s="1"/>
      <c r="T330" s="1"/>
      <c r="U330" s="1"/>
      <c r="V330" s="1"/>
      <c r="W330" s="1"/>
      <c r="X330" s="1"/>
    </row>
    <row r="331" spans="1:24" ht="12.75" customHeight="1" x14ac:dyDescent="0.2">
      <c r="A331" s="1"/>
      <c r="B331" s="1"/>
      <c r="C331" s="89"/>
      <c r="D331" s="89"/>
      <c r="E331" s="93"/>
      <c r="F331" s="93"/>
      <c r="G331" s="1"/>
      <c r="H331" s="1"/>
      <c r="I331" s="1"/>
      <c r="J331" s="1"/>
      <c r="K331" s="1"/>
      <c r="L331" s="1"/>
      <c r="M331" s="1"/>
      <c r="N331" s="1"/>
      <c r="O331" s="1"/>
      <c r="P331" s="1"/>
      <c r="Q331" s="1"/>
      <c r="R331" s="1"/>
      <c r="S331" s="1"/>
      <c r="T331" s="1"/>
      <c r="U331" s="1"/>
      <c r="V331" s="1"/>
      <c r="W331" s="1"/>
      <c r="X331" s="1"/>
    </row>
    <row r="332" spans="1:24" ht="12.75" customHeight="1" x14ac:dyDescent="0.2">
      <c r="A332" s="1"/>
      <c r="B332" s="1"/>
      <c r="C332" s="89"/>
      <c r="D332" s="89"/>
      <c r="E332" s="93"/>
      <c r="F332" s="93"/>
      <c r="G332" s="1"/>
      <c r="H332" s="1"/>
      <c r="I332" s="1"/>
      <c r="J332" s="1"/>
      <c r="K332" s="1"/>
      <c r="L332" s="1"/>
      <c r="M332" s="1"/>
      <c r="N332" s="1"/>
      <c r="O332" s="1"/>
      <c r="P332" s="1"/>
      <c r="Q332" s="1"/>
      <c r="R332" s="1"/>
      <c r="S332" s="1"/>
      <c r="T332" s="1"/>
      <c r="U332" s="1"/>
      <c r="V332" s="1"/>
      <c r="W332" s="1"/>
      <c r="X332" s="1"/>
    </row>
    <row r="333" spans="1:24" ht="12.75" customHeight="1" x14ac:dyDescent="0.2">
      <c r="A333" s="1"/>
      <c r="B333" s="1"/>
      <c r="C333" s="89"/>
      <c r="D333" s="89"/>
      <c r="E333" s="93"/>
      <c r="F333" s="93"/>
      <c r="G333" s="1"/>
      <c r="H333" s="1"/>
      <c r="I333" s="1"/>
      <c r="J333" s="1"/>
      <c r="K333" s="1"/>
      <c r="L333" s="1"/>
      <c r="M333" s="1"/>
      <c r="N333" s="1"/>
      <c r="O333" s="1"/>
      <c r="P333" s="1"/>
      <c r="Q333" s="1"/>
      <c r="R333" s="1"/>
      <c r="S333" s="1"/>
      <c r="T333" s="1"/>
      <c r="U333" s="1"/>
      <c r="V333" s="1"/>
      <c r="W333" s="1"/>
      <c r="X333" s="1"/>
    </row>
    <row r="334" spans="1:24" ht="12.75" customHeight="1" x14ac:dyDescent="0.2">
      <c r="A334" s="1"/>
      <c r="B334" s="1"/>
      <c r="C334" s="89"/>
      <c r="D334" s="89"/>
      <c r="E334" s="93"/>
      <c r="F334" s="93"/>
      <c r="G334" s="1"/>
      <c r="H334" s="1"/>
      <c r="I334" s="1"/>
      <c r="J334" s="1"/>
      <c r="K334" s="1"/>
      <c r="L334" s="1"/>
      <c r="M334" s="1"/>
      <c r="N334" s="1"/>
      <c r="O334" s="1"/>
      <c r="P334" s="1"/>
      <c r="Q334" s="1"/>
      <c r="R334" s="1"/>
      <c r="S334" s="1"/>
      <c r="T334" s="1"/>
      <c r="U334" s="1"/>
      <c r="V334" s="1"/>
      <c r="W334" s="1"/>
      <c r="X334" s="1"/>
    </row>
    <row r="335" spans="1:24" ht="12.75" customHeight="1" x14ac:dyDescent="0.2">
      <c r="A335" s="1"/>
      <c r="B335" s="1"/>
      <c r="C335" s="89"/>
      <c r="D335" s="89"/>
      <c r="E335" s="93"/>
      <c r="F335" s="93"/>
      <c r="G335" s="1"/>
      <c r="H335" s="1"/>
      <c r="I335" s="1"/>
      <c r="J335" s="1"/>
      <c r="K335" s="1"/>
      <c r="L335" s="1"/>
      <c r="M335" s="1"/>
      <c r="N335" s="1"/>
      <c r="O335" s="1"/>
      <c r="P335" s="1"/>
      <c r="Q335" s="1"/>
      <c r="R335" s="1"/>
      <c r="S335" s="1"/>
      <c r="T335" s="1"/>
      <c r="U335" s="1"/>
      <c r="V335" s="1"/>
      <c r="W335" s="1"/>
      <c r="X335" s="1"/>
    </row>
    <row r="336" spans="1:24" ht="12.75" customHeight="1" x14ac:dyDescent="0.2">
      <c r="A336" s="1"/>
      <c r="B336" s="1"/>
      <c r="C336" s="89"/>
      <c r="D336" s="89"/>
      <c r="E336" s="93"/>
      <c r="F336" s="93"/>
      <c r="G336" s="1"/>
      <c r="H336" s="1"/>
      <c r="I336" s="1"/>
      <c r="J336" s="1"/>
      <c r="K336" s="1"/>
      <c r="L336" s="1"/>
      <c r="M336" s="1"/>
      <c r="N336" s="1"/>
      <c r="O336" s="1"/>
      <c r="P336" s="1"/>
      <c r="Q336" s="1"/>
      <c r="R336" s="1"/>
      <c r="S336" s="1"/>
      <c r="T336" s="1"/>
      <c r="U336" s="1"/>
      <c r="V336" s="1"/>
      <c r="W336" s="1"/>
      <c r="X336" s="1"/>
    </row>
    <row r="337" spans="1:24" ht="12.75" customHeight="1" x14ac:dyDescent="0.2">
      <c r="A337" s="1"/>
      <c r="B337" s="1"/>
      <c r="C337" s="89"/>
      <c r="D337" s="89"/>
      <c r="E337" s="93"/>
      <c r="F337" s="93"/>
      <c r="G337" s="1"/>
      <c r="H337" s="1"/>
      <c r="I337" s="1"/>
      <c r="J337" s="1"/>
      <c r="K337" s="1"/>
      <c r="L337" s="1"/>
      <c r="M337" s="1"/>
      <c r="N337" s="1"/>
      <c r="O337" s="1"/>
      <c r="P337" s="1"/>
      <c r="Q337" s="1"/>
      <c r="R337" s="1"/>
      <c r="S337" s="1"/>
      <c r="T337" s="1"/>
      <c r="U337" s="1"/>
      <c r="V337" s="1"/>
      <c r="W337" s="1"/>
      <c r="X337" s="1"/>
    </row>
    <row r="338" spans="1:24" ht="12.75" customHeight="1" x14ac:dyDescent="0.2">
      <c r="A338" s="1"/>
      <c r="B338" s="1"/>
      <c r="C338" s="89"/>
      <c r="D338" s="89"/>
      <c r="E338" s="93"/>
      <c r="F338" s="93"/>
      <c r="G338" s="1"/>
      <c r="H338" s="1"/>
      <c r="I338" s="1"/>
      <c r="J338" s="1"/>
      <c r="K338" s="1"/>
      <c r="L338" s="1"/>
      <c r="M338" s="1"/>
      <c r="N338" s="1"/>
      <c r="O338" s="1"/>
      <c r="P338" s="1"/>
      <c r="Q338" s="1"/>
      <c r="R338" s="1"/>
      <c r="S338" s="1"/>
      <c r="T338" s="1"/>
      <c r="U338" s="1"/>
      <c r="V338" s="1"/>
      <c r="W338" s="1"/>
      <c r="X338" s="1"/>
    </row>
    <row r="339" spans="1:24" ht="12.75" customHeight="1" x14ac:dyDescent="0.2">
      <c r="A339" s="1"/>
      <c r="B339" s="1"/>
      <c r="C339" s="89"/>
      <c r="D339" s="89"/>
      <c r="E339" s="93"/>
      <c r="F339" s="93"/>
      <c r="G339" s="1"/>
      <c r="H339" s="1"/>
      <c r="I339" s="1"/>
      <c r="J339" s="1"/>
      <c r="K339" s="1"/>
      <c r="L339" s="1"/>
      <c r="M339" s="1"/>
      <c r="N339" s="1"/>
      <c r="O339" s="1"/>
      <c r="P339" s="1"/>
      <c r="Q339" s="1"/>
      <c r="R339" s="1"/>
      <c r="S339" s="1"/>
      <c r="T339" s="1"/>
      <c r="U339" s="1"/>
      <c r="V339" s="1"/>
      <c r="W339" s="1"/>
      <c r="X339" s="1"/>
    </row>
    <row r="340" spans="1:24" ht="12.75" customHeight="1" x14ac:dyDescent="0.2">
      <c r="A340" s="1"/>
      <c r="B340" s="1"/>
      <c r="C340" s="89"/>
      <c r="D340" s="89"/>
      <c r="E340" s="93"/>
      <c r="F340" s="93"/>
      <c r="G340" s="1"/>
      <c r="H340" s="1"/>
      <c r="I340" s="1"/>
      <c r="J340" s="1"/>
      <c r="K340" s="1"/>
      <c r="L340" s="1"/>
      <c r="M340" s="1"/>
      <c r="N340" s="1"/>
      <c r="O340" s="1"/>
      <c r="P340" s="1"/>
      <c r="Q340" s="1"/>
      <c r="R340" s="1"/>
      <c r="S340" s="1"/>
      <c r="T340" s="1"/>
      <c r="U340" s="1"/>
      <c r="V340" s="1"/>
      <c r="W340" s="1"/>
      <c r="X340" s="1"/>
    </row>
    <row r="341" spans="1:24" ht="12.75" customHeight="1" x14ac:dyDescent="0.2">
      <c r="A341" s="1"/>
      <c r="B341" s="1"/>
      <c r="C341" s="89"/>
      <c r="D341" s="89"/>
      <c r="E341" s="93"/>
      <c r="F341" s="93"/>
      <c r="G341" s="1"/>
      <c r="H341" s="1"/>
      <c r="I341" s="1"/>
      <c r="J341" s="1"/>
      <c r="K341" s="1"/>
      <c r="L341" s="1"/>
      <c r="M341" s="1"/>
      <c r="N341" s="1"/>
      <c r="O341" s="1"/>
      <c r="P341" s="1"/>
      <c r="Q341" s="1"/>
      <c r="R341" s="1"/>
      <c r="S341" s="1"/>
      <c r="T341" s="1"/>
      <c r="U341" s="1"/>
      <c r="V341" s="1"/>
      <c r="W341" s="1"/>
      <c r="X341" s="1"/>
    </row>
    <row r="342" spans="1:24" ht="12.75" customHeight="1" x14ac:dyDescent="0.2">
      <c r="A342" s="1"/>
      <c r="B342" s="1"/>
      <c r="C342" s="89"/>
      <c r="D342" s="89"/>
      <c r="E342" s="93"/>
      <c r="F342" s="93"/>
      <c r="G342" s="1"/>
      <c r="H342" s="1"/>
      <c r="I342" s="1"/>
      <c r="J342" s="1"/>
      <c r="K342" s="1"/>
      <c r="L342" s="1"/>
      <c r="M342" s="1"/>
      <c r="N342" s="1"/>
      <c r="O342" s="1"/>
      <c r="P342" s="1"/>
      <c r="Q342" s="1"/>
      <c r="R342" s="1"/>
      <c r="S342" s="1"/>
      <c r="T342" s="1"/>
      <c r="U342" s="1"/>
      <c r="V342" s="1"/>
      <c r="W342" s="1"/>
      <c r="X342" s="1"/>
    </row>
    <row r="343" spans="1:24" ht="12.75" customHeight="1" x14ac:dyDescent="0.2">
      <c r="A343" s="1"/>
      <c r="B343" s="1"/>
      <c r="C343" s="89"/>
      <c r="D343" s="89"/>
      <c r="E343" s="93"/>
      <c r="F343" s="93"/>
      <c r="G343" s="1"/>
      <c r="H343" s="1"/>
      <c r="I343" s="1"/>
      <c r="J343" s="1"/>
      <c r="K343" s="1"/>
      <c r="L343" s="1"/>
      <c r="M343" s="1"/>
      <c r="N343" s="1"/>
      <c r="O343" s="1"/>
      <c r="P343" s="1"/>
      <c r="Q343" s="1"/>
      <c r="R343" s="1"/>
      <c r="S343" s="1"/>
      <c r="T343" s="1"/>
      <c r="U343" s="1"/>
      <c r="V343" s="1"/>
      <c r="W343" s="1"/>
      <c r="X343" s="1"/>
    </row>
    <row r="344" spans="1:24" ht="12.75" customHeight="1" x14ac:dyDescent="0.2">
      <c r="A344" s="1"/>
      <c r="B344" s="1"/>
      <c r="C344" s="89"/>
      <c r="D344" s="89"/>
      <c r="E344" s="93"/>
      <c r="F344" s="93"/>
      <c r="G344" s="1"/>
      <c r="H344" s="1"/>
      <c r="I344" s="1"/>
      <c r="J344" s="1"/>
      <c r="K344" s="1"/>
      <c r="L344" s="1"/>
      <c r="M344" s="1"/>
      <c r="N344" s="1"/>
      <c r="O344" s="1"/>
      <c r="P344" s="1"/>
      <c r="Q344" s="1"/>
      <c r="R344" s="1"/>
      <c r="S344" s="1"/>
      <c r="T344" s="1"/>
      <c r="U344" s="1"/>
      <c r="V344" s="1"/>
      <c r="W344" s="1"/>
      <c r="X344" s="1"/>
    </row>
    <row r="345" spans="1:24" ht="12.75" customHeight="1" x14ac:dyDescent="0.2">
      <c r="A345" s="1"/>
      <c r="B345" s="1"/>
      <c r="C345" s="89"/>
      <c r="D345" s="89"/>
      <c r="E345" s="93"/>
      <c r="F345" s="93"/>
      <c r="G345" s="1"/>
      <c r="H345" s="1"/>
      <c r="I345" s="1"/>
      <c r="J345" s="1"/>
      <c r="K345" s="1"/>
      <c r="L345" s="1"/>
      <c r="M345" s="1"/>
      <c r="N345" s="1"/>
      <c r="O345" s="1"/>
      <c r="P345" s="1"/>
      <c r="Q345" s="1"/>
      <c r="R345" s="1"/>
      <c r="S345" s="1"/>
      <c r="T345" s="1"/>
      <c r="U345" s="1"/>
      <c r="V345" s="1"/>
      <c r="W345" s="1"/>
      <c r="X345" s="1"/>
    </row>
    <row r="346" spans="1:24" ht="12.75" customHeight="1" x14ac:dyDescent="0.2">
      <c r="A346" s="1"/>
      <c r="B346" s="1"/>
      <c r="C346" s="89"/>
      <c r="D346" s="89"/>
      <c r="E346" s="93"/>
      <c r="F346" s="93"/>
      <c r="G346" s="1"/>
      <c r="H346" s="1"/>
      <c r="I346" s="1"/>
      <c r="J346" s="1"/>
      <c r="K346" s="1"/>
      <c r="L346" s="1"/>
      <c r="M346" s="1"/>
      <c r="N346" s="1"/>
      <c r="O346" s="1"/>
      <c r="P346" s="1"/>
      <c r="Q346" s="1"/>
      <c r="R346" s="1"/>
      <c r="S346" s="1"/>
      <c r="T346" s="1"/>
      <c r="U346" s="1"/>
      <c r="V346" s="1"/>
      <c r="W346" s="1"/>
      <c r="X346" s="1"/>
    </row>
    <row r="347" spans="1:24" ht="12.75" customHeight="1" x14ac:dyDescent="0.2">
      <c r="A347" s="1"/>
      <c r="B347" s="1"/>
      <c r="C347" s="89"/>
      <c r="D347" s="89"/>
      <c r="E347" s="93"/>
      <c r="F347" s="93"/>
      <c r="G347" s="1"/>
      <c r="H347" s="1"/>
      <c r="I347" s="1"/>
      <c r="J347" s="1"/>
      <c r="K347" s="1"/>
      <c r="L347" s="1"/>
      <c r="M347" s="1"/>
      <c r="N347" s="1"/>
      <c r="O347" s="1"/>
      <c r="P347" s="1"/>
      <c r="Q347" s="1"/>
      <c r="R347" s="1"/>
      <c r="S347" s="1"/>
      <c r="T347" s="1"/>
      <c r="U347" s="1"/>
      <c r="V347" s="1"/>
      <c r="W347" s="1"/>
      <c r="X347" s="1"/>
    </row>
    <row r="348" spans="1:24" ht="12.75" customHeight="1" x14ac:dyDescent="0.2">
      <c r="A348" s="1"/>
      <c r="B348" s="1"/>
      <c r="C348" s="89"/>
      <c r="D348" s="89"/>
      <c r="E348" s="93"/>
      <c r="F348" s="93"/>
      <c r="G348" s="1"/>
      <c r="H348" s="1"/>
      <c r="I348" s="1"/>
      <c r="J348" s="1"/>
      <c r="K348" s="1"/>
      <c r="L348" s="1"/>
      <c r="M348" s="1"/>
      <c r="N348" s="1"/>
      <c r="O348" s="1"/>
      <c r="P348" s="1"/>
      <c r="Q348" s="1"/>
      <c r="R348" s="1"/>
      <c r="S348" s="1"/>
      <c r="T348" s="1"/>
      <c r="U348" s="1"/>
      <c r="V348" s="1"/>
      <c r="W348" s="1"/>
      <c r="X348" s="1"/>
    </row>
    <row r="349" spans="1:24" ht="12.75" customHeight="1" x14ac:dyDescent="0.2">
      <c r="A349" s="1"/>
      <c r="B349" s="1"/>
      <c r="C349" s="89"/>
      <c r="D349" s="89"/>
      <c r="E349" s="93"/>
      <c r="F349" s="93"/>
      <c r="G349" s="1"/>
      <c r="H349" s="1"/>
      <c r="I349" s="1"/>
      <c r="J349" s="1"/>
      <c r="K349" s="1"/>
      <c r="L349" s="1"/>
      <c r="M349" s="1"/>
      <c r="N349" s="1"/>
      <c r="O349" s="1"/>
      <c r="P349" s="1"/>
      <c r="Q349" s="1"/>
      <c r="R349" s="1"/>
      <c r="S349" s="1"/>
      <c r="T349" s="1"/>
      <c r="U349" s="1"/>
      <c r="V349" s="1"/>
      <c r="W349" s="1"/>
      <c r="X349" s="1"/>
    </row>
    <row r="350" spans="1:24" ht="12.75" customHeight="1" x14ac:dyDescent="0.2">
      <c r="A350" s="1"/>
      <c r="B350" s="1"/>
      <c r="C350" s="89"/>
      <c r="D350" s="89"/>
      <c r="E350" s="93"/>
      <c r="F350" s="93"/>
      <c r="G350" s="1"/>
      <c r="H350" s="1"/>
      <c r="I350" s="1"/>
      <c r="J350" s="1"/>
      <c r="K350" s="1"/>
      <c r="L350" s="1"/>
      <c r="M350" s="1"/>
      <c r="N350" s="1"/>
      <c r="O350" s="1"/>
      <c r="P350" s="1"/>
      <c r="Q350" s="1"/>
      <c r="R350" s="1"/>
      <c r="S350" s="1"/>
      <c r="T350" s="1"/>
      <c r="U350" s="1"/>
      <c r="V350" s="1"/>
      <c r="W350" s="1"/>
      <c r="X350" s="1"/>
    </row>
    <row r="351" spans="1:24" ht="12.75" customHeight="1" x14ac:dyDescent="0.2">
      <c r="A351" s="1"/>
      <c r="B351" s="1"/>
      <c r="C351" s="89"/>
      <c r="D351" s="89"/>
      <c r="E351" s="93"/>
      <c r="F351" s="93"/>
      <c r="G351" s="1"/>
      <c r="H351" s="1"/>
      <c r="I351" s="1"/>
      <c r="J351" s="1"/>
      <c r="K351" s="1"/>
      <c r="L351" s="1"/>
      <c r="M351" s="1"/>
      <c r="N351" s="1"/>
      <c r="O351" s="1"/>
      <c r="P351" s="1"/>
      <c r="Q351" s="1"/>
      <c r="R351" s="1"/>
      <c r="S351" s="1"/>
      <c r="T351" s="1"/>
      <c r="U351" s="1"/>
      <c r="V351" s="1"/>
      <c r="W351" s="1"/>
      <c r="X351" s="1"/>
    </row>
    <row r="352" spans="1:24" ht="12.75" customHeight="1" x14ac:dyDescent="0.2">
      <c r="A352" s="1"/>
      <c r="B352" s="1"/>
      <c r="C352" s="89"/>
      <c r="D352" s="89"/>
      <c r="E352" s="93"/>
      <c r="F352" s="93"/>
      <c r="G352" s="1"/>
      <c r="H352" s="1"/>
      <c r="I352" s="1"/>
      <c r="J352" s="1"/>
      <c r="K352" s="1"/>
      <c r="L352" s="1"/>
      <c r="M352" s="1"/>
      <c r="N352" s="1"/>
      <c r="O352" s="1"/>
      <c r="P352" s="1"/>
      <c r="Q352" s="1"/>
      <c r="R352" s="1"/>
      <c r="S352" s="1"/>
      <c r="T352" s="1"/>
      <c r="U352" s="1"/>
      <c r="V352" s="1"/>
      <c r="W352" s="1"/>
      <c r="X352" s="1"/>
    </row>
    <row r="353" spans="1:24" ht="12.75" customHeight="1" x14ac:dyDescent="0.2">
      <c r="A353" s="1"/>
      <c r="B353" s="1"/>
      <c r="C353" s="89"/>
      <c r="D353" s="89"/>
      <c r="E353" s="93"/>
      <c r="F353" s="93"/>
      <c r="G353" s="1"/>
      <c r="H353" s="1"/>
      <c r="I353" s="1"/>
      <c r="J353" s="1"/>
      <c r="K353" s="1"/>
      <c r="L353" s="1"/>
      <c r="M353" s="1"/>
      <c r="N353" s="1"/>
      <c r="O353" s="1"/>
      <c r="P353" s="1"/>
      <c r="Q353" s="1"/>
      <c r="R353" s="1"/>
      <c r="S353" s="1"/>
      <c r="T353" s="1"/>
      <c r="U353" s="1"/>
      <c r="V353" s="1"/>
      <c r="W353" s="1"/>
      <c r="X353" s="1"/>
    </row>
    <row r="354" spans="1:24" ht="12.75" customHeight="1" x14ac:dyDescent="0.2">
      <c r="A354" s="1"/>
      <c r="B354" s="1"/>
      <c r="C354" s="89"/>
      <c r="D354" s="89"/>
      <c r="E354" s="93"/>
      <c r="F354" s="93"/>
      <c r="G354" s="1"/>
      <c r="H354" s="1"/>
      <c r="I354" s="1"/>
      <c r="J354" s="1"/>
      <c r="K354" s="1"/>
      <c r="L354" s="1"/>
      <c r="M354" s="1"/>
      <c r="N354" s="1"/>
      <c r="O354" s="1"/>
      <c r="P354" s="1"/>
      <c r="Q354" s="1"/>
      <c r="R354" s="1"/>
      <c r="S354" s="1"/>
      <c r="T354" s="1"/>
      <c r="U354" s="1"/>
      <c r="V354" s="1"/>
      <c r="W354" s="1"/>
      <c r="X354" s="1"/>
    </row>
    <row r="355" spans="1:24" ht="12.75" customHeight="1" x14ac:dyDescent="0.2">
      <c r="A355" s="1"/>
      <c r="B355" s="1"/>
      <c r="C355" s="89"/>
      <c r="D355" s="89"/>
      <c r="E355" s="93"/>
      <c r="F355" s="93"/>
      <c r="G355" s="1"/>
      <c r="H355" s="1"/>
      <c r="I355" s="1"/>
      <c r="J355" s="1"/>
      <c r="K355" s="1"/>
      <c r="L355" s="1"/>
      <c r="M355" s="1"/>
      <c r="N355" s="1"/>
      <c r="O355" s="1"/>
      <c r="P355" s="1"/>
      <c r="Q355" s="1"/>
      <c r="R355" s="1"/>
      <c r="S355" s="1"/>
      <c r="T355" s="1"/>
      <c r="U355" s="1"/>
      <c r="V355" s="1"/>
      <c r="W355" s="1"/>
      <c r="X355" s="1"/>
    </row>
    <row r="356" spans="1:24" ht="12.75" customHeight="1" x14ac:dyDescent="0.2">
      <c r="A356" s="1"/>
      <c r="B356" s="1"/>
      <c r="C356" s="89"/>
      <c r="D356" s="89"/>
      <c r="E356" s="93"/>
      <c r="F356" s="93"/>
      <c r="G356" s="1"/>
      <c r="H356" s="1"/>
      <c r="I356" s="1"/>
      <c r="J356" s="1"/>
      <c r="K356" s="1"/>
      <c r="L356" s="1"/>
      <c r="M356" s="1"/>
      <c r="N356" s="1"/>
      <c r="O356" s="1"/>
      <c r="P356" s="1"/>
      <c r="Q356" s="1"/>
      <c r="R356" s="1"/>
      <c r="S356" s="1"/>
      <c r="T356" s="1"/>
      <c r="U356" s="1"/>
      <c r="V356" s="1"/>
      <c r="W356" s="1"/>
      <c r="X356" s="1"/>
    </row>
    <row r="357" spans="1:24" ht="12.75" customHeight="1" x14ac:dyDescent="0.2">
      <c r="A357" s="1"/>
      <c r="B357" s="1"/>
      <c r="C357" s="89"/>
      <c r="D357" s="89"/>
      <c r="E357" s="93"/>
      <c r="F357" s="93"/>
      <c r="G357" s="1"/>
      <c r="H357" s="1"/>
      <c r="I357" s="1"/>
      <c r="J357" s="1"/>
      <c r="K357" s="1"/>
      <c r="L357" s="1"/>
      <c r="M357" s="1"/>
      <c r="N357" s="1"/>
      <c r="O357" s="1"/>
      <c r="P357" s="1"/>
      <c r="Q357" s="1"/>
      <c r="R357" s="1"/>
      <c r="S357" s="1"/>
      <c r="T357" s="1"/>
      <c r="U357" s="1"/>
      <c r="V357" s="1"/>
      <c r="W357" s="1"/>
      <c r="X357" s="1"/>
    </row>
    <row r="358" spans="1:24" ht="12.75" customHeight="1" x14ac:dyDescent="0.2">
      <c r="A358" s="1"/>
      <c r="B358" s="1"/>
      <c r="C358" s="89"/>
      <c r="D358" s="89"/>
      <c r="E358" s="93"/>
      <c r="F358" s="93"/>
      <c r="G358" s="1"/>
      <c r="H358" s="1"/>
      <c r="I358" s="1"/>
      <c r="J358" s="1"/>
      <c r="K358" s="1"/>
      <c r="L358" s="1"/>
      <c r="M358" s="1"/>
      <c r="N358" s="1"/>
      <c r="O358" s="1"/>
      <c r="P358" s="1"/>
      <c r="Q358" s="1"/>
      <c r="R358" s="1"/>
      <c r="S358" s="1"/>
      <c r="T358" s="1"/>
      <c r="U358" s="1"/>
      <c r="V358" s="1"/>
      <c r="W358" s="1"/>
      <c r="X358" s="1"/>
    </row>
    <row r="359" spans="1:24" ht="12.75" customHeight="1" x14ac:dyDescent="0.2">
      <c r="A359" s="1"/>
      <c r="B359" s="1"/>
      <c r="C359" s="89"/>
      <c r="D359" s="89"/>
      <c r="E359" s="93"/>
      <c r="F359" s="93"/>
      <c r="G359" s="1"/>
      <c r="H359" s="1"/>
      <c r="I359" s="1"/>
      <c r="J359" s="1"/>
      <c r="K359" s="1"/>
      <c r="L359" s="1"/>
      <c r="M359" s="1"/>
      <c r="N359" s="1"/>
      <c r="O359" s="1"/>
      <c r="P359" s="1"/>
      <c r="Q359" s="1"/>
      <c r="R359" s="1"/>
      <c r="S359" s="1"/>
      <c r="T359" s="1"/>
      <c r="U359" s="1"/>
      <c r="V359" s="1"/>
      <c r="W359" s="1"/>
      <c r="X359" s="1"/>
    </row>
    <row r="360" spans="1:24" ht="12.75" customHeight="1" x14ac:dyDescent="0.2">
      <c r="A360" s="1"/>
      <c r="B360" s="1"/>
      <c r="C360" s="89"/>
      <c r="D360" s="89"/>
      <c r="E360" s="93"/>
      <c r="F360" s="93"/>
      <c r="G360" s="1"/>
      <c r="H360" s="1"/>
      <c r="I360" s="1"/>
      <c r="J360" s="1"/>
      <c r="K360" s="1"/>
      <c r="L360" s="1"/>
      <c r="M360" s="1"/>
      <c r="N360" s="1"/>
      <c r="O360" s="1"/>
      <c r="P360" s="1"/>
      <c r="Q360" s="1"/>
      <c r="R360" s="1"/>
      <c r="S360" s="1"/>
      <c r="T360" s="1"/>
      <c r="U360" s="1"/>
      <c r="V360" s="1"/>
      <c r="W360" s="1"/>
      <c r="X360" s="1"/>
    </row>
    <row r="361" spans="1:24" ht="12.75" customHeight="1" x14ac:dyDescent="0.2">
      <c r="A361" s="1"/>
      <c r="B361" s="1"/>
      <c r="C361" s="89"/>
      <c r="D361" s="89"/>
      <c r="E361" s="93"/>
      <c r="F361" s="93"/>
      <c r="G361" s="1"/>
      <c r="H361" s="1"/>
      <c r="I361" s="1"/>
      <c r="J361" s="1"/>
      <c r="K361" s="1"/>
      <c r="L361" s="1"/>
      <c r="M361" s="1"/>
      <c r="N361" s="1"/>
      <c r="O361" s="1"/>
      <c r="P361" s="1"/>
      <c r="Q361" s="1"/>
      <c r="R361" s="1"/>
      <c r="S361" s="1"/>
      <c r="T361" s="1"/>
      <c r="U361" s="1"/>
      <c r="V361" s="1"/>
      <c r="W361" s="1"/>
      <c r="X361" s="1"/>
    </row>
    <row r="362" spans="1:24" ht="12.75" customHeight="1" x14ac:dyDescent="0.2">
      <c r="A362" s="1"/>
      <c r="B362" s="1"/>
      <c r="C362" s="89"/>
      <c r="D362" s="89"/>
      <c r="E362" s="93"/>
      <c r="F362" s="93"/>
      <c r="G362" s="1"/>
      <c r="H362" s="1"/>
      <c r="I362" s="1"/>
      <c r="J362" s="1"/>
      <c r="K362" s="1"/>
      <c r="L362" s="1"/>
      <c r="M362" s="1"/>
      <c r="N362" s="1"/>
      <c r="O362" s="1"/>
      <c r="P362" s="1"/>
      <c r="Q362" s="1"/>
      <c r="R362" s="1"/>
      <c r="S362" s="1"/>
      <c r="T362" s="1"/>
      <c r="U362" s="1"/>
      <c r="V362" s="1"/>
      <c r="W362" s="1"/>
      <c r="X362" s="1"/>
    </row>
    <row r="363" spans="1:24" ht="12.75" customHeight="1" x14ac:dyDescent="0.2">
      <c r="A363" s="1"/>
      <c r="B363" s="1"/>
      <c r="C363" s="89"/>
      <c r="D363" s="89"/>
      <c r="E363" s="93"/>
      <c r="F363" s="93"/>
      <c r="G363" s="1"/>
      <c r="H363" s="1"/>
      <c r="I363" s="1"/>
      <c r="J363" s="1"/>
      <c r="K363" s="1"/>
      <c r="L363" s="1"/>
      <c r="M363" s="1"/>
      <c r="N363" s="1"/>
      <c r="O363" s="1"/>
      <c r="P363" s="1"/>
      <c r="Q363" s="1"/>
      <c r="R363" s="1"/>
      <c r="S363" s="1"/>
      <c r="T363" s="1"/>
      <c r="U363" s="1"/>
      <c r="V363" s="1"/>
      <c r="W363" s="1"/>
      <c r="X363" s="1"/>
    </row>
    <row r="364" spans="1:24" ht="12.75" customHeight="1" x14ac:dyDescent="0.2">
      <c r="A364" s="1"/>
      <c r="B364" s="1"/>
      <c r="C364" s="89"/>
      <c r="D364" s="89"/>
      <c r="E364" s="93"/>
      <c r="F364" s="93"/>
      <c r="G364" s="1"/>
      <c r="H364" s="1"/>
      <c r="I364" s="1"/>
      <c r="J364" s="1"/>
      <c r="K364" s="1"/>
      <c r="L364" s="1"/>
      <c r="M364" s="1"/>
      <c r="N364" s="1"/>
      <c r="O364" s="1"/>
      <c r="P364" s="1"/>
      <c r="Q364" s="1"/>
      <c r="R364" s="1"/>
      <c r="S364" s="1"/>
      <c r="T364" s="1"/>
      <c r="U364" s="1"/>
      <c r="V364" s="1"/>
      <c r="W364" s="1"/>
      <c r="X364" s="1"/>
    </row>
    <row r="365" spans="1:24" ht="12.75" customHeight="1" x14ac:dyDescent="0.2">
      <c r="A365" s="1"/>
      <c r="B365" s="1"/>
      <c r="C365" s="89"/>
      <c r="D365" s="89"/>
      <c r="E365" s="93"/>
      <c r="F365" s="93"/>
      <c r="G365" s="1"/>
      <c r="H365" s="1"/>
      <c r="I365" s="1"/>
      <c r="J365" s="1"/>
      <c r="K365" s="1"/>
      <c r="L365" s="1"/>
      <c r="M365" s="1"/>
      <c r="N365" s="1"/>
      <c r="O365" s="1"/>
      <c r="P365" s="1"/>
      <c r="Q365" s="1"/>
      <c r="R365" s="1"/>
      <c r="S365" s="1"/>
      <c r="T365" s="1"/>
      <c r="U365" s="1"/>
      <c r="V365" s="1"/>
      <c r="W365" s="1"/>
      <c r="X365" s="1"/>
    </row>
    <row r="366" spans="1:24" ht="12.75" customHeight="1" x14ac:dyDescent="0.2">
      <c r="A366" s="1"/>
      <c r="B366" s="1"/>
      <c r="C366" s="89"/>
      <c r="D366" s="89"/>
      <c r="E366" s="93"/>
      <c r="F366" s="93"/>
      <c r="G366" s="1"/>
      <c r="H366" s="1"/>
      <c r="I366" s="1"/>
      <c r="J366" s="1"/>
      <c r="K366" s="1"/>
      <c r="L366" s="1"/>
      <c r="M366" s="1"/>
      <c r="N366" s="1"/>
      <c r="O366" s="1"/>
      <c r="P366" s="1"/>
      <c r="Q366" s="1"/>
      <c r="R366" s="1"/>
      <c r="S366" s="1"/>
      <c r="T366" s="1"/>
      <c r="U366" s="1"/>
      <c r="V366" s="1"/>
      <c r="W366" s="1"/>
      <c r="X366" s="1"/>
    </row>
    <row r="367" spans="1:24" ht="12.75" customHeight="1" x14ac:dyDescent="0.2">
      <c r="A367" s="1"/>
      <c r="B367" s="1"/>
      <c r="C367" s="89"/>
      <c r="D367" s="89"/>
      <c r="E367" s="93"/>
      <c r="F367" s="93"/>
      <c r="G367" s="1"/>
      <c r="H367" s="1"/>
      <c r="I367" s="1"/>
      <c r="J367" s="1"/>
      <c r="K367" s="1"/>
      <c r="L367" s="1"/>
      <c r="M367" s="1"/>
      <c r="N367" s="1"/>
      <c r="O367" s="1"/>
      <c r="P367" s="1"/>
      <c r="Q367" s="1"/>
      <c r="R367" s="1"/>
      <c r="S367" s="1"/>
      <c r="T367" s="1"/>
      <c r="U367" s="1"/>
      <c r="V367" s="1"/>
      <c r="W367" s="1"/>
      <c r="X367" s="1"/>
    </row>
    <row r="368" spans="1:24" ht="12.75" customHeight="1" x14ac:dyDescent="0.2">
      <c r="A368" s="1"/>
      <c r="B368" s="1"/>
      <c r="C368" s="89"/>
      <c r="D368" s="89"/>
      <c r="E368" s="93"/>
      <c r="F368" s="93"/>
      <c r="G368" s="1"/>
      <c r="H368" s="1"/>
      <c r="I368" s="1"/>
      <c r="J368" s="1"/>
      <c r="K368" s="1"/>
      <c r="L368" s="1"/>
      <c r="M368" s="1"/>
      <c r="N368" s="1"/>
      <c r="O368" s="1"/>
      <c r="P368" s="1"/>
      <c r="Q368" s="1"/>
      <c r="R368" s="1"/>
      <c r="S368" s="1"/>
      <c r="T368" s="1"/>
      <c r="U368" s="1"/>
      <c r="V368" s="1"/>
      <c r="W368" s="1"/>
      <c r="X368" s="1"/>
    </row>
    <row r="369" spans="1:24" ht="12.75" customHeight="1" x14ac:dyDescent="0.2">
      <c r="A369" s="1"/>
      <c r="B369" s="1"/>
      <c r="C369" s="89"/>
      <c r="D369" s="89"/>
      <c r="E369" s="93"/>
      <c r="F369" s="93"/>
      <c r="G369" s="1"/>
      <c r="H369" s="1"/>
      <c r="I369" s="1"/>
      <c r="J369" s="1"/>
      <c r="K369" s="1"/>
      <c r="L369" s="1"/>
      <c r="M369" s="1"/>
      <c r="N369" s="1"/>
      <c r="O369" s="1"/>
      <c r="P369" s="1"/>
      <c r="Q369" s="1"/>
      <c r="R369" s="1"/>
      <c r="S369" s="1"/>
      <c r="T369" s="1"/>
      <c r="U369" s="1"/>
      <c r="V369" s="1"/>
      <c r="W369" s="1"/>
      <c r="X369" s="1"/>
    </row>
    <row r="370" spans="1:24" ht="12.75" customHeight="1" x14ac:dyDescent="0.2">
      <c r="A370" s="1"/>
      <c r="B370" s="1"/>
      <c r="C370" s="89"/>
      <c r="D370" s="89"/>
      <c r="E370" s="93"/>
      <c r="F370" s="93"/>
      <c r="G370" s="1"/>
      <c r="H370" s="1"/>
      <c r="I370" s="1"/>
      <c r="J370" s="1"/>
      <c r="K370" s="1"/>
      <c r="L370" s="1"/>
      <c r="M370" s="1"/>
      <c r="N370" s="1"/>
      <c r="O370" s="1"/>
      <c r="P370" s="1"/>
      <c r="Q370" s="1"/>
      <c r="R370" s="1"/>
      <c r="S370" s="1"/>
      <c r="T370" s="1"/>
      <c r="U370" s="1"/>
      <c r="V370" s="1"/>
      <c r="W370" s="1"/>
      <c r="X370" s="1"/>
    </row>
    <row r="371" spans="1:24" ht="12.75" customHeight="1" x14ac:dyDescent="0.2">
      <c r="A371" s="1"/>
      <c r="B371" s="1"/>
      <c r="C371" s="89"/>
      <c r="D371" s="89"/>
      <c r="E371" s="93"/>
      <c r="F371" s="93"/>
      <c r="G371" s="1"/>
      <c r="H371" s="1"/>
      <c r="I371" s="1"/>
      <c r="J371" s="1"/>
      <c r="K371" s="1"/>
      <c r="L371" s="1"/>
      <c r="M371" s="1"/>
      <c r="N371" s="1"/>
      <c r="O371" s="1"/>
      <c r="P371" s="1"/>
      <c r="Q371" s="1"/>
      <c r="R371" s="1"/>
      <c r="S371" s="1"/>
      <c r="T371" s="1"/>
      <c r="U371" s="1"/>
      <c r="V371" s="1"/>
      <c r="W371" s="1"/>
      <c r="X371" s="1"/>
    </row>
    <row r="372" spans="1:24" ht="12.75" customHeight="1" x14ac:dyDescent="0.2">
      <c r="A372" s="1"/>
      <c r="B372" s="1"/>
      <c r="C372" s="89"/>
      <c r="D372" s="89"/>
      <c r="E372" s="93"/>
      <c r="F372" s="93"/>
      <c r="G372" s="1"/>
      <c r="H372" s="1"/>
      <c r="I372" s="1"/>
      <c r="J372" s="1"/>
      <c r="K372" s="1"/>
      <c r="L372" s="1"/>
      <c r="M372" s="1"/>
      <c r="N372" s="1"/>
      <c r="O372" s="1"/>
      <c r="P372" s="1"/>
      <c r="Q372" s="1"/>
      <c r="R372" s="1"/>
      <c r="S372" s="1"/>
      <c r="T372" s="1"/>
      <c r="U372" s="1"/>
      <c r="V372" s="1"/>
      <c r="W372" s="1"/>
      <c r="X372" s="1"/>
    </row>
    <row r="373" spans="1:24" ht="12.75" customHeight="1" x14ac:dyDescent="0.2">
      <c r="A373" s="1"/>
      <c r="B373" s="1"/>
      <c r="C373" s="89"/>
      <c r="D373" s="89"/>
      <c r="E373" s="93"/>
      <c r="F373" s="93"/>
      <c r="G373" s="1"/>
      <c r="H373" s="1"/>
      <c r="I373" s="1"/>
      <c r="J373" s="1"/>
      <c r="K373" s="1"/>
      <c r="L373" s="1"/>
      <c r="M373" s="1"/>
      <c r="N373" s="1"/>
      <c r="O373" s="1"/>
      <c r="P373" s="1"/>
      <c r="Q373" s="1"/>
      <c r="R373" s="1"/>
      <c r="S373" s="1"/>
      <c r="T373" s="1"/>
      <c r="U373" s="1"/>
      <c r="V373" s="1"/>
      <c r="W373" s="1"/>
      <c r="X373" s="1"/>
    </row>
    <row r="374" spans="1:24" ht="12.75" customHeight="1" x14ac:dyDescent="0.2">
      <c r="A374" s="1"/>
      <c r="B374" s="1"/>
      <c r="C374" s="89"/>
      <c r="D374" s="89"/>
      <c r="E374" s="93"/>
      <c r="F374" s="93"/>
      <c r="G374" s="1"/>
      <c r="H374" s="1"/>
      <c r="I374" s="1"/>
      <c r="J374" s="1"/>
      <c r="K374" s="1"/>
      <c r="L374" s="1"/>
      <c r="M374" s="1"/>
      <c r="N374" s="1"/>
      <c r="O374" s="1"/>
      <c r="P374" s="1"/>
      <c r="Q374" s="1"/>
      <c r="R374" s="1"/>
      <c r="S374" s="1"/>
      <c r="T374" s="1"/>
      <c r="U374" s="1"/>
      <c r="V374" s="1"/>
      <c r="W374" s="1"/>
      <c r="X374" s="1"/>
    </row>
    <row r="375" spans="1:24" ht="12.75" customHeight="1" x14ac:dyDescent="0.2">
      <c r="A375" s="1"/>
      <c r="B375" s="1"/>
      <c r="C375" s="89"/>
      <c r="D375" s="89"/>
      <c r="E375" s="93"/>
      <c r="F375" s="93"/>
      <c r="G375" s="1"/>
      <c r="H375" s="1"/>
      <c r="I375" s="1"/>
      <c r="J375" s="1"/>
      <c r="K375" s="1"/>
      <c r="L375" s="1"/>
      <c r="M375" s="1"/>
      <c r="N375" s="1"/>
      <c r="O375" s="1"/>
      <c r="P375" s="1"/>
      <c r="Q375" s="1"/>
      <c r="R375" s="1"/>
      <c r="S375" s="1"/>
      <c r="T375" s="1"/>
      <c r="U375" s="1"/>
      <c r="V375" s="1"/>
      <c r="W375" s="1"/>
      <c r="X375" s="1"/>
    </row>
    <row r="376" spans="1:24" ht="12.75" customHeight="1" x14ac:dyDescent="0.2">
      <c r="A376" s="1"/>
      <c r="B376" s="1"/>
      <c r="C376" s="89"/>
      <c r="D376" s="89"/>
      <c r="E376" s="93"/>
      <c r="F376" s="93"/>
      <c r="G376" s="1"/>
      <c r="H376" s="1"/>
      <c r="I376" s="1"/>
      <c r="J376" s="1"/>
      <c r="K376" s="1"/>
      <c r="L376" s="1"/>
      <c r="M376" s="1"/>
      <c r="N376" s="1"/>
      <c r="O376" s="1"/>
      <c r="P376" s="1"/>
      <c r="Q376" s="1"/>
      <c r="R376" s="1"/>
      <c r="S376" s="1"/>
      <c r="T376" s="1"/>
      <c r="U376" s="1"/>
      <c r="V376" s="1"/>
      <c r="W376" s="1"/>
      <c r="X376" s="1"/>
    </row>
    <row r="377" spans="1:24" ht="12.75" customHeight="1" x14ac:dyDescent="0.2">
      <c r="A377" s="1"/>
      <c r="B377" s="1"/>
      <c r="C377" s="89"/>
      <c r="D377" s="89"/>
      <c r="E377" s="93"/>
      <c r="F377" s="93"/>
      <c r="G377" s="1"/>
      <c r="H377" s="1"/>
      <c r="I377" s="1"/>
      <c r="J377" s="1"/>
      <c r="K377" s="1"/>
      <c r="L377" s="1"/>
      <c r="M377" s="1"/>
      <c r="N377" s="1"/>
      <c r="O377" s="1"/>
      <c r="P377" s="1"/>
      <c r="Q377" s="1"/>
      <c r="R377" s="1"/>
      <c r="S377" s="1"/>
      <c r="T377" s="1"/>
      <c r="U377" s="1"/>
      <c r="V377" s="1"/>
      <c r="W377" s="1"/>
      <c r="X377" s="1"/>
    </row>
    <row r="378" spans="1:24" ht="12.75" customHeight="1" x14ac:dyDescent="0.2">
      <c r="A378" s="1"/>
      <c r="B378" s="1"/>
      <c r="C378" s="89"/>
      <c r="D378" s="89"/>
      <c r="E378" s="93"/>
      <c r="F378" s="93"/>
      <c r="G378" s="1"/>
      <c r="H378" s="1"/>
      <c r="I378" s="1"/>
      <c r="J378" s="1"/>
      <c r="K378" s="1"/>
      <c r="L378" s="1"/>
      <c r="M378" s="1"/>
      <c r="N378" s="1"/>
      <c r="O378" s="1"/>
      <c r="P378" s="1"/>
      <c r="Q378" s="1"/>
      <c r="R378" s="1"/>
      <c r="S378" s="1"/>
      <c r="T378" s="1"/>
      <c r="U378" s="1"/>
      <c r="V378" s="1"/>
      <c r="W378" s="1"/>
      <c r="X378" s="1"/>
    </row>
    <row r="379" spans="1:24" ht="12.75" customHeight="1" x14ac:dyDescent="0.2">
      <c r="A379" s="1"/>
      <c r="B379" s="1"/>
      <c r="C379" s="89"/>
      <c r="D379" s="89"/>
      <c r="E379" s="93"/>
      <c r="F379" s="93"/>
      <c r="G379" s="1"/>
      <c r="H379" s="1"/>
      <c r="I379" s="1"/>
      <c r="J379" s="1"/>
      <c r="K379" s="1"/>
      <c r="L379" s="1"/>
      <c r="M379" s="1"/>
      <c r="N379" s="1"/>
      <c r="O379" s="1"/>
      <c r="P379" s="1"/>
      <c r="Q379" s="1"/>
      <c r="R379" s="1"/>
      <c r="S379" s="1"/>
      <c r="T379" s="1"/>
      <c r="U379" s="1"/>
      <c r="V379" s="1"/>
      <c r="W379" s="1"/>
      <c r="X379" s="1"/>
    </row>
    <row r="380" spans="1:24" ht="12.75" customHeight="1" x14ac:dyDescent="0.2">
      <c r="A380" s="1"/>
      <c r="B380" s="1"/>
      <c r="C380" s="89"/>
      <c r="D380" s="89"/>
      <c r="E380" s="93"/>
      <c r="F380" s="93"/>
      <c r="G380" s="1"/>
      <c r="H380" s="1"/>
      <c r="I380" s="1"/>
      <c r="J380" s="1"/>
      <c r="K380" s="1"/>
      <c r="L380" s="1"/>
      <c r="M380" s="1"/>
      <c r="N380" s="1"/>
      <c r="O380" s="1"/>
      <c r="P380" s="1"/>
      <c r="Q380" s="1"/>
      <c r="R380" s="1"/>
      <c r="S380" s="1"/>
      <c r="T380" s="1"/>
      <c r="U380" s="1"/>
      <c r="V380" s="1"/>
      <c r="W380" s="1"/>
      <c r="X380" s="1"/>
    </row>
    <row r="381" spans="1:24" ht="12.75" customHeight="1" x14ac:dyDescent="0.2">
      <c r="A381" s="1"/>
      <c r="B381" s="1"/>
      <c r="C381" s="89"/>
      <c r="D381" s="89"/>
      <c r="E381" s="93"/>
      <c r="F381" s="93"/>
      <c r="G381" s="1"/>
      <c r="H381" s="1"/>
      <c r="I381" s="1"/>
      <c r="J381" s="1"/>
      <c r="K381" s="1"/>
      <c r="L381" s="1"/>
      <c r="M381" s="1"/>
      <c r="N381" s="1"/>
      <c r="O381" s="1"/>
      <c r="P381" s="1"/>
      <c r="Q381" s="1"/>
      <c r="R381" s="1"/>
      <c r="S381" s="1"/>
      <c r="T381" s="1"/>
      <c r="U381" s="1"/>
      <c r="V381" s="1"/>
      <c r="W381" s="1"/>
      <c r="X381" s="1"/>
    </row>
    <row r="382" spans="1:24" ht="12.75" customHeight="1" x14ac:dyDescent="0.2">
      <c r="A382" s="1"/>
      <c r="B382" s="1"/>
      <c r="C382" s="89"/>
      <c r="D382" s="89"/>
      <c r="E382" s="93"/>
      <c r="F382" s="93"/>
      <c r="G382" s="1"/>
      <c r="H382" s="1"/>
      <c r="I382" s="1"/>
      <c r="J382" s="1"/>
      <c r="K382" s="1"/>
      <c r="L382" s="1"/>
      <c r="M382" s="1"/>
      <c r="N382" s="1"/>
      <c r="O382" s="1"/>
      <c r="P382" s="1"/>
      <c r="Q382" s="1"/>
      <c r="R382" s="1"/>
      <c r="S382" s="1"/>
      <c r="T382" s="1"/>
      <c r="U382" s="1"/>
      <c r="V382" s="1"/>
      <c r="W382" s="1"/>
      <c r="X382" s="1"/>
    </row>
    <row r="383" spans="1:24" ht="12.75" customHeight="1" x14ac:dyDescent="0.2">
      <c r="A383" s="1"/>
      <c r="B383" s="1"/>
      <c r="C383" s="89"/>
      <c r="D383" s="89"/>
      <c r="E383" s="93"/>
      <c r="F383" s="93"/>
      <c r="G383" s="1"/>
      <c r="H383" s="1"/>
      <c r="I383" s="1"/>
      <c r="J383" s="1"/>
      <c r="K383" s="1"/>
      <c r="L383" s="1"/>
      <c r="M383" s="1"/>
      <c r="N383" s="1"/>
      <c r="O383" s="1"/>
      <c r="P383" s="1"/>
      <c r="Q383" s="1"/>
      <c r="R383" s="1"/>
      <c r="S383" s="1"/>
      <c r="T383" s="1"/>
      <c r="U383" s="1"/>
      <c r="V383" s="1"/>
      <c r="W383" s="1"/>
      <c r="X383" s="1"/>
    </row>
    <row r="384" spans="1:24" ht="12.75" customHeight="1" x14ac:dyDescent="0.2">
      <c r="A384" s="1"/>
      <c r="B384" s="1"/>
      <c r="C384" s="89"/>
      <c r="D384" s="89"/>
      <c r="E384" s="93"/>
      <c r="F384" s="93"/>
      <c r="G384" s="1"/>
      <c r="H384" s="1"/>
      <c r="I384" s="1"/>
      <c r="J384" s="1"/>
      <c r="K384" s="1"/>
      <c r="L384" s="1"/>
      <c r="M384" s="1"/>
      <c r="N384" s="1"/>
      <c r="O384" s="1"/>
      <c r="P384" s="1"/>
      <c r="Q384" s="1"/>
      <c r="R384" s="1"/>
      <c r="S384" s="1"/>
      <c r="T384" s="1"/>
      <c r="U384" s="1"/>
      <c r="V384" s="1"/>
      <c r="W384" s="1"/>
      <c r="X384" s="1"/>
    </row>
    <row r="385" spans="1:24" ht="12.75" customHeight="1" x14ac:dyDescent="0.2">
      <c r="A385" s="1"/>
      <c r="B385" s="1"/>
      <c r="C385" s="89"/>
      <c r="D385" s="89"/>
      <c r="E385" s="93"/>
      <c r="F385" s="93"/>
      <c r="G385" s="1"/>
      <c r="H385" s="1"/>
      <c r="I385" s="1"/>
      <c r="J385" s="1"/>
      <c r="K385" s="1"/>
      <c r="L385" s="1"/>
      <c r="M385" s="1"/>
      <c r="N385" s="1"/>
      <c r="O385" s="1"/>
      <c r="P385" s="1"/>
      <c r="Q385" s="1"/>
      <c r="R385" s="1"/>
      <c r="S385" s="1"/>
      <c r="T385" s="1"/>
      <c r="U385" s="1"/>
      <c r="V385" s="1"/>
      <c r="W385" s="1"/>
      <c r="X385" s="1"/>
    </row>
    <row r="386" spans="1:24" ht="12.75" customHeight="1" x14ac:dyDescent="0.2">
      <c r="A386" s="1"/>
      <c r="B386" s="1"/>
      <c r="C386" s="89"/>
      <c r="D386" s="89"/>
      <c r="E386" s="93"/>
      <c r="F386" s="93"/>
      <c r="G386" s="1"/>
      <c r="H386" s="1"/>
      <c r="I386" s="1"/>
      <c r="J386" s="1"/>
      <c r="K386" s="1"/>
      <c r="L386" s="1"/>
      <c r="M386" s="1"/>
      <c r="N386" s="1"/>
      <c r="O386" s="1"/>
      <c r="P386" s="1"/>
      <c r="Q386" s="1"/>
      <c r="R386" s="1"/>
      <c r="S386" s="1"/>
      <c r="T386" s="1"/>
      <c r="U386" s="1"/>
      <c r="V386" s="1"/>
      <c r="W386" s="1"/>
      <c r="X386" s="1"/>
    </row>
    <row r="387" spans="1:24" ht="12.75" customHeight="1" x14ac:dyDescent="0.2">
      <c r="A387" s="1"/>
      <c r="B387" s="1"/>
      <c r="C387" s="89"/>
      <c r="D387" s="89"/>
      <c r="E387" s="93"/>
      <c r="F387" s="93"/>
      <c r="G387" s="1"/>
      <c r="H387" s="1"/>
      <c r="I387" s="1"/>
      <c r="J387" s="1"/>
      <c r="K387" s="1"/>
      <c r="L387" s="1"/>
      <c r="M387" s="1"/>
      <c r="N387" s="1"/>
      <c r="O387" s="1"/>
      <c r="P387" s="1"/>
      <c r="Q387" s="1"/>
      <c r="R387" s="1"/>
      <c r="S387" s="1"/>
      <c r="T387" s="1"/>
      <c r="U387" s="1"/>
      <c r="V387" s="1"/>
      <c r="W387" s="1"/>
      <c r="X387" s="1"/>
    </row>
    <row r="388" spans="1:24" ht="12.75" customHeight="1" x14ac:dyDescent="0.2">
      <c r="A388" s="1"/>
      <c r="B388" s="1"/>
      <c r="C388" s="89"/>
      <c r="D388" s="89"/>
      <c r="E388" s="93"/>
      <c r="F388" s="93"/>
      <c r="G388" s="1"/>
      <c r="H388" s="1"/>
      <c r="I388" s="1"/>
      <c r="J388" s="1"/>
      <c r="K388" s="1"/>
      <c r="L388" s="1"/>
      <c r="M388" s="1"/>
      <c r="N388" s="1"/>
      <c r="O388" s="1"/>
      <c r="P388" s="1"/>
      <c r="Q388" s="1"/>
      <c r="R388" s="1"/>
      <c r="S388" s="1"/>
      <c r="T388" s="1"/>
      <c r="U388" s="1"/>
      <c r="V388" s="1"/>
      <c r="W388" s="1"/>
      <c r="X388" s="1"/>
    </row>
    <row r="389" spans="1:24" ht="12.75" customHeight="1" x14ac:dyDescent="0.2">
      <c r="A389" s="1"/>
      <c r="B389" s="1"/>
      <c r="C389" s="89"/>
      <c r="D389" s="89"/>
      <c r="E389" s="93"/>
      <c r="F389" s="93"/>
      <c r="G389" s="1"/>
      <c r="H389" s="1"/>
      <c r="I389" s="1"/>
      <c r="J389" s="1"/>
      <c r="K389" s="1"/>
      <c r="L389" s="1"/>
      <c r="M389" s="1"/>
      <c r="N389" s="1"/>
      <c r="O389" s="1"/>
      <c r="P389" s="1"/>
      <c r="Q389" s="1"/>
      <c r="R389" s="1"/>
      <c r="S389" s="1"/>
      <c r="T389" s="1"/>
      <c r="U389" s="1"/>
      <c r="V389" s="1"/>
      <c r="W389" s="1"/>
      <c r="X389" s="1"/>
    </row>
    <row r="390" spans="1:24" ht="12.75" customHeight="1" x14ac:dyDescent="0.2">
      <c r="A390" s="1"/>
      <c r="B390" s="1"/>
      <c r="C390" s="89"/>
      <c r="D390" s="89"/>
      <c r="E390" s="93"/>
      <c r="F390" s="93"/>
      <c r="G390" s="1"/>
      <c r="H390" s="1"/>
      <c r="I390" s="1"/>
      <c r="J390" s="1"/>
      <c r="K390" s="1"/>
      <c r="L390" s="1"/>
      <c r="M390" s="1"/>
      <c r="N390" s="1"/>
      <c r="O390" s="1"/>
      <c r="P390" s="1"/>
      <c r="Q390" s="1"/>
      <c r="R390" s="1"/>
      <c r="S390" s="1"/>
      <c r="T390" s="1"/>
      <c r="U390" s="1"/>
      <c r="V390" s="1"/>
      <c r="W390" s="1"/>
      <c r="X390" s="1"/>
    </row>
    <row r="391" spans="1:24" ht="12.75" customHeight="1" x14ac:dyDescent="0.2">
      <c r="A391" s="1"/>
      <c r="B391" s="1"/>
      <c r="C391" s="89"/>
      <c r="D391" s="89"/>
      <c r="E391" s="93"/>
      <c r="F391" s="93"/>
      <c r="G391" s="1"/>
      <c r="H391" s="1"/>
      <c r="I391" s="1"/>
      <c r="J391" s="1"/>
      <c r="K391" s="1"/>
      <c r="L391" s="1"/>
      <c r="M391" s="1"/>
      <c r="N391" s="1"/>
      <c r="O391" s="1"/>
      <c r="P391" s="1"/>
      <c r="Q391" s="1"/>
      <c r="R391" s="1"/>
      <c r="S391" s="1"/>
      <c r="T391" s="1"/>
      <c r="U391" s="1"/>
      <c r="V391" s="1"/>
      <c r="W391" s="1"/>
      <c r="X391" s="1"/>
    </row>
    <row r="392" spans="1:24" ht="12.75" customHeight="1" x14ac:dyDescent="0.2">
      <c r="A392" s="1"/>
      <c r="B392" s="1"/>
      <c r="C392" s="89"/>
      <c r="D392" s="89"/>
      <c r="E392" s="93"/>
      <c r="F392" s="93"/>
      <c r="G392" s="1"/>
      <c r="H392" s="1"/>
      <c r="I392" s="1"/>
      <c r="J392" s="1"/>
      <c r="K392" s="1"/>
      <c r="L392" s="1"/>
      <c r="M392" s="1"/>
      <c r="N392" s="1"/>
      <c r="O392" s="1"/>
      <c r="P392" s="1"/>
      <c r="Q392" s="1"/>
      <c r="R392" s="1"/>
      <c r="S392" s="1"/>
      <c r="T392" s="1"/>
      <c r="U392" s="1"/>
      <c r="V392" s="1"/>
      <c r="W392" s="1"/>
      <c r="X392" s="1"/>
    </row>
    <row r="393" spans="1:24" ht="12.75" customHeight="1" x14ac:dyDescent="0.2">
      <c r="A393" s="1"/>
      <c r="B393" s="1"/>
      <c r="C393" s="89"/>
      <c r="D393" s="89"/>
      <c r="E393" s="93"/>
      <c r="F393" s="93"/>
      <c r="G393" s="1"/>
      <c r="H393" s="1"/>
      <c r="I393" s="1"/>
      <c r="J393" s="1"/>
      <c r="K393" s="1"/>
      <c r="L393" s="1"/>
      <c r="M393" s="1"/>
      <c r="N393" s="1"/>
      <c r="O393" s="1"/>
      <c r="P393" s="1"/>
      <c r="Q393" s="1"/>
      <c r="R393" s="1"/>
      <c r="S393" s="1"/>
      <c r="T393" s="1"/>
      <c r="U393" s="1"/>
      <c r="V393" s="1"/>
      <c r="W393" s="1"/>
      <c r="X393" s="1"/>
    </row>
    <row r="394" spans="1:24" ht="12.75" customHeight="1" x14ac:dyDescent="0.2">
      <c r="A394" s="1"/>
      <c r="B394" s="1"/>
      <c r="C394" s="89"/>
      <c r="D394" s="89"/>
      <c r="E394" s="93"/>
      <c r="F394" s="93"/>
      <c r="G394" s="1"/>
      <c r="H394" s="1"/>
      <c r="I394" s="1"/>
      <c r="J394" s="1"/>
      <c r="K394" s="1"/>
      <c r="L394" s="1"/>
      <c r="M394" s="1"/>
      <c r="N394" s="1"/>
      <c r="O394" s="1"/>
      <c r="P394" s="1"/>
      <c r="Q394" s="1"/>
      <c r="R394" s="1"/>
      <c r="S394" s="1"/>
      <c r="T394" s="1"/>
      <c r="U394" s="1"/>
      <c r="V394" s="1"/>
      <c r="W394" s="1"/>
      <c r="X394" s="1"/>
    </row>
    <row r="395" spans="1:24" ht="12.75" customHeight="1" x14ac:dyDescent="0.2">
      <c r="A395" s="1"/>
      <c r="B395" s="1"/>
      <c r="C395" s="89"/>
      <c r="D395" s="89"/>
      <c r="E395" s="93"/>
      <c r="F395" s="93"/>
      <c r="G395" s="1"/>
      <c r="H395" s="1"/>
      <c r="I395" s="1"/>
      <c r="J395" s="1"/>
      <c r="K395" s="1"/>
      <c r="L395" s="1"/>
      <c r="M395" s="1"/>
      <c r="N395" s="1"/>
      <c r="O395" s="1"/>
      <c r="P395" s="1"/>
      <c r="Q395" s="1"/>
      <c r="R395" s="1"/>
      <c r="S395" s="1"/>
      <c r="T395" s="1"/>
      <c r="U395" s="1"/>
      <c r="V395" s="1"/>
      <c r="W395" s="1"/>
      <c r="X395" s="1"/>
    </row>
    <row r="396" spans="1:24" ht="12.75" customHeight="1" x14ac:dyDescent="0.2">
      <c r="A396" s="1"/>
      <c r="B396" s="1"/>
      <c r="C396" s="89"/>
      <c r="D396" s="89"/>
      <c r="E396" s="93"/>
      <c r="F396" s="93"/>
      <c r="G396" s="1"/>
      <c r="H396" s="1"/>
      <c r="I396" s="1"/>
      <c r="J396" s="1"/>
      <c r="K396" s="1"/>
      <c r="L396" s="1"/>
      <c r="M396" s="1"/>
      <c r="N396" s="1"/>
      <c r="O396" s="1"/>
      <c r="P396" s="1"/>
      <c r="Q396" s="1"/>
      <c r="R396" s="1"/>
      <c r="S396" s="1"/>
      <c r="T396" s="1"/>
      <c r="U396" s="1"/>
      <c r="V396" s="1"/>
      <c r="W396" s="1"/>
      <c r="X396" s="1"/>
    </row>
    <row r="397" spans="1:24" ht="12.75" customHeight="1" x14ac:dyDescent="0.2">
      <c r="A397" s="1"/>
      <c r="B397" s="1"/>
      <c r="C397" s="89"/>
      <c r="D397" s="89"/>
      <c r="E397" s="93"/>
      <c r="F397" s="93"/>
      <c r="G397" s="1"/>
      <c r="H397" s="1"/>
      <c r="I397" s="1"/>
      <c r="J397" s="1"/>
      <c r="K397" s="1"/>
      <c r="L397" s="1"/>
      <c r="M397" s="1"/>
      <c r="N397" s="1"/>
      <c r="O397" s="1"/>
      <c r="P397" s="1"/>
      <c r="Q397" s="1"/>
      <c r="R397" s="1"/>
      <c r="S397" s="1"/>
      <c r="T397" s="1"/>
      <c r="U397" s="1"/>
      <c r="V397" s="1"/>
      <c r="W397" s="1"/>
      <c r="X397" s="1"/>
    </row>
    <row r="398" spans="1:24" ht="12.75" customHeight="1" x14ac:dyDescent="0.2">
      <c r="A398" s="1"/>
      <c r="B398" s="1"/>
      <c r="C398" s="89"/>
      <c r="D398" s="89"/>
      <c r="E398" s="93"/>
      <c r="F398" s="93"/>
      <c r="G398" s="1"/>
      <c r="H398" s="1"/>
      <c r="I398" s="1"/>
      <c r="J398" s="1"/>
      <c r="K398" s="1"/>
      <c r="L398" s="1"/>
      <c r="M398" s="1"/>
      <c r="N398" s="1"/>
      <c r="O398" s="1"/>
      <c r="P398" s="1"/>
      <c r="Q398" s="1"/>
      <c r="R398" s="1"/>
      <c r="S398" s="1"/>
      <c r="T398" s="1"/>
      <c r="U398" s="1"/>
      <c r="V398" s="1"/>
      <c r="W398" s="1"/>
      <c r="X398" s="1"/>
    </row>
    <row r="399" spans="1:24" ht="12.75" customHeight="1" x14ac:dyDescent="0.2">
      <c r="A399" s="1"/>
      <c r="B399" s="1"/>
      <c r="C399" s="89"/>
      <c r="D399" s="89"/>
      <c r="E399" s="93"/>
      <c r="F399" s="93"/>
      <c r="G399" s="1"/>
      <c r="H399" s="1"/>
      <c r="I399" s="1"/>
      <c r="J399" s="1"/>
      <c r="K399" s="1"/>
      <c r="L399" s="1"/>
      <c r="M399" s="1"/>
      <c r="N399" s="1"/>
      <c r="O399" s="1"/>
      <c r="P399" s="1"/>
      <c r="Q399" s="1"/>
      <c r="R399" s="1"/>
      <c r="S399" s="1"/>
      <c r="T399" s="1"/>
      <c r="U399" s="1"/>
      <c r="V399" s="1"/>
      <c r="W399" s="1"/>
      <c r="X399" s="1"/>
    </row>
    <row r="400" spans="1:24" ht="12.75" customHeight="1" x14ac:dyDescent="0.2">
      <c r="A400" s="1"/>
      <c r="B400" s="1"/>
      <c r="C400" s="89"/>
      <c r="D400" s="89"/>
      <c r="E400" s="93"/>
      <c r="F400" s="93"/>
      <c r="G400" s="1"/>
      <c r="H400" s="1"/>
      <c r="I400" s="1"/>
      <c r="J400" s="1"/>
      <c r="K400" s="1"/>
      <c r="L400" s="1"/>
      <c r="M400" s="1"/>
      <c r="N400" s="1"/>
      <c r="O400" s="1"/>
      <c r="P400" s="1"/>
      <c r="Q400" s="1"/>
      <c r="R400" s="1"/>
      <c r="S400" s="1"/>
      <c r="T400" s="1"/>
      <c r="U400" s="1"/>
      <c r="V400" s="1"/>
      <c r="W400" s="1"/>
      <c r="X400" s="1"/>
    </row>
    <row r="401" spans="1:24" ht="12.75" customHeight="1" x14ac:dyDescent="0.2">
      <c r="A401" s="1"/>
      <c r="B401" s="1"/>
      <c r="C401" s="89"/>
      <c r="D401" s="89"/>
      <c r="E401" s="93"/>
      <c r="F401" s="93"/>
      <c r="G401" s="1"/>
      <c r="H401" s="1"/>
      <c r="I401" s="1"/>
      <c r="J401" s="1"/>
      <c r="K401" s="1"/>
      <c r="L401" s="1"/>
      <c r="M401" s="1"/>
      <c r="N401" s="1"/>
      <c r="O401" s="1"/>
      <c r="P401" s="1"/>
      <c r="Q401" s="1"/>
      <c r="R401" s="1"/>
      <c r="S401" s="1"/>
      <c r="T401" s="1"/>
      <c r="U401" s="1"/>
      <c r="V401" s="1"/>
      <c r="W401" s="1"/>
      <c r="X401" s="1"/>
    </row>
    <row r="402" spans="1:24" ht="12.75" customHeight="1" x14ac:dyDescent="0.2">
      <c r="A402" s="1"/>
      <c r="B402" s="1"/>
      <c r="C402" s="89"/>
      <c r="D402" s="89"/>
      <c r="E402" s="93"/>
      <c r="F402" s="93"/>
      <c r="G402" s="1"/>
      <c r="H402" s="1"/>
      <c r="I402" s="1"/>
      <c r="J402" s="1"/>
      <c r="K402" s="1"/>
      <c r="L402" s="1"/>
      <c r="M402" s="1"/>
      <c r="N402" s="1"/>
      <c r="O402" s="1"/>
      <c r="P402" s="1"/>
      <c r="Q402" s="1"/>
      <c r="R402" s="1"/>
      <c r="S402" s="1"/>
      <c r="T402" s="1"/>
      <c r="U402" s="1"/>
      <c r="V402" s="1"/>
      <c r="W402" s="1"/>
      <c r="X402" s="1"/>
    </row>
    <row r="403" spans="1:24" ht="12.75" customHeight="1" x14ac:dyDescent="0.2">
      <c r="A403" s="1"/>
      <c r="B403" s="1"/>
      <c r="C403" s="89"/>
      <c r="D403" s="89"/>
      <c r="E403" s="93"/>
      <c r="F403" s="93"/>
      <c r="G403" s="1"/>
      <c r="H403" s="1"/>
      <c r="I403" s="1"/>
      <c r="J403" s="1"/>
      <c r="K403" s="1"/>
      <c r="L403" s="1"/>
      <c r="M403" s="1"/>
      <c r="N403" s="1"/>
      <c r="O403" s="1"/>
      <c r="P403" s="1"/>
      <c r="Q403" s="1"/>
      <c r="R403" s="1"/>
      <c r="S403" s="1"/>
      <c r="T403" s="1"/>
      <c r="U403" s="1"/>
      <c r="V403" s="1"/>
      <c r="W403" s="1"/>
      <c r="X403" s="1"/>
    </row>
    <row r="404" spans="1:24" ht="12.75" customHeight="1" x14ac:dyDescent="0.2">
      <c r="A404" s="1"/>
      <c r="B404" s="1"/>
      <c r="C404" s="89"/>
      <c r="D404" s="89"/>
      <c r="E404" s="93"/>
      <c r="F404" s="93"/>
      <c r="G404" s="1"/>
      <c r="H404" s="1"/>
      <c r="I404" s="1"/>
      <c r="J404" s="1"/>
      <c r="K404" s="1"/>
      <c r="L404" s="1"/>
      <c r="M404" s="1"/>
      <c r="N404" s="1"/>
      <c r="O404" s="1"/>
      <c r="P404" s="1"/>
      <c r="Q404" s="1"/>
      <c r="R404" s="1"/>
      <c r="S404" s="1"/>
      <c r="T404" s="1"/>
      <c r="U404" s="1"/>
      <c r="V404" s="1"/>
      <c r="W404" s="1"/>
      <c r="X404" s="1"/>
    </row>
    <row r="405" spans="1:24" ht="12.75" customHeight="1" x14ac:dyDescent="0.2">
      <c r="A405" s="1"/>
      <c r="B405" s="1"/>
      <c r="C405" s="89"/>
      <c r="D405" s="89"/>
      <c r="E405" s="93"/>
      <c r="F405" s="93"/>
      <c r="G405" s="1"/>
      <c r="H405" s="1"/>
      <c r="I405" s="1"/>
      <c r="J405" s="1"/>
      <c r="K405" s="1"/>
      <c r="L405" s="1"/>
      <c r="M405" s="1"/>
      <c r="N405" s="1"/>
      <c r="O405" s="1"/>
      <c r="P405" s="1"/>
      <c r="Q405" s="1"/>
      <c r="R405" s="1"/>
      <c r="S405" s="1"/>
      <c r="T405" s="1"/>
      <c r="U405" s="1"/>
      <c r="V405" s="1"/>
      <c r="W405" s="1"/>
      <c r="X405" s="1"/>
    </row>
    <row r="406" spans="1:24" ht="12.75" customHeight="1" x14ac:dyDescent="0.2">
      <c r="A406" s="1"/>
      <c r="B406" s="1"/>
      <c r="C406" s="89"/>
      <c r="D406" s="89"/>
      <c r="E406" s="93"/>
      <c r="F406" s="93"/>
      <c r="G406" s="1"/>
      <c r="H406" s="1"/>
      <c r="I406" s="1"/>
      <c r="J406" s="1"/>
      <c r="K406" s="1"/>
      <c r="L406" s="1"/>
      <c r="M406" s="1"/>
      <c r="N406" s="1"/>
      <c r="O406" s="1"/>
      <c r="P406" s="1"/>
      <c r="Q406" s="1"/>
      <c r="R406" s="1"/>
      <c r="S406" s="1"/>
      <c r="T406" s="1"/>
      <c r="U406" s="1"/>
      <c r="V406" s="1"/>
      <c r="W406" s="1"/>
      <c r="X406" s="1"/>
    </row>
    <row r="407" spans="1:24" ht="12.75" customHeight="1" x14ac:dyDescent="0.2">
      <c r="A407" s="1"/>
      <c r="B407" s="1"/>
      <c r="C407" s="89"/>
      <c r="D407" s="89"/>
      <c r="E407" s="93"/>
      <c r="F407" s="93"/>
      <c r="G407" s="1"/>
      <c r="H407" s="1"/>
      <c r="I407" s="1"/>
      <c r="J407" s="1"/>
      <c r="K407" s="1"/>
      <c r="L407" s="1"/>
      <c r="M407" s="1"/>
      <c r="N407" s="1"/>
      <c r="O407" s="1"/>
      <c r="P407" s="1"/>
      <c r="Q407" s="1"/>
      <c r="R407" s="1"/>
      <c r="S407" s="1"/>
      <c r="T407" s="1"/>
      <c r="U407" s="1"/>
      <c r="V407" s="1"/>
      <c r="W407" s="1"/>
      <c r="X407" s="1"/>
    </row>
    <row r="408" spans="1:24" ht="12.75" customHeight="1" x14ac:dyDescent="0.2">
      <c r="A408" s="1"/>
      <c r="B408" s="1"/>
      <c r="C408" s="89"/>
      <c r="D408" s="89"/>
      <c r="E408" s="93"/>
      <c r="F408" s="93"/>
      <c r="G408" s="1"/>
      <c r="H408" s="1"/>
      <c r="I408" s="1"/>
      <c r="J408" s="1"/>
      <c r="K408" s="1"/>
      <c r="L408" s="1"/>
      <c r="M408" s="1"/>
      <c r="N408" s="1"/>
      <c r="O408" s="1"/>
      <c r="P408" s="1"/>
      <c r="Q408" s="1"/>
      <c r="R408" s="1"/>
      <c r="S408" s="1"/>
      <c r="T408" s="1"/>
      <c r="U408" s="1"/>
      <c r="V408" s="1"/>
      <c r="W408" s="1"/>
      <c r="X408" s="1"/>
    </row>
    <row r="409" spans="1:24" ht="12.75" customHeight="1" x14ac:dyDescent="0.2">
      <c r="A409" s="1"/>
      <c r="B409" s="1"/>
      <c r="C409" s="89"/>
      <c r="D409" s="89"/>
      <c r="E409" s="93"/>
      <c r="F409" s="93"/>
      <c r="G409" s="1"/>
      <c r="H409" s="1"/>
      <c r="I409" s="1"/>
      <c r="J409" s="1"/>
      <c r="K409" s="1"/>
      <c r="L409" s="1"/>
      <c r="M409" s="1"/>
      <c r="N409" s="1"/>
      <c r="O409" s="1"/>
      <c r="P409" s="1"/>
      <c r="Q409" s="1"/>
      <c r="R409" s="1"/>
      <c r="S409" s="1"/>
      <c r="T409" s="1"/>
      <c r="U409" s="1"/>
      <c r="V409" s="1"/>
      <c r="W409" s="1"/>
      <c r="X409" s="1"/>
    </row>
    <row r="410" spans="1:24" ht="12.75" customHeight="1" x14ac:dyDescent="0.2">
      <c r="A410" s="1"/>
      <c r="B410" s="1"/>
      <c r="C410" s="89"/>
      <c r="D410" s="89"/>
      <c r="E410" s="93"/>
      <c r="F410" s="93"/>
      <c r="G410" s="1"/>
      <c r="H410" s="1"/>
      <c r="I410" s="1"/>
      <c r="J410" s="1"/>
      <c r="K410" s="1"/>
      <c r="L410" s="1"/>
      <c r="M410" s="1"/>
      <c r="N410" s="1"/>
      <c r="O410" s="1"/>
      <c r="P410" s="1"/>
      <c r="Q410" s="1"/>
      <c r="R410" s="1"/>
      <c r="S410" s="1"/>
      <c r="T410" s="1"/>
      <c r="U410" s="1"/>
      <c r="V410" s="1"/>
      <c r="W410" s="1"/>
      <c r="X410" s="1"/>
    </row>
    <row r="411" spans="1:24" ht="12.75" customHeight="1" x14ac:dyDescent="0.2">
      <c r="A411" s="1"/>
      <c r="B411" s="1"/>
      <c r="C411" s="89"/>
      <c r="D411" s="89"/>
      <c r="E411" s="93"/>
      <c r="F411" s="93"/>
      <c r="G411" s="1"/>
      <c r="H411" s="1"/>
      <c r="I411" s="1"/>
      <c r="J411" s="1"/>
      <c r="K411" s="1"/>
      <c r="L411" s="1"/>
      <c r="M411" s="1"/>
      <c r="N411" s="1"/>
      <c r="O411" s="1"/>
      <c r="P411" s="1"/>
      <c r="Q411" s="1"/>
      <c r="R411" s="1"/>
      <c r="S411" s="1"/>
      <c r="T411" s="1"/>
      <c r="U411" s="1"/>
      <c r="V411" s="1"/>
      <c r="W411" s="1"/>
      <c r="X411" s="1"/>
    </row>
    <row r="412" spans="1:24" ht="12.75" customHeight="1" x14ac:dyDescent="0.2">
      <c r="A412" s="1"/>
      <c r="B412" s="1"/>
      <c r="C412" s="89"/>
      <c r="D412" s="89"/>
      <c r="E412" s="93"/>
      <c r="F412" s="93"/>
      <c r="G412" s="1"/>
      <c r="H412" s="1"/>
      <c r="I412" s="1"/>
      <c r="J412" s="1"/>
      <c r="K412" s="1"/>
      <c r="L412" s="1"/>
      <c r="M412" s="1"/>
      <c r="N412" s="1"/>
      <c r="O412" s="1"/>
      <c r="P412" s="1"/>
      <c r="Q412" s="1"/>
      <c r="R412" s="1"/>
      <c r="S412" s="1"/>
      <c r="T412" s="1"/>
      <c r="U412" s="1"/>
      <c r="V412" s="1"/>
      <c r="W412" s="1"/>
      <c r="X412" s="1"/>
    </row>
    <row r="413" spans="1:24" ht="12.75" customHeight="1" x14ac:dyDescent="0.2">
      <c r="A413" s="1"/>
      <c r="B413" s="1"/>
      <c r="C413" s="89"/>
      <c r="D413" s="89"/>
      <c r="E413" s="93"/>
      <c r="F413" s="93"/>
      <c r="G413" s="1"/>
      <c r="H413" s="1"/>
      <c r="I413" s="1"/>
      <c r="J413" s="1"/>
      <c r="K413" s="1"/>
      <c r="L413" s="1"/>
      <c r="M413" s="1"/>
      <c r="N413" s="1"/>
      <c r="O413" s="1"/>
      <c r="P413" s="1"/>
      <c r="Q413" s="1"/>
      <c r="R413" s="1"/>
      <c r="S413" s="1"/>
      <c r="T413" s="1"/>
      <c r="U413" s="1"/>
      <c r="V413" s="1"/>
      <c r="W413" s="1"/>
      <c r="X413" s="1"/>
    </row>
    <row r="414" spans="1:24" ht="12.75" customHeight="1" x14ac:dyDescent="0.2">
      <c r="A414" s="1"/>
      <c r="B414" s="1"/>
      <c r="C414" s="89"/>
      <c r="D414" s="89"/>
      <c r="E414" s="93"/>
      <c r="F414" s="93"/>
      <c r="G414" s="1"/>
      <c r="H414" s="1"/>
      <c r="I414" s="1"/>
      <c r="J414" s="1"/>
      <c r="K414" s="1"/>
      <c r="L414" s="1"/>
      <c r="M414" s="1"/>
      <c r="N414" s="1"/>
      <c r="O414" s="1"/>
      <c r="P414" s="1"/>
      <c r="Q414" s="1"/>
      <c r="R414" s="1"/>
      <c r="S414" s="1"/>
      <c r="T414" s="1"/>
      <c r="U414" s="1"/>
      <c r="V414" s="1"/>
      <c r="W414" s="1"/>
      <c r="X414" s="1"/>
    </row>
    <row r="415" spans="1:24" ht="12.75" customHeight="1" x14ac:dyDescent="0.2">
      <c r="A415" s="1"/>
      <c r="B415" s="1"/>
      <c r="C415" s="89"/>
      <c r="D415" s="89"/>
      <c r="E415" s="93"/>
      <c r="F415" s="93"/>
      <c r="G415" s="1"/>
      <c r="H415" s="1"/>
      <c r="I415" s="1"/>
      <c r="J415" s="1"/>
      <c r="K415" s="1"/>
      <c r="L415" s="1"/>
      <c r="M415" s="1"/>
      <c r="N415" s="1"/>
      <c r="O415" s="1"/>
      <c r="P415" s="1"/>
      <c r="Q415" s="1"/>
      <c r="R415" s="1"/>
      <c r="S415" s="1"/>
      <c r="T415" s="1"/>
      <c r="U415" s="1"/>
      <c r="V415" s="1"/>
      <c r="W415" s="1"/>
      <c r="X415" s="1"/>
    </row>
    <row r="416" spans="1:24" ht="12.75" customHeight="1" x14ac:dyDescent="0.2">
      <c r="A416" s="1"/>
      <c r="B416" s="1"/>
      <c r="C416" s="89"/>
      <c r="D416" s="89"/>
      <c r="E416" s="93"/>
      <c r="F416" s="93"/>
      <c r="G416" s="1"/>
      <c r="H416" s="1"/>
      <c r="I416" s="1"/>
      <c r="J416" s="1"/>
      <c r="K416" s="1"/>
      <c r="L416" s="1"/>
      <c r="M416" s="1"/>
      <c r="N416" s="1"/>
      <c r="O416" s="1"/>
      <c r="P416" s="1"/>
      <c r="Q416" s="1"/>
      <c r="R416" s="1"/>
      <c r="S416" s="1"/>
      <c r="T416" s="1"/>
      <c r="U416" s="1"/>
      <c r="V416" s="1"/>
      <c r="W416" s="1"/>
      <c r="X416" s="1"/>
    </row>
    <row r="417" spans="1:24" ht="12.75" customHeight="1" x14ac:dyDescent="0.2">
      <c r="A417" s="1"/>
      <c r="B417" s="1"/>
      <c r="C417" s="89"/>
      <c r="D417" s="89"/>
      <c r="E417" s="93"/>
      <c r="F417" s="93"/>
      <c r="G417" s="1"/>
      <c r="H417" s="1"/>
      <c r="I417" s="1"/>
      <c r="J417" s="1"/>
      <c r="K417" s="1"/>
      <c r="L417" s="1"/>
      <c r="M417" s="1"/>
      <c r="N417" s="1"/>
      <c r="O417" s="1"/>
      <c r="P417" s="1"/>
      <c r="Q417" s="1"/>
      <c r="R417" s="1"/>
      <c r="S417" s="1"/>
      <c r="T417" s="1"/>
      <c r="U417" s="1"/>
      <c r="V417" s="1"/>
      <c r="W417" s="1"/>
      <c r="X417" s="1"/>
    </row>
    <row r="418" spans="1:24" ht="12.75" customHeight="1" x14ac:dyDescent="0.2">
      <c r="A418" s="1"/>
      <c r="B418" s="1"/>
      <c r="C418" s="89"/>
      <c r="D418" s="89"/>
      <c r="E418" s="93"/>
      <c r="F418" s="93"/>
      <c r="G418" s="1"/>
      <c r="H418" s="1"/>
      <c r="I418" s="1"/>
      <c r="J418" s="1"/>
      <c r="K418" s="1"/>
      <c r="L418" s="1"/>
      <c r="M418" s="1"/>
      <c r="N418" s="1"/>
      <c r="O418" s="1"/>
      <c r="P418" s="1"/>
      <c r="Q418" s="1"/>
      <c r="R418" s="1"/>
      <c r="S418" s="1"/>
      <c r="T418" s="1"/>
      <c r="U418" s="1"/>
      <c r="V418" s="1"/>
      <c r="W418" s="1"/>
      <c r="X418" s="1"/>
    </row>
    <row r="419" spans="1:24" ht="12.75" customHeight="1" x14ac:dyDescent="0.2">
      <c r="A419" s="1"/>
      <c r="B419" s="1"/>
      <c r="C419" s="89"/>
      <c r="D419" s="89"/>
      <c r="E419" s="93"/>
      <c r="F419" s="93"/>
      <c r="G419" s="1"/>
      <c r="H419" s="1"/>
      <c r="I419" s="1"/>
      <c r="J419" s="1"/>
      <c r="K419" s="1"/>
      <c r="L419" s="1"/>
      <c r="M419" s="1"/>
      <c r="N419" s="1"/>
      <c r="O419" s="1"/>
      <c r="P419" s="1"/>
      <c r="Q419" s="1"/>
      <c r="R419" s="1"/>
      <c r="S419" s="1"/>
      <c r="T419" s="1"/>
      <c r="U419" s="1"/>
      <c r="V419" s="1"/>
      <c r="W419" s="1"/>
      <c r="X419" s="1"/>
    </row>
    <row r="420" spans="1:24" ht="12.75" customHeight="1" x14ac:dyDescent="0.2">
      <c r="A420" s="1"/>
      <c r="B420" s="1"/>
      <c r="C420" s="89"/>
      <c r="D420" s="89"/>
      <c r="E420" s="93"/>
      <c r="F420" s="93"/>
      <c r="G420" s="1"/>
      <c r="H420" s="1"/>
      <c r="I420" s="1"/>
      <c r="J420" s="1"/>
      <c r="K420" s="1"/>
      <c r="L420" s="1"/>
      <c r="M420" s="1"/>
      <c r="N420" s="1"/>
      <c r="O420" s="1"/>
      <c r="P420" s="1"/>
      <c r="Q420" s="1"/>
      <c r="R420" s="1"/>
      <c r="S420" s="1"/>
      <c r="T420" s="1"/>
      <c r="U420" s="1"/>
      <c r="V420" s="1"/>
      <c r="W420" s="1"/>
      <c r="X420" s="1"/>
    </row>
    <row r="421" spans="1:24" ht="12.75" customHeight="1" x14ac:dyDescent="0.2">
      <c r="A421" s="1"/>
      <c r="B421" s="1"/>
      <c r="C421" s="89"/>
      <c r="D421" s="89"/>
      <c r="E421" s="93"/>
      <c r="F421" s="93"/>
      <c r="G421" s="1"/>
      <c r="H421" s="1"/>
      <c r="I421" s="1"/>
      <c r="J421" s="1"/>
      <c r="K421" s="1"/>
      <c r="L421" s="1"/>
      <c r="M421" s="1"/>
      <c r="N421" s="1"/>
      <c r="O421" s="1"/>
      <c r="P421" s="1"/>
      <c r="Q421" s="1"/>
      <c r="R421" s="1"/>
      <c r="S421" s="1"/>
      <c r="T421" s="1"/>
      <c r="U421" s="1"/>
      <c r="V421" s="1"/>
      <c r="W421" s="1"/>
      <c r="X421" s="1"/>
    </row>
    <row r="422" spans="1:24" ht="12.75" customHeight="1" x14ac:dyDescent="0.2">
      <c r="A422" s="1"/>
      <c r="B422" s="1"/>
      <c r="C422" s="89"/>
      <c r="D422" s="89"/>
      <c r="E422" s="93"/>
      <c r="F422" s="93"/>
      <c r="G422" s="1"/>
      <c r="H422" s="1"/>
      <c r="I422" s="1"/>
      <c r="J422" s="1"/>
      <c r="K422" s="1"/>
      <c r="L422" s="1"/>
      <c r="M422" s="1"/>
      <c r="N422" s="1"/>
      <c r="O422" s="1"/>
      <c r="P422" s="1"/>
      <c r="Q422" s="1"/>
      <c r="R422" s="1"/>
      <c r="S422" s="1"/>
      <c r="T422" s="1"/>
      <c r="U422" s="1"/>
      <c r="V422" s="1"/>
      <c r="W422" s="1"/>
      <c r="X422" s="1"/>
    </row>
    <row r="423" spans="1:24" ht="12.75" customHeight="1" x14ac:dyDescent="0.2">
      <c r="A423" s="1"/>
      <c r="B423" s="1"/>
      <c r="C423" s="89"/>
      <c r="D423" s="89"/>
      <c r="E423" s="93"/>
      <c r="F423" s="93"/>
      <c r="G423" s="1"/>
      <c r="H423" s="1"/>
      <c r="I423" s="1"/>
      <c r="J423" s="1"/>
      <c r="K423" s="1"/>
      <c r="L423" s="1"/>
      <c r="M423" s="1"/>
      <c r="N423" s="1"/>
      <c r="O423" s="1"/>
      <c r="P423" s="1"/>
      <c r="Q423" s="1"/>
      <c r="R423" s="1"/>
      <c r="S423" s="1"/>
      <c r="T423" s="1"/>
      <c r="U423" s="1"/>
      <c r="V423" s="1"/>
      <c r="W423" s="1"/>
      <c r="X423" s="1"/>
    </row>
    <row r="424" spans="1:24" ht="12.75" customHeight="1" x14ac:dyDescent="0.2">
      <c r="A424" s="1"/>
      <c r="B424" s="1"/>
      <c r="C424" s="89"/>
      <c r="D424" s="89"/>
      <c r="E424" s="93"/>
      <c r="F424" s="93"/>
      <c r="G424" s="1"/>
      <c r="H424" s="1"/>
      <c r="I424" s="1"/>
      <c r="J424" s="1"/>
      <c r="K424" s="1"/>
      <c r="L424" s="1"/>
      <c r="M424" s="1"/>
      <c r="N424" s="1"/>
      <c r="O424" s="1"/>
      <c r="P424" s="1"/>
      <c r="Q424" s="1"/>
      <c r="R424" s="1"/>
      <c r="S424" s="1"/>
      <c r="T424" s="1"/>
      <c r="U424" s="1"/>
      <c r="V424" s="1"/>
      <c r="W424" s="1"/>
      <c r="X424" s="1"/>
    </row>
    <row r="425" spans="1:24" ht="12.75" customHeight="1" x14ac:dyDescent="0.2">
      <c r="A425" s="1"/>
      <c r="B425" s="1"/>
      <c r="C425" s="89"/>
      <c r="D425" s="89"/>
      <c r="E425" s="93"/>
      <c r="F425" s="93"/>
      <c r="G425" s="1"/>
      <c r="H425" s="1"/>
      <c r="I425" s="1"/>
      <c r="J425" s="1"/>
      <c r="K425" s="1"/>
      <c r="L425" s="1"/>
      <c r="M425" s="1"/>
      <c r="N425" s="1"/>
      <c r="O425" s="1"/>
      <c r="P425" s="1"/>
      <c r="Q425" s="1"/>
      <c r="R425" s="1"/>
      <c r="S425" s="1"/>
      <c r="T425" s="1"/>
      <c r="U425" s="1"/>
      <c r="V425" s="1"/>
      <c r="W425" s="1"/>
      <c r="X425" s="1"/>
    </row>
    <row r="426" spans="1:24" ht="12.75" customHeight="1" x14ac:dyDescent="0.2">
      <c r="A426" s="1"/>
      <c r="B426" s="1"/>
      <c r="C426" s="89"/>
      <c r="D426" s="89"/>
      <c r="E426" s="93"/>
      <c r="F426" s="93"/>
      <c r="G426" s="1"/>
      <c r="H426" s="1"/>
      <c r="I426" s="1"/>
      <c r="J426" s="1"/>
      <c r="K426" s="1"/>
      <c r="L426" s="1"/>
      <c r="M426" s="1"/>
      <c r="N426" s="1"/>
      <c r="O426" s="1"/>
      <c r="P426" s="1"/>
      <c r="Q426" s="1"/>
      <c r="R426" s="1"/>
      <c r="S426" s="1"/>
      <c r="T426" s="1"/>
      <c r="U426" s="1"/>
      <c r="V426" s="1"/>
      <c r="W426" s="1"/>
      <c r="X426" s="1"/>
    </row>
    <row r="427" spans="1:24" ht="12.75" customHeight="1" x14ac:dyDescent="0.2">
      <c r="A427" s="1"/>
      <c r="B427" s="1"/>
      <c r="C427" s="89"/>
      <c r="D427" s="89"/>
      <c r="E427" s="93"/>
      <c r="F427" s="93"/>
      <c r="G427" s="1"/>
      <c r="H427" s="1"/>
      <c r="I427" s="1"/>
      <c r="J427" s="1"/>
      <c r="K427" s="1"/>
      <c r="L427" s="1"/>
      <c r="M427" s="1"/>
      <c r="N427" s="1"/>
      <c r="O427" s="1"/>
      <c r="P427" s="1"/>
      <c r="Q427" s="1"/>
      <c r="R427" s="1"/>
      <c r="S427" s="1"/>
      <c r="T427" s="1"/>
      <c r="U427" s="1"/>
      <c r="V427" s="1"/>
      <c r="W427" s="1"/>
      <c r="X427" s="1"/>
    </row>
    <row r="428" spans="1:24" ht="12.75" customHeight="1" x14ac:dyDescent="0.2">
      <c r="A428" s="1"/>
      <c r="B428" s="1"/>
      <c r="C428" s="89"/>
      <c r="D428" s="89"/>
      <c r="E428" s="93"/>
      <c r="F428" s="93"/>
      <c r="G428" s="1"/>
      <c r="H428" s="1"/>
      <c r="I428" s="1"/>
      <c r="J428" s="1"/>
      <c r="K428" s="1"/>
      <c r="L428" s="1"/>
      <c r="M428" s="1"/>
      <c r="N428" s="1"/>
      <c r="O428" s="1"/>
      <c r="P428" s="1"/>
      <c r="Q428" s="1"/>
      <c r="R428" s="1"/>
      <c r="S428" s="1"/>
      <c r="T428" s="1"/>
      <c r="U428" s="1"/>
      <c r="V428" s="1"/>
      <c r="W428" s="1"/>
      <c r="X428" s="1"/>
    </row>
    <row r="429" spans="1:24" ht="12.75" customHeight="1" x14ac:dyDescent="0.2">
      <c r="A429" s="1"/>
      <c r="B429" s="1"/>
      <c r="C429" s="89"/>
      <c r="D429" s="89"/>
      <c r="E429" s="93"/>
      <c r="F429" s="93"/>
      <c r="G429" s="1"/>
      <c r="H429" s="1"/>
      <c r="I429" s="1"/>
      <c r="J429" s="1"/>
      <c r="K429" s="1"/>
      <c r="L429" s="1"/>
      <c r="M429" s="1"/>
      <c r="N429" s="1"/>
      <c r="O429" s="1"/>
      <c r="P429" s="1"/>
      <c r="Q429" s="1"/>
      <c r="R429" s="1"/>
      <c r="S429" s="1"/>
      <c r="T429" s="1"/>
      <c r="U429" s="1"/>
      <c r="V429" s="1"/>
      <c r="W429" s="1"/>
      <c r="X429" s="1"/>
    </row>
    <row r="430" spans="1:24" ht="12.75" customHeight="1" x14ac:dyDescent="0.2">
      <c r="A430" s="1"/>
      <c r="B430" s="1"/>
      <c r="C430" s="89"/>
      <c r="D430" s="89"/>
      <c r="E430" s="93"/>
      <c r="F430" s="93"/>
      <c r="G430" s="1"/>
      <c r="H430" s="1"/>
      <c r="I430" s="1"/>
      <c r="J430" s="1"/>
      <c r="K430" s="1"/>
      <c r="L430" s="1"/>
      <c r="M430" s="1"/>
      <c r="N430" s="1"/>
      <c r="O430" s="1"/>
      <c r="P430" s="1"/>
      <c r="Q430" s="1"/>
      <c r="R430" s="1"/>
      <c r="S430" s="1"/>
      <c r="T430" s="1"/>
      <c r="U430" s="1"/>
      <c r="V430" s="1"/>
      <c r="W430" s="1"/>
      <c r="X430" s="1"/>
    </row>
    <row r="431" spans="1:24" ht="12.75" customHeight="1" x14ac:dyDescent="0.2">
      <c r="A431" s="1"/>
      <c r="B431" s="1"/>
      <c r="C431" s="89"/>
      <c r="D431" s="89"/>
      <c r="E431" s="93"/>
      <c r="F431" s="93"/>
      <c r="G431" s="1"/>
      <c r="H431" s="1"/>
      <c r="I431" s="1"/>
      <c r="J431" s="1"/>
      <c r="K431" s="1"/>
      <c r="L431" s="1"/>
      <c r="M431" s="1"/>
      <c r="N431" s="1"/>
      <c r="O431" s="1"/>
      <c r="P431" s="1"/>
      <c r="Q431" s="1"/>
      <c r="R431" s="1"/>
      <c r="S431" s="1"/>
      <c r="T431" s="1"/>
      <c r="U431" s="1"/>
      <c r="V431" s="1"/>
      <c r="W431" s="1"/>
      <c r="X431" s="1"/>
    </row>
    <row r="432" spans="1:24" ht="12.75" customHeight="1" x14ac:dyDescent="0.2">
      <c r="A432" s="1"/>
      <c r="B432" s="1"/>
      <c r="C432" s="89"/>
      <c r="D432" s="89"/>
      <c r="E432" s="93"/>
      <c r="F432" s="93"/>
      <c r="G432" s="1"/>
      <c r="H432" s="1"/>
      <c r="I432" s="1"/>
      <c r="J432" s="1"/>
      <c r="K432" s="1"/>
      <c r="L432" s="1"/>
      <c r="M432" s="1"/>
      <c r="N432" s="1"/>
      <c r="O432" s="1"/>
      <c r="P432" s="1"/>
      <c r="Q432" s="1"/>
      <c r="R432" s="1"/>
      <c r="S432" s="1"/>
      <c r="T432" s="1"/>
      <c r="U432" s="1"/>
      <c r="V432" s="1"/>
      <c r="W432" s="1"/>
      <c r="X432" s="1"/>
    </row>
    <row r="433" spans="1:24" ht="12.75" customHeight="1" x14ac:dyDescent="0.2">
      <c r="A433" s="1"/>
      <c r="B433" s="1"/>
      <c r="C433" s="89"/>
      <c r="D433" s="89"/>
      <c r="E433" s="93"/>
      <c r="F433" s="93"/>
      <c r="G433" s="1"/>
      <c r="H433" s="1"/>
      <c r="I433" s="1"/>
      <c r="J433" s="1"/>
      <c r="K433" s="1"/>
      <c r="L433" s="1"/>
      <c r="M433" s="1"/>
      <c r="N433" s="1"/>
      <c r="O433" s="1"/>
      <c r="P433" s="1"/>
      <c r="Q433" s="1"/>
      <c r="R433" s="1"/>
      <c r="S433" s="1"/>
      <c r="T433" s="1"/>
      <c r="U433" s="1"/>
      <c r="V433" s="1"/>
      <c r="W433" s="1"/>
      <c r="X433" s="1"/>
    </row>
    <row r="434" spans="1:24" ht="12.75" customHeight="1" x14ac:dyDescent="0.2">
      <c r="A434" s="1"/>
      <c r="B434" s="1"/>
      <c r="C434" s="89"/>
      <c r="D434" s="89"/>
      <c r="E434" s="93"/>
      <c r="F434" s="93"/>
      <c r="G434" s="1"/>
      <c r="H434" s="1"/>
      <c r="I434" s="1"/>
      <c r="J434" s="1"/>
      <c r="K434" s="1"/>
      <c r="L434" s="1"/>
      <c r="M434" s="1"/>
      <c r="N434" s="1"/>
      <c r="O434" s="1"/>
      <c r="P434" s="1"/>
      <c r="Q434" s="1"/>
      <c r="R434" s="1"/>
      <c r="S434" s="1"/>
      <c r="T434" s="1"/>
      <c r="U434" s="1"/>
      <c r="V434" s="1"/>
      <c r="W434" s="1"/>
      <c r="X434" s="1"/>
    </row>
    <row r="435" spans="1:24" ht="12.75" customHeight="1" x14ac:dyDescent="0.2">
      <c r="A435" s="1"/>
      <c r="B435" s="1"/>
      <c r="C435" s="89"/>
      <c r="D435" s="89"/>
      <c r="E435" s="93"/>
      <c r="F435" s="93"/>
      <c r="G435" s="1"/>
      <c r="H435" s="1"/>
      <c r="I435" s="1"/>
      <c r="J435" s="1"/>
      <c r="K435" s="1"/>
      <c r="L435" s="1"/>
      <c r="M435" s="1"/>
      <c r="N435" s="1"/>
      <c r="O435" s="1"/>
      <c r="P435" s="1"/>
      <c r="Q435" s="1"/>
      <c r="R435" s="1"/>
      <c r="S435" s="1"/>
      <c r="T435" s="1"/>
      <c r="U435" s="1"/>
      <c r="V435" s="1"/>
      <c r="W435" s="1"/>
      <c r="X435" s="1"/>
    </row>
    <row r="436" spans="1:24" ht="12.75" customHeight="1" x14ac:dyDescent="0.2">
      <c r="A436" s="1"/>
      <c r="B436" s="1"/>
      <c r="C436" s="89"/>
      <c r="D436" s="89"/>
      <c r="E436" s="93"/>
      <c r="F436" s="93"/>
      <c r="G436" s="1"/>
      <c r="H436" s="1"/>
      <c r="I436" s="1"/>
      <c r="J436" s="1"/>
      <c r="K436" s="1"/>
      <c r="L436" s="1"/>
      <c r="M436" s="1"/>
      <c r="N436" s="1"/>
      <c r="O436" s="1"/>
      <c r="P436" s="1"/>
      <c r="Q436" s="1"/>
      <c r="R436" s="1"/>
      <c r="S436" s="1"/>
      <c r="T436" s="1"/>
      <c r="U436" s="1"/>
      <c r="V436" s="1"/>
      <c r="W436" s="1"/>
      <c r="X436" s="1"/>
    </row>
    <row r="437" spans="1:24" ht="12.75" customHeight="1" x14ac:dyDescent="0.2">
      <c r="A437" s="1"/>
      <c r="B437" s="1"/>
      <c r="C437" s="89"/>
      <c r="D437" s="89"/>
      <c r="E437" s="93"/>
      <c r="F437" s="93"/>
      <c r="G437" s="1"/>
      <c r="H437" s="1"/>
      <c r="I437" s="1"/>
      <c r="J437" s="1"/>
      <c r="K437" s="1"/>
      <c r="L437" s="1"/>
      <c r="M437" s="1"/>
      <c r="N437" s="1"/>
      <c r="O437" s="1"/>
      <c r="P437" s="1"/>
      <c r="Q437" s="1"/>
      <c r="R437" s="1"/>
      <c r="S437" s="1"/>
      <c r="T437" s="1"/>
      <c r="U437" s="1"/>
      <c r="V437" s="1"/>
      <c r="W437" s="1"/>
      <c r="X437" s="1"/>
    </row>
    <row r="438" spans="1:24" ht="12.75" customHeight="1" x14ac:dyDescent="0.2">
      <c r="A438" s="1"/>
      <c r="B438" s="1"/>
      <c r="C438" s="89"/>
      <c r="D438" s="89"/>
      <c r="E438" s="93"/>
      <c r="F438" s="93"/>
      <c r="G438" s="1"/>
      <c r="H438" s="1"/>
      <c r="I438" s="1"/>
      <c r="J438" s="1"/>
      <c r="K438" s="1"/>
      <c r="L438" s="1"/>
      <c r="M438" s="1"/>
      <c r="N438" s="1"/>
      <c r="O438" s="1"/>
      <c r="P438" s="1"/>
      <c r="Q438" s="1"/>
      <c r="R438" s="1"/>
      <c r="S438" s="1"/>
      <c r="T438" s="1"/>
      <c r="U438" s="1"/>
      <c r="V438" s="1"/>
      <c r="W438" s="1"/>
      <c r="X438" s="1"/>
    </row>
    <row r="439" spans="1:24" ht="12.75" customHeight="1" x14ac:dyDescent="0.2">
      <c r="A439" s="1"/>
      <c r="B439" s="1"/>
      <c r="C439" s="89"/>
      <c r="D439" s="89"/>
      <c r="E439" s="93"/>
      <c r="F439" s="93"/>
      <c r="G439" s="1"/>
      <c r="H439" s="1"/>
      <c r="I439" s="1"/>
      <c r="J439" s="1"/>
      <c r="K439" s="1"/>
      <c r="L439" s="1"/>
      <c r="M439" s="1"/>
      <c r="N439" s="1"/>
      <c r="O439" s="1"/>
      <c r="P439" s="1"/>
      <c r="Q439" s="1"/>
      <c r="R439" s="1"/>
      <c r="S439" s="1"/>
      <c r="T439" s="1"/>
      <c r="U439" s="1"/>
      <c r="V439" s="1"/>
      <c r="W439" s="1"/>
      <c r="X439" s="1"/>
    </row>
    <row r="440" spans="1:24" ht="12.75" customHeight="1" x14ac:dyDescent="0.2">
      <c r="A440" s="1"/>
      <c r="B440" s="1"/>
      <c r="C440" s="89"/>
      <c r="D440" s="89"/>
      <c r="E440" s="93"/>
      <c r="F440" s="93"/>
      <c r="G440" s="1"/>
      <c r="H440" s="1"/>
      <c r="I440" s="1"/>
      <c r="J440" s="1"/>
      <c r="K440" s="1"/>
      <c r="L440" s="1"/>
      <c r="M440" s="1"/>
      <c r="N440" s="1"/>
      <c r="O440" s="1"/>
      <c r="P440" s="1"/>
      <c r="Q440" s="1"/>
      <c r="R440" s="1"/>
      <c r="S440" s="1"/>
      <c r="T440" s="1"/>
      <c r="U440" s="1"/>
      <c r="V440" s="1"/>
      <c r="W440" s="1"/>
      <c r="X440" s="1"/>
    </row>
    <row r="441" spans="1:24" ht="12.75" customHeight="1" x14ac:dyDescent="0.2">
      <c r="A441" s="1"/>
      <c r="B441" s="1"/>
      <c r="C441" s="89"/>
      <c r="D441" s="89"/>
      <c r="E441" s="93"/>
      <c r="F441" s="93"/>
      <c r="G441" s="1"/>
      <c r="H441" s="1"/>
      <c r="I441" s="1"/>
      <c r="J441" s="1"/>
      <c r="K441" s="1"/>
      <c r="L441" s="1"/>
      <c r="M441" s="1"/>
      <c r="N441" s="1"/>
      <c r="O441" s="1"/>
      <c r="P441" s="1"/>
      <c r="Q441" s="1"/>
      <c r="R441" s="1"/>
      <c r="S441" s="1"/>
      <c r="T441" s="1"/>
      <c r="U441" s="1"/>
      <c r="V441" s="1"/>
      <c r="W441" s="1"/>
      <c r="X441" s="1"/>
    </row>
    <row r="442" spans="1:24" ht="12.75" customHeight="1" x14ac:dyDescent="0.2">
      <c r="A442" s="1"/>
      <c r="B442" s="1"/>
      <c r="C442" s="89"/>
      <c r="D442" s="89"/>
      <c r="E442" s="93"/>
      <c r="F442" s="93"/>
      <c r="G442" s="1"/>
      <c r="H442" s="1"/>
      <c r="I442" s="1"/>
      <c r="J442" s="1"/>
      <c r="K442" s="1"/>
      <c r="L442" s="1"/>
      <c r="M442" s="1"/>
      <c r="N442" s="1"/>
      <c r="O442" s="1"/>
      <c r="P442" s="1"/>
      <c r="Q442" s="1"/>
      <c r="R442" s="1"/>
      <c r="S442" s="1"/>
      <c r="T442" s="1"/>
      <c r="U442" s="1"/>
      <c r="V442" s="1"/>
      <c r="W442" s="1"/>
      <c r="X442" s="1"/>
    </row>
    <row r="443" spans="1:24" ht="12.75" customHeight="1" x14ac:dyDescent="0.2">
      <c r="A443" s="1"/>
      <c r="B443" s="1"/>
      <c r="C443" s="89"/>
      <c r="D443" s="89"/>
      <c r="E443" s="93"/>
      <c r="F443" s="93"/>
      <c r="G443" s="1"/>
      <c r="H443" s="1"/>
      <c r="I443" s="1"/>
      <c r="J443" s="1"/>
      <c r="K443" s="1"/>
      <c r="L443" s="1"/>
      <c r="M443" s="1"/>
      <c r="N443" s="1"/>
      <c r="O443" s="1"/>
      <c r="P443" s="1"/>
      <c r="Q443" s="1"/>
      <c r="R443" s="1"/>
      <c r="S443" s="1"/>
      <c r="T443" s="1"/>
      <c r="U443" s="1"/>
      <c r="V443" s="1"/>
      <c r="W443" s="1"/>
      <c r="X443" s="1"/>
    </row>
    <row r="444" spans="1:24" ht="12.75" customHeight="1" x14ac:dyDescent="0.2">
      <c r="A444" s="1"/>
      <c r="B444" s="1"/>
      <c r="C444" s="89"/>
      <c r="D444" s="89"/>
      <c r="E444" s="93"/>
      <c r="F444" s="93"/>
      <c r="G444" s="1"/>
      <c r="H444" s="1"/>
      <c r="I444" s="1"/>
      <c r="J444" s="1"/>
      <c r="K444" s="1"/>
      <c r="L444" s="1"/>
      <c r="M444" s="1"/>
      <c r="N444" s="1"/>
      <c r="O444" s="1"/>
      <c r="P444" s="1"/>
      <c r="Q444" s="1"/>
      <c r="R444" s="1"/>
      <c r="S444" s="1"/>
      <c r="T444" s="1"/>
      <c r="U444" s="1"/>
      <c r="V444" s="1"/>
      <c r="W444" s="1"/>
      <c r="X444" s="1"/>
    </row>
    <row r="445" spans="1:24" ht="12.75" customHeight="1" x14ac:dyDescent="0.2">
      <c r="A445" s="1"/>
      <c r="B445" s="1"/>
      <c r="C445" s="89"/>
      <c r="D445" s="89"/>
      <c r="E445" s="93"/>
      <c r="F445" s="93"/>
      <c r="G445" s="1"/>
      <c r="H445" s="1"/>
      <c r="I445" s="1"/>
      <c r="J445" s="1"/>
      <c r="K445" s="1"/>
      <c r="L445" s="1"/>
      <c r="M445" s="1"/>
      <c r="N445" s="1"/>
      <c r="O445" s="1"/>
      <c r="P445" s="1"/>
      <c r="Q445" s="1"/>
      <c r="R445" s="1"/>
      <c r="S445" s="1"/>
      <c r="T445" s="1"/>
      <c r="U445" s="1"/>
      <c r="V445" s="1"/>
      <c r="W445" s="1"/>
      <c r="X445" s="1"/>
    </row>
    <row r="446" spans="1:24" ht="12.75" customHeight="1" x14ac:dyDescent="0.2">
      <c r="A446" s="1"/>
      <c r="B446" s="1"/>
      <c r="C446" s="89"/>
      <c r="D446" s="89"/>
      <c r="E446" s="93"/>
      <c r="F446" s="93"/>
      <c r="G446" s="1"/>
      <c r="H446" s="1"/>
      <c r="I446" s="1"/>
      <c r="J446" s="1"/>
      <c r="K446" s="1"/>
      <c r="L446" s="1"/>
      <c r="M446" s="1"/>
      <c r="N446" s="1"/>
      <c r="O446" s="1"/>
      <c r="P446" s="1"/>
      <c r="Q446" s="1"/>
      <c r="R446" s="1"/>
      <c r="S446" s="1"/>
      <c r="T446" s="1"/>
      <c r="U446" s="1"/>
      <c r="V446" s="1"/>
      <c r="W446" s="1"/>
      <c r="X446" s="1"/>
    </row>
    <row r="447" spans="1:24" ht="12.75" customHeight="1" x14ac:dyDescent="0.2">
      <c r="A447" s="1"/>
      <c r="B447" s="1"/>
      <c r="C447" s="89"/>
      <c r="D447" s="89"/>
      <c r="E447" s="93"/>
      <c r="F447" s="93"/>
      <c r="G447" s="1"/>
      <c r="H447" s="1"/>
      <c r="I447" s="1"/>
      <c r="J447" s="1"/>
      <c r="K447" s="1"/>
      <c r="L447" s="1"/>
      <c r="M447" s="1"/>
      <c r="N447" s="1"/>
      <c r="O447" s="1"/>
      <c r="P447" s="1"/>
      <c r="Q447" s="1"/>
      <c r="R447" s="1"/>
      <c r="S447" s="1"/>
      <c r="T447" s="1"/>
      <c r="U447" s="1"/>
      <c r="V447" s="1"/>
      <c r="W447" s="1"/>
      <c r="X447" s="1"/>
    </row>
    <row r="448" spans="1:24" ht="12.75" customHeight="1" x14ac:dyDescent="0.2">
      <c r="A448" s="1"/>
      <c r="B448" s="1"/>
      <c r="C448" s="89"/>
      <c r="D448" s="89"/>
      <c r="E448" s="93"/>
      <c r="F448" s="93"/>
      <c r="G448" s="1"/>
      <c r="H448" s="1"/>
      <c r="I448" s="1"/>
      <c r="J448" s="1"/>
      <c r="K448" s="1"/>
      <c r="L448" s="1"/>
      <c r="M448" s="1"/>
      <c r="N448" s="1"/>
      <c r="O448" s="1"/>
      <c r="P448" s="1"/>
      <c r="Q448" s="1"/>
      <c r="R448" s="1"/>
      <c r="S448" s="1"/>
      <c r="T448" s="1"/>
      <c r="U448" s="1"/>
      <c r="V448" s="1"/>
      <c r="W448" s="1"/>
      <c r="X448" s="1"/>
    </row>
    <row r="449" spans="1:24" ht="12.75" customHeight="1" x14ac:dyDescent="0.2">
      <c r="A449" s="1"/>
      <c r="B449" s="1"/>
      <c r="C449" s="89"/>
      <c r="D449" s="89"/>
      <c r="E449" s="93"/>
      <c r="F449" s="93"/>
      <c r="G449" s="1"/>
      <c r="H449" s="1"/>
      <c r="I449" s="1"/>
      <c r="J449" s="1"/>
      <c r="K449" s="1"/>
      <c r="L449" s="1"/>
      <c r="M449" s="1"/>
      <c r="N449" s="1"/>
      <c r="O449" s="1"/>
      <c r="P449" s="1"/>
      <c r="Q449" s="1"/>
      <c r="R449" s="1"/>
      <c r="S449" s="1"/>
      <c r="T449" s="1"/>
      <c r="U449" s="1"/>
      <c r="V449" s="1"/>
      <c r="W449" s="1"/>
      <c r="X449" s="1"/>
    </row>
    <row r="450" spans="1:24" ht="12.75" customHeight="1" x14ac:dyDescent="0.2">
      <c r="A450" s="1"/>
      <c r="B450" s="1"/>
      <c r="C450" s="89"/>
      <c r="D450" s="89"/>
      <c r="E450" s="93"/>
      <c r="F450" s="93"/>
      <c r="G450" s="1"/>
      <c r="H450" s="1"/>
      <c r="I450" s="1"/>
      <c r="J450" s="1"/>
      <c r="K450" s="1"/>
      <c r="L450" s="1"/>
      <c r="M450" s="1"/>
      <c r="N450" s="1"/>
      <c r="O450" s="1"/>
      <c r="P450" s="1"/>
      <c r="Q450" s="1"/>
      <c r="R450" s="1"/>
      <c r="S450" s="1"/>
      <c r="T450" s="1"/>
      <c r="U450" s="1"/>
      <c r="V450" s="1"/>
      <c r="W450" s="1"/>
      <c r="X450" s="1"/>
    </row>
    <row r="451" spans="1:24" ht="12.75" customHeight="1" x14ac:dyDescent="0.2">
      <c r="A451" s="1"/>
      <c r="B451" s="1"/>
      <c r="C451" s="89"/>
      <c r="D451" s="89"/>
      <c r="E451" s="93"/>
      <c r="F451" s="93"/>
      <c r="G451" s="1"/>
      <c r="H451" s="1"/>
      <c r="I451" s="1"/>
      <c r="J451" s="1"/>
      <c r="K451" s="1"/>
      <c r="L451" s="1"/>
      <c r="M451" s="1"/>
      <c r="N451" s="1"/>
      <c r="O451" s="1"/>
      <c r="P451" s="1"/>
      <c r="Q451" s="1"/>
      <c r="R451" s="1"/>
      <c r="S451" s="1"/>
      <c r="T451" s="1"/>
      <c r="U451" s="1"/>
      <c r="V451" s="1"/>
      <c r="W451" s="1"/>
      <c r="X451" s="1"/>
    </row>
    <row r="452" spans="1:24" ht="12.75" customHeight="1" x14ac:dyDescent="0.2">
      <c r="A452" s="1"/>
      <c r="B452" s="1"/>
      <c r="C452" s="89"/>
      <c r="D452" s="89"/>
      <c r="E452" s="93"/>
      <c r="F452" s="93"/>
      <c r="G452" s="1"/>
      <c r="H452" s="1"/>
      <c r="I452" s="1"/>
      <c r="J452" s="1"/>
      <c r="K452" s="1"/>
      <c r="L452" s="1"/>
      <c r="M452" s="1"/>
      <c r="N452" s="1"/>
      <c r="O452" s="1"/>
      <c r="P452" s="1"/>
      <c r="Q452" s="1"/>
      <c r="R452" s="1"/>
      <c r="S452" s="1"/>
      <c r="T452" s="1"/>
      <c r="U452" s="1"/>
      <c r="V452" s="1"/>
      <c r="W452" s="1"/>
      <c r="X452" s="1"/>
    </row>
    <row r="453" spans="1:24" ht="12.75" customHeight="1" x14ac:dyDescent="0.2">
      <c r="A453" s="1"/>
      <c r="B453" s="1"/>
      <c r="C453" s="89"/>
      <c r="D453" s="89"/>
      <c r="E453" s="93"/>
      <c r="F453" s="93"/>
      <c r="G453" s="1"/>
      <c r="H453" s="1"/>
      <c r="I453" s="1"/>
      <c r="J453" s="1"/>
      <c r="K453" s="1"/>
      <c r="L453" s="1"/>
      <c r="M453" s="1"/>
      <c r="N453" s="1"/>
      <c r="O453" s="1"/>
      <c r="P453" s="1"/>
      <c r="Q453" s="1"/>
      <c r="R453" s="1"/>
      <c r="S453" s="1"/>
      <c r="T453" s="1"/>
      <c r="U453" s="1"/>
      <c r="V453" s="1"/>
      <c r="W453" s="1"/>
      <c r="X453" s="1"/>
    </row>
    <row r="454" spans="1:24" ht="12.75" customHeight="1" x14ac:dyDescent="0.2">
      <c r="A454" s="1"/>
      <c r="B454" s="1"/>
      <c r="C454" s="89"/>
      <c r="D454" s="89"/>
      <c r="E454" s="93"/>
      <c r="F454" s="93"/>
      <c r="G454" s="1"/>
      <c r="H454" s="1"/>
      <c r="I454" s="1"/>
      <c r="J454" s="1"/>
      <c r="K454" s="1"/>
      <c r="L454" s="1"/>
      <c r="M454" s="1"/>
      <c r="N454" s="1"/>
      <c r="O454" s="1"/>
      <c r="P454" s="1"/>
      <c r="Q454" s="1"/>
      <c r="R454" s="1"/>
      <c r="S454" s="1"/>
      <c r="T454" s="1"/>
      <c r="U454" s="1"/>
      <c r="V454" s="1"/>
      <c r="W454" s="1"/>
      <c r="X454" s="1"/>
    </row>
    <row r="455" spans="1:24" ht="12.75" customHeight="1" x14ac:dyDescent="0.2">
      <c r="A455" s="1"/>
      <c r="B455" s="1"/>
      <c r="C455" s="89"/>
      <c r="D455" s="89"/>
      <c r="E455" s="93"/>
      <c r="F455" s="93"/>
      <c r="G455" s="1"/>
      <c r="H455" s="1"/>
      <c r="I455" s="1"/>
      <c r="J455" s="1"/>
      <c r="K455" s="1"/>
      <c r="L455" s="1"/>
      <c r="M455" s="1"/>
      <c r="N455" s="1"/>
      <c r="O455" s="1"/>
      <c r="P455" s="1"/>
      <c r="Q455" s="1"/>
      <c r="R455" s="1"/>
      <c r="S455" s="1"/>
      <c r="T455" s="1"/>
      <c r="U455" s="1"/>
      <c r="V455" s="1"/>
      <c r="W455" s="1"/>
      <c r="X455" s="1"/>
    </row>
    <row r="456" spans="1:24" ht="12.75" customHeight="1" x14ac:dyDescent="0.2">
      <c r="A456" s="1"/>
      <c r="B456" s="1"/>
      <c r="C456" s="89"/>
      <c r="D456" s="89"/>
      <c r="E456" s="93"/>
      <c r="F456" s="93"/>
      <c r="G456" s="1"/>
      <c r="H456" s="1"/>
      <c r="I456" s="1"/>
      <c r="J456" s="1"/>
      <c r="K456" s="1"/>
      <c r="L456" s="1"/>
      <c r="M456" s="1"/>
      <c r="N456" s="1"/>
      <c r="O456" s="1"/>
      <c r="P456" s="1"/>
      <c r="Q456" s="1"/>
      <c r="R456" s="1"/>
      <c r="S456" s="1"/>
      <c r="T456" s="1"/>
      <c r="U456" s="1"/>
      <c r="V456" s="1"/>
      <c r="W456" s="1"/>
      <c r="X456" s="1"/>
    </row>
    <row r="457" spans="1:24" ht="12.75" customHeight="1" x14ac:dyDescent="0.2">
      <c r="A457" s="1"/>
      <c r="B457" s="1"/>
      <c r="C457" s="89"/>
      <c r="D457" s="89"/>
      <c r="E457" s="93"/>
      <c r="F457" s="93"/>
      <c r="G457" s="1"/>
      <c r="H457" s="1"/>
      <c r="I457" s="1"/>
      <c r="J457" s="1"/>
      <c r="K457" s="1"/>
      <c r="L457" s="1"/>
      <c r="M457" s="1"/>
      <c r="N457" s="1"/>
      <c r="O457" s="1"/>
      <c r="P457" s="1"/>
      <c r="Q457" s="1"/>
      <c r="R457" s="1"/>
      <c r="S457" s="1"/>
      <c r="T457" s="1"/>
      <c r="U457" s="1"/>
      <c r="V457" s="1"/>
      <c r="W457" s="1"/>
      <c r="X457" s="1"/>
    </row>
    <row r="458" spans="1:24" ht="12.75" customHeight="1" x14ac:dyDescent="0.2">
      <c r="A458" s="1"/>
      <c r="B458" s="1"/>
      <c r="C458" s="89"/>
      <c r="D458" s="89"/>
      <c r="E458" s="93"/>
      <c r="F458" s="93"/>
      <c r="G458" s="1"/>
      <c r="H458" s="1"/>
      <c r="I458" s="1"/>
      <c r="J458" s="1"/>
      <c r="K458" s="1"/>
      <c r="L458" s="1"/>
      <c r="M458" s="1"/>
      <c r="N458" s="1"/>
      <c r="O458" s="1"/>
      <c r="P458" s="1"/>
      <c r="Q458" s="1"/>
      <c r="R458" s="1"/>
      <c r="S458" s="1"/>
      <c r="T458" s="1"/>
      <c r="U458" s="1"/>
      <c r="V458" s="1"/>
      <c r="W458" s="1"/>
      <c r="X458" s="1"/>
    </row>
    <row r="459" spans="1:24" ht="12.75" customHeight="1" x14ac:dyDescent="0.2">
      <c r="A459" s="1"/>
      <c r="B459" s="1"/>
      <c r="C459" s="89"/>
      <c r="D459" s="89"/>
      <c r="E459" s="93"/>
      <c r="F459" s="93"/>
      <c r="G459" s="1"/>
      <c r="H459" s="1"/>
      <c r="I459" s="1"/>
      <c r="J459" s="1"/>
      <c r="K459" s="1"/>
      <c r="L459" s="1"/>
      <c r="M459" s="1"/>
      <c r="N459" s="1"/>
      <c r="O459" s="1"/>
      <c r="P459" s="1"/>
      <c r="Q459" s="1"/>
      <c r="R459" s="1"/>
      <c r="S459" s="1"/>
      <c r="T459" s="1"/>
      <c r="U459" s="1"/>
      <c r="V459" s="1"/>
      <c r="W459" s="1"/>
      <c r="X459" s="1"/>
    </row>
    <row r="460" spans="1:24" ht="12.75" customHeight="1" x14ac:dyDescent="0.2">
      <c r="A460" s="1"/>
      <c r="B460" s="1"/>
      <c r="C460" s="89"/>
      <c r="D460" s="89"/>
      <c r="E460" s="93"/>
      <c r="F460" s="93"/>
      <c r="G460" s="1"/>
      <c r="H460" s="1"/>
      <c r="I460" s="1"/>
      <c r="J460" s="1"/>
      <c r="K460" s="1"/>
      <c r="L460" s="1"/>
      <c r="M460" s="1"/>
      <c r="N460" s="1"/>
      <c r="O460" s="1"/>
      <c r="P460" s="1"/>
      <c r="Q460" s="1"/>
      <c r="R460" s="1"/>
      <c r="S460" s="1"/>
      <c r="T460" s="1"/>
      <c r="U460" s="1"/>
      <c r="V460" s="1"/>
      <c r="W460" s="1"/>
      <c r="X460" s="1"/>
    </row>
    <row r="461" spans="1:24" ht="12.75" customHeight="1" x14ac:dyDescent="0.2">
      <c r="A461" s="1"/>
      <c r="B461" s="1"/>
      <c r="C461" s="89"/>
      <c r="D461" s="89"/>
      <c r="E461" s="93"/>
      <c r="F461" s="93"/>
      <c r="G461" s="1"/>
      <c r="H461" s="1"/>
      <c r="I461" s="1"/>
      <c r="J461" s="1"/>
      <c r="K461" s="1"/>
      <c r="L461" s="1"/>
      <c r="M461" s="1"/>
      <c r="N461" s="1"/>
      <c r="O461" s="1"/>
      <c r="P461" s="1"/>
      <c r="Q461" s="1"/>
      <c r="R461" s="1"/>
      <c r="S461" s="1"/>
      <c r="T461" s="1"/>
      <c r="U461" s="1"/>
      <c r="V461" s="1"/>
      <c r="W461" s="1"/>
      <c r="X461" s="1"/>
    </row>
    <row r="462" spans="1:24" ht="12.75" customHeight="1" x14ac:dyDescent="0.2">
      <c r="A462" s="1"/>
      <c r="B462" s="1"/>
      <c r="C462" s="89"/>
      <c r="D462" s="89"/>
      <c r="E462" s="93"/>
      <c r="F462" s="93"/>
      <c r="G462" s="1"/>
      <c r="H462" s="1"/>
      <c r="I462" s="1"/>
      <c r="J462" s="1"/>
      <c r="K462" s="1"/>
      <c r="L462" s="1"/>
      <c r="M462" s="1"/>
      <c r="N462" s="1"/>
      <c r="O462" s="1"/>
      <c r="P462" s="1"/>
      <c r="Q462" s="1"/>
      <c r="R462" s="1"/>
      <c r="S462" s="1"/>
      <c r="T462" s="1"/>
      <c r="U462" s="1"/>
      <c r="V462" s="1"/>
      <c r="W462" s="1"/>
      <c r="X462" s="1"/>
    </row>
    <row r="463" spans="1:24" ht="12.75" customHeight="1" x14ac:dyDescent="0.2">
      <c r="A463" s="1"/>
      <c r="B463" s="1"/>
      <c r="C463" s="89"/>
      <c r="D463" s="89"/>
      <c r="E463" s="93"/>
      <c r="F463" s="93"/>
      <c r="G463" s="1"/>
      <c r="H463" s="1"/>
      <c r="I463" s="1"/>
      <c r="J463" s="1"/>
      <c r="K463" s="1"/>
      <c r="L463" s="1"/>
      <c r="M463" s="1"/>
      <c r="N463" s="1"/>
      <c r="O463" s="1"/>
      <c r="P463" s="1"/>
      <c r="Q463" s="1"/>
      <c r="R463" s="1"/>
      <c r="S463" s="1"/>
      <c r="T463" s="1"/>
      <c r="U463" s="1"/>
      <c r="V463" s="1"/>
      <c r="W463" s="1"/>
      <c r="X463" s="1"/>
    </row>
    <row r="464" spans="1:24" ht="12.75" customHeight="1" x14ac:dyDescent="0.2">
      <c r="A464" s="1"/>
      <c r="B464" s="1"/>
      <c r="C464" s="89"/>
      <c r="D464" s="89"/>
      <c r="E464" s="93"/>
      <c r="F464" s="93"/>
      <c r="G464" s="1"/>
      <c r="H464" s="1"/>
      <c r="I464" s="1"/>
      <c r="J464" s="1"/>
      <c r="K464" s="1"/>
      <c r="L464" s="1"/>
      <c r="M464" s="1"/>
      <c r="N464" s="1"/>
      <c r="O464" s="1"/>
      <c r="P464" s="1"/>
      <c r="Q464" s="1"/>
      <c r="R464" s="1"/>
      <c r="S464" s="1"/>
      <c r="T464" s="1"/>
      <c r="U464" s="1"/>
      <c r="V464" s="1"/>
      <c r="W464" s="1"/>
      <c r="X464" s="1"/>
    </row>
    <row r="465" spans="1:24" ht="12.75" customHeight="1" x14ac:dyDescent="0.2">
      <c r="A465" s="1"/>
      <c r="B465" s="1"/>
      <c r="C465" s="89"/>
      <c r="D465" s="89"/>
      <c r="E465" s="93"/>
      <c r="F465" s="93"/>
      <c r="G465" s="1"/>
      <c r="H465" s="1"/>
      <c r="I465" s="1"/>
      <c r="J465" s="1"/>
      <c r="K465" s="1"/>
      <c r="L465" s="1"/>
      <c r="M465" s="1"/>
      <c r="N465" s="1"/>
      <c r="O465" s="1"/>
      <c r="P465" s="1"/>
      <c r="Q465" s="1"/>
      <c r="R465" s="1"/>
      <c r="S465" s="1"/>
      <c r="T465" s="1"/>
      <c r="U465" s="1"/>
      <c r="V465" s="1"/>
      <c r="W465" s="1"/>
      <c r="X465" s="1"/>
    </row>
    <row r="466" spans="1:24" ht="12.75" customHeight="1" x14ac:dyDescent="0.2">
      <c r="A466" s="1"/>
      <c r="B466" s="1"/>
      <c r="C466" s="89"/>
      <c r="D466" s="89"/>
      <c r="E466" s="93"/>
      <c r="F466" s="93"/>
      <c r="G466" s="1"/>
      <c r="H466" s="1"/>
      <c r="I466" s="1"/>
      <c r="J466" s="1"/>
      <c r="K466" s="1"/>
      <c r="L466" s="1"/>
      <c r="M466" s="1"/>
      <c r="N466" s="1"/>
      <c r="O466" s="1"/>
      <c r="P466" s="1"/>
      <c r="Q466" s="1"/>
      <c r="R466" s="1"/>
      <c r="S466" s="1"/>
      <c r="T466" s="1"/>
      <c r="U466" s="1"/>
      <c r="V466" s="1"/>
      <c r="W466" s="1"/>
      <c r="X466" s="1"/>
    </row>
    <row r="467" spans="1:24" ht="12.75" customHeight="1" x14ac:dyDescent="0.2">
      <c r="A467" s="1"/>
      <c r="B467" s="1"/>
      <c r="C467" s="89"/>
      <c r="D467" s="89"/>
      <c r="E467" s="93"/>
      <c r="F467" s="93"/>
      <c r="G467" s="1"/>
      <c r="H467" s="1"/>
      <c r="I467" s="1"/>
      <c r="J467" s="1"/>
      <c r="K467" s="1"/>
      <c r="L467" s="1"/>
      <c r="M467" s="1"/>
      <c r="N467" s="1"/>
      <c r="O467" s="1"/>
      <c r="P467" s="1"/>
      <c r="Q467" s="1"/>
      <c r="R467" s="1"/>
      <c r="S467" s="1"/>
      <c r="T467" s="1"/>
      <c r="U467" s="1"/>
      <c r="V467" s="1"/>
      <c r="W467" s="1"/>
      <c r="X467" s="1"/>
    </row>
    <row r="468" spans="1:24" ht="12.75" customHeight="1" x14ac:dyDescent="0.2">
      <c r="A468" s="1"/>
      <c r="B468" s="1"/>
      <c r="C468" s="89"/>
      <c r="D468" s="89"/>
      <c r="E468" s="93"/>
      <c r="F468" s="93"/>
      <c r="G468" s="1"/>
      <c r="H468" s="1"/>
      <c r="I468" s="1"/>
      <c r="J468" s="1"/>
      <c r="K468" s="1"/>
      <c r="L468" s="1"/>
      <c r="M468" s="1"/>
      <c r="N468" s="1"/>
      <c r="O468" s="1"/>
      <c r="P468" s="1"/>
      <c r="Q468" s="1"/>
      <c r="R468" s="1"/>
      <c r="S468" s="1"/>
      <c r="T468" s="1"/>
      <c r="U468" s="1"/>
      <c r="V468" s="1"/>
      <c r="W468" s="1"/>
      <c r="X468" s="1"/>
    </row>
    <row r="469" spans="1:24" ht="12.75" customHeight="1" x14ac:dyDescent="0.2">
      <c r="A469" s="1"/>
      <c r="B469" s="1"/>
      <c r="C469" s="89"/>
      <c r="D469" s="89"/>
      <c r="E469" s="93"/>
      <c r="F469" s="93"/>
      <c r="G469" s="1"/>
      <c r="H469" s="1"/>
      <c r="I469" s="1"/>
      <c r="J469" s="1"/>
      <c r="K469" s="1"/>
      <c r="L469" s="1"/>
      <c r="M469" s="1"/>
      <c r="N469" s="1"/>
      <c r="O469" s="1"/>
      <c r="P469" s="1"/>
      <c r="Q469" s="1"/>
      <c r="R469" s="1"/>
      <c r="S469" s="1"/>
      <c r="T469" s="1"/>
      <c r="U469" s="1"/>
      <c r="V469" s="1"/>
      <c r="W469" s="1"/>
      <c r="X469" s="1"/>
    </row>
    <row r="470" spans="1:24" ht="12.75" customHeight="1" x14ac:dyDescent="0.2">
      <c r="A470" s="1"/>
      <c r="B470" s="1"/>
      <c r="C470" s="89"/>
      <c r="D470" s="89"/>
      <c r="E470" s="93"/>
      <c r="F470" s="93"/>
      <c r="G470" s="1"/>
      <c r="H470" s="1"/>
      <c r="I470" s="1"/>
      <c r="J470" s="1"/>
      <c r="K470" s="1"/>
      <c r="L470" s="1"/>
      <c r="M470" s="1"/>
      <c r="N470" s="1"/>
      <c r="O470" s="1"/>
      <c r="P470" s="1"/>
      <c r="Q470" s="1"/>
      <c r="R470" s="1"/>
      <c r="S470" s="1"/>
      <c r="T470" s="1"/>
      <c r="U470" s="1"/>
      <c r="V470" s="1"/>
      <c r="W470" s="1"/>
      <c r="X470" s="1"/>
    </row>
    <row r="471" spans="1:24" ht="12.75" customHeight="1" x14ac:dyDescent="0.2">
      <c r="A471" s="1"/>
      <c r="B471" s="1"/>
      <c r="C471" s="89"/>
      <c r="D471" s="89"/>
      <c r="E471" s="93"/>
      <c r="F471" s="93"/>
      <c r="G471" s="1"/>
      <c r="H471" s="1"/>
      <c r="I471" s="1"/>
      <c r="J471" s="1"/>
      <c r="K471" s="1"/>
      <c r="L471" s="1"/>
      <c r="M471" s="1"/>
      <c r="N471" s="1"/>
      <c r="O471" s="1"/>
      <c r="P471" s="1"/>
      <c r="Q471" s="1"/>
      <c r="R471" s="1"/>
      <c r="S471" s="1"/>
      <c r="T471" s="1"/>
      <c r="U471" s="1"/>
      <c r="V471" s="1"/>
      <c r="W471" s="1"/>
      <c r="X471" s="1"/>
    </row>
    <row r="472" spans="1:24" ht="12.75" customHeight="1" x14ac:dyDescent="0.2">
      <c r="A472" s="1"/>
      <c r="B472" s="1"/>
      <c r="C472" s="89"/>
      <c r="D472" s="89"/>
      <c r="E472" s="93"/>
      <c r="F472" s="93"/>
      <c r="G472" s="1"/>
      <c r="H472" s="1"/>
      <c r="I472" s="1"/>
      <c r="J472" s="1"/>
      <c r="K472" s="1"/>
      <c r="L472" s="1"/>
      <c r="M472" s="1"/>
      <c r="N472" s="1"/>
      <c r="O472" s="1"/>
      <c r="P472" s="1"/>
      <c r="Q472" s="1"/>
      <c r="R472" s="1"/>
      <c r="S472" s="1"/>
      <c r="T472" s="1"/>
      <c r="U472" s="1"/>
      <c r="V472" s="1"/>
      <c r="W472" s="1"/>
      <c r="X472" s="1"/>
    </row>
    <row r="473" spans="1:24" ht="12.75" customHeight="1" x14ac:dyDescent="0.2">
      <c r="A473" s="1"/>
      <c r="B473" s="1"/>
      <c r="C473" s="89"/>
      <c r="D473" s="89"/>
      <c r="E473" s="93"/>
      <c r="F473" s="93"/>
      <c r="G473" s="1"/>
      <c r="H473" s="1"/>
      <c r="I473" s="1"/>
      <c r="J473" s="1"/>
      <c r="K473" s="1"/>
      <c r="L473" s="1"/>
      <c r="M473" s="1"/>
      <c r="N473" s="1"/>
      <c r="O473" s="1"/>
      <c r="P473" s="1"/>
      <c r="Q473" s="1"/>
      <c r="R473" s="1"/>
      <c r="S473" s="1"/>
      <c r="T473" s="1"/>
      <c r="U473" s="1"/>
      <c r="V473" s="1"/>
      <c r="W473" s="1"/>
      <c r="X473" s="1"/>
    </row>
    <row r="474" spans="1:24" ht="12.75" customHeight="1" x14ac:dyDescent="0.2">
      <c r="A474" s="1"/>
      <c r="B474" s="1"/>
      <c r="C474" s="89"/>
      <c r="D474" s="89"/>
      <c r="E474" s="93"/>
      <c r="F474" s="93"/>
      <c r="G474" s="1"/>
      <c r="H474" s="1"/>
      <c r="I474" s="1"/>
      <c r="J474" s="1"/>
      <c r="K474" s="1"/>
      <c r="L474" s="1"/>
      <c r="M474" s="1"/>
      <c r="N474" s="1"/>
      <c r="O474" s="1"/>
      <c r="P474" s="1"/>
      <c r="Q474" s="1"/>
      <c r="R474" s="1"/>
      <c r="S474" s="1"/>
      <c r="T474" s="1"/>
      <c r="U474" s="1"/>
      <c r="V474" s="1"/>
      <c r="W474" s="1"/>
      <c r="X474" s="1"/>
    </row>
    <row r="475" spans="1:24" ht="12.75" customHeight="1" x14ac:dyDescent="0.2">
      <c r="A475" s="1"/>
      <c r="B475" s="1"/>
      <c r="C475" s="89"/>
      <c r="D475" s="89"/>
      <c r="E475" s="93"/>
      <c r="F475" s="93"/>
      <c r="G475" s="1"/>
      <c r="H475" s="1"/>
      <c r="I475" s="1"/>
      <c r="J475" s="1"/>
      <c r="K475" s="1"/>
      <c r="L475" s="1"/>
      <c r="M475" s="1"/>
      <c r="N475" s="1"/>
      <c r="O475" s="1"/>
      <c r="P475" s="1"/>
      <c r="Q475" s="1"/>
      <c r="R475" s="1"/>
      <c r="S475" s="1"/>
      <c r="T475" s="1"/>
      <c r="U475" s="1"/>
      <c r="V475" s="1"/>
      <c r="W475" s="1"/>
      <c r="X475" s="1"/>
    </row>
    <row r="476" spans="1:24" ht="12.75" customHeight="1" x14ac:dyDescent="0.2">
      <c r="A476" s="1"/>
      <c r="B476" s="1"/>
      <c r="C476" s="89"/>
      <c r="D476" s="89"/>
      <c r="E476" s="93"/>
      <c r="F476" s="93"/>
      <c r="G476" s="1"/>
      <c r="H476" s="1"/>
      <c r="I476" s="1"/>
      <c r="J476" s="1"/>
      <c r="K476" s="1"/>
      <c r="L476" s="1"/>
      <c r="M476" s="1"/>
      <c r="N476" s="1"/>
      <c r="O476" s="1"/>
      <c r="P476" s="1"/>
      <c r="Q476" s="1"/>
      <c r="R476" s="1"/>
      <c r="S476" s="1"/>
      <c r="T476" s="1"/>
      <c r="U476" s="1"/>
      <c r="V476" s="1"/>
      <c r="W476" s="1"/>
      <c r="X476" s="1"/>
    </row>
    <row r="477" spans="1:24" ht="12.75" customHeight="1" x14ac:dyDescent="0.2">
      <c r="A477" s="1"/>
      <c r="B477" s="1"/>
      <c r="C477" s="89"/>
      <c r="D477" s="89"/>
      <c r="E477" s="93"/>
      <c r="F477" s="93"/>
      <c r="G477" s="1"/>
      <c r="H477" s="1"/>
      <c r="I477" s="1"/>
      <c r="J477" s="1"/>
      <c r="K477" s="1"/>
      <c r="L477" s="1"/>
      <c r="M477" s="1"/>
      <c r="N477" s="1"/>
      <c r="O477" s="1"/>
      <c r="P477" s="1"/>
      <c r="Q477" s="1"/>
      <c r="R477" s="1"/>
      <c r="S477" s="1"/>
      <c r="T477" s="1"/>
      <c r="U477" s="1"/>
      <c r="V477" s="1"/>
      <c r="W477" s="1"/>
      <c r="X477" s="1"/>
    </row>
    <row r="478" spans="1:24" ht="12.75" customHeight="1" x14ac:dyDescent="0.2">
      <c r="A478" s="1"/>
      <c r="B478" s="1"/>
      <c r="C478" s="89"/>
      <c r="D478" s="89"/>
      <c r="E478" s="93"/>
      <c r="F478" s="93"/>
      <c r="G478" s="1"/>
      <c r="H478" s="1"/>
      <c r="I478" s="1"/>
      <c r="J478" s="1"/>
      <c r="K478" s="1"/>
      <c r="L478" s="1"/>
      <c r="M478" s="1"/>
      <c r="N478" s="1"/>
      <c r="O478" s="1"/>
      <c r="P478" s="1"/>
      <c r="Q478" s="1"/>
      <c r="R478" s="1"/>
      <c r="S478" s="1"/>
      <c r="T478" s="1"/>
      <c r="U478" s="1"/>
      <c r="V478" s="1"/>
      <c r="W478" s="1"/>
      <c r="X478" s="1"/>
    </row>
    <row r="479" spans="1:24" ht="12.75" customHeight="1" x14ac:dyDescent="0.2">
      <c r="A479" s="1"/>
      <c r="B479" s="1"/>
      <c r="C479" s="89"/>
      <c r="D479" s="89"/>
      <c r="E479" s="93"/>
      <c r="F479" s="93"/>
      <c r="G479" s="1"/>
      <c r="H479" s="1"/>
      <c r="I479" s="1"/>
      <c r="J479" s="1"/>
      <c r="K479" s="1"/>
      <c r="L479" s="1"/>
      <c r="M479" s="1"/>
      <c r="N479" s="1"/>
      <c r="O479" s="1"/>
      <c r="P479" s="1"/>
      <c r="Q479" s="1"/>
      <c r="R479" s="1"/>
      <c r="S479" s="1"/>
      <c r="T479" s="1"/>
      <c r="U479" s="1"/>
      <c r="V479" s="1"/>
      <c r="W479" s="1"/>
      <c r="X479" s="1"/>
    </row>
    <row r="480" spans="1:24" ht="12.75" customHeight="1" x14ac:dyDescent="0.2">
      <c r="A480" s="1"/>
      <c r="B480" s="1"/>
      <c r="C480" s="89"/>
      <c r="D480" s="89"/>
      <c r="E480" s="93"/>
      <c r="F480" s="93"/>
      <c r="G480" s="1"/>
      <c r="H480" s="1"/>
      <c r="I480" s="1"/>
      <c r="J480" s="1"/>
      <c r="K480" s="1"/>
      <c r="L480" s="1"/>
      <c r="M480" s="1"/>
      <c r="N480" s="1"/>
      <c r="O480" s="1"/>
      <c r="P480" s="1"/>
      <c r="Q480" s="1"/>
      <c r="R480" s="1"/>
      <c r="S480" s="1"/>
      <c r="T480" s="1"/>
      <c r="U480" s="1"/>
      <c r="V480" s="1"/>
      <c r="W480" s="1"/>
      <c r="X480" s="1"/>
    </row>
    <row r="481" spans="1:24" ht="12.75" customHeight="1" x14ac:dyDescent="0.2">
      <c r="A481" s="1"/>
      <c r="B481" s="1"/>
      <c r="C481" s="89"/>
      <c r="D481" s="89"/>
      <c r="E481" s="93"/>
      <c r="F481" s="93"/>
      <c r="G481" s="1"/>
      <c r="H481" s="1"/>
      <c r="I481" s="1"/>
      <c r="J481" s="1"/>
      <c r="K481" s="1"/>
      <c r="L481" s="1"/>
      <c r="M481" s="1"/>
      <c r="N481" s="1"/>
      <c r="O481" s="1"/>
      <c r="P481" s="1"/>
      <c r="Q481" s="1"/>
      <c r="R481" s="1"/>
      <c r="S481" s="1"/>
      <c r="T481" s="1"/>
      <c r="U481" s="1"/>
      <c r="V481" s="1"/>
      <c r="W481" s="1"/>
      <c r="X481" s="1"/>
    </row>
    <row r="482" spans="1:24" ht="12.75" customHeight="1" x14ac:dyDescent="0.2">
      <c r="A482" s="1"/>
      <c r="B482" s="1"/>
      <c r="C482" s="89"/>
      <c r="D482" s="89"/>
      <c r="E482" s="93"/>
      <c r="F482" s="93"/>
      <c r="G482" s="1"/>
      <c r="H482" s="1"/>
      <c r="I482" s="1"/>
      <c r="J482" s="1"/>
      <c r="K482" s="1"/>
      <c r="L482" s="1"/>
      <c r="M482" s="1"/>
      <c r="N482" s="1"/>
      <c r="O482" s="1"/>
      <c r="P482" s="1"/>
      <c r="Q482" s="1"/>
      <c r="R482" s="1"/>
      <c r="S482" s="1"/>
      <c r="T482" s="1"/>
      <c r="U482" s="1"/>
      <c r="V482" s="1"/>
      <c r="W482" s="1"/>
      <c r="X482" s="1"/>
    </row>
    <row r="483" spans="1:24" ht="12.75" customHeight="1" x14ac:dyDescent="0.2">
      <c r="A483" s="1"/>
      <c r="B483" s="1"/>
      <c r="C483" s="89"/>
      <c r="D483" s="89"/>
      <c r="E483" s="93"/>
      <c r="F483" s="93"/>
      <c r="G483" s="1"/>
      <c r="H483" s="1"/>
      <c r="I483" s="1"/>
      <c r="J483" s="1"/>
      <c r="K483" s="1"/>
      <c r="L483" s="1"/>
      <c r="M483" s="1"/>
      <c r="N483" s="1"/>
      <c r="O483" s="1"/>
      <c r="P483" s="1"/>
      <c r="Q483" s="1"/>
      <c r="R483" s="1"/>
      <c r="S483" s="1"/>
      <c r="T483" s="1"/>
      <c r="U483" s="1"/>
      <c r="V483" s="1"/>
      <c r="W483" s="1"/>
      <c r="X483" s="1"/>
    </row>
    <row r="484" spans="1:24" ht="12.75" customHeight="1" x14ac:dyDescent="0.2">
      <c r="A484" s="1"/>
      <c r="B484" s="1"/>
      <c r="C484" s="89"/>
      <c r="D484" s="89"/>
      <c r="E484" s="93"/>
      <c r="F484" s="93"/>
      <c r="G484" s="1"/>
      <c r="H484" s="1"/>
      <c r="I484" s="1"/>
      <c r="J484" s="1"/>
      <c r="K484" s="1"/>
      <c r="L484" s="1"/>
      <c r="M484" s="1"/>
      <c r="N484" s="1"/>
      <c r="O484" s="1"/>
      <c r="P484" s="1"/>
      <c r="Q484" s="1"/>
      <c r="R484" s="1"/>
      <c r="S484" s="1"/>
      <c r="T484" s="1"/>
      <c r="U484" s="1"/>
      <c r="V484" s="1"/>
      <c r="W484" s="1"/>
      <c r="X484" s="1"/>
    </row>
    <row r="485" spans="1:24" ht="12.75" customHeight="1" x14ac:dyDescent="0.2">
      <c r="A485" s="1"/>
      <c r="B485" s="1"/>
      <c r="C485" s="89"/>
      <c r="D485" s="89"/>
      <c r="E485" s="93"/>
      <c r="F485" s="93"/>
      <c r="G485" s="1"/>
      <c r="H485" s="1"/>
      <c r="I485" s="1"/>
      <c r="J485" s="1"/>
      <c r="K485" s="1"/>
      <c r="L485" s="1"/>
      <c r="M485" s="1"/>
      <c r="N485" s="1"/>
      <c r="O485" s="1"/>
      <c r="P485" s="1"/>
      <c r="Q485" s="1"/>
      <c r="R485" s="1"/>
      <c r="S485" s="1"/>
      <c r="T485" s="1"/>
      <c r="U485" s="1"/>
      <c r="V485" s="1"/>
      <c r="W485" s="1"/>
      <c r="X485" s="1"/>
    </row>
    <row r="486" spans="1:24" ht="12.75" customHeight="1" x14ac:dyDescent="0.2">
      <c r="A486" s="1"/>
      <c r="B486" s="1"/>
      <c r="C486" s="89"/>
      <c r="D486" s="89"/>
      <c r="E486" s="93"/>
      <c r="F486" s="93"/>
      <c r="G486" s="1"/>
      <c r="H486" s="1"/>
      <c r="I486" s="1"/>
      <c r="J486" s="1"/>
      <c r="K486" s="1"/>
      <c r="L486" s="1"/>
      <c r="M486" s="1"/>
      <c r="N486" s="1"/>
      <c r="O486" s="1"/>
      <c r="P486" s="1"/>
      <c r="Q486" s="1"/>
      <c r="R486" s="1"/>
      <c r="S486" s="1"/>
      <c r="T486" s="1"/>
      <c r="U486" s="1"/>
      <c r="V486" s="1"/>
      <c r="W486" s="1"/>
      <c r="X486" s="1"/>
    </row>
    <row r="487" spans="1:24" ht="12.75" customHeight="1" x14ac:dyDescent="0.2">
      <c r="A487" s="1"/>
      <c r="B487" s="1"/>
      <c r="C487" s="89"/>
      <c r="D487" s="89"/>
      <c r="E487" s="93"/>
      <c r="F487" s="93"/>
      <c r="G487" s="1"/>
      <c r="H487" s="1"/>
      <c r="I487" s="1"/>
      <c r="J487" s="1"/>
      <c r="K487" s="1"/>
      <c r="L487" s="1"/>
      <c r="M487" s="1"/>
      <c r="N487" s="1"/>
      <c r="O487" s="1"/>
      <c r="P487" s="1"/>
      <c r="Q487" s="1"/>
      <c r="R487" s="1"/>
      <c r="S487" s="1"/>
      <c r="T487" s="1"/>
      <c r="U487" s="1"/>
      <c r="V487" s="1"/>
      <c r="W487" s="1"/>
      <c r="X487" s="1"/>
    </row>
    <row r="488" spans="1:24" ht="12.75" customHeight="1" x14ac:dyDescent="0.2">
      <c r="A488" s="1"/>
      <c r="B488" s="1"/>
      <c r="C488" s="89"/>
      <c r="D488" s="89"/>
      <c r="E488" s="93"/>
      <c r="F488" s="93"/>
      <c r="G488" s="1"/>
      <c r="H488" s="1"/>
      <c r="I488" s="1"/>
      <c r="J488" s="1"/>
      <c r="K488" s="1"/>
      <c r="L488" s="1"/>
      <c r="M488" s="1"/>
      <c r="N488" s="1"/>
      <c r="O488" s="1"/>
      <c r="P488" s="1"/>
      <c r="Q488" s="1"/>
      <c r="R488" s="1"/>
      <c r="S488" s="1"/>
      <c r="T488" s="1"/>
      <c r="U488" s="1"/>
      <c r="V488" s="1"/>
      <c r="W488" s="1"/>
      <c r="X488" s="1"/>
    </row>
    <row r="489" spans="1:24" ht="12.75" customHeight="1" x14ac:dyDescent="0.2">
      <c r="A489" s="1"/>
      <c r="B489" s="1"/>
      <c r="C489" s="89"/>
      <c r="D489" s="89"/>
      <c r="E489" s="93"/>
      <c r="F489" s="93"/>
      <c r="G489" s="1"/>
      <c r="H489" s="1"/>
      <c r="I489" s="1"/>
      <c r="J489" s="1"/>
      <c r="K489" s="1"/>
      <c r="L489" s="1"/>
      <c r="M489" s="1"/>
      <c r="N489" s="1"/>
      <c r="O489" s="1"/>
      <c r="P489" s="1"/>
      <c r="Q489" s="1"/>
      <c r="R489" s="1"/>
      <c r="S489" s="1"/>
      <c r="T489" s="1"/>
      <c r="U489" s="1"/>
      <c r="V489" s="1"/>
      <c r="W489" s="1"/>
      <c r="X489" s="1"/>
    </row>
    <row r="490" spans="1:24" ht="12.75" customHeight="1" x14ac:dyDescent="0.2">
      <c r="A490" s="1"/>
      <c r="B490" s="1"/>
      <c r="C490" s="89"/>
      <c r="D490" s="89"/>
      <c r="E490" s="93"/>
      <c r="F490" s="93"/>
      <c r="G490" s="1"/>
      <c r="H490" s="1"/>
      <c r="I490" s="1"/>
      <c r="J490" s="1"/>
      <c r="K490" s="1"/>
      <c r="L490" s="1"/>
      <c r="M490" s="1"/>
      <c r="N490" s="1"/>
      <c r="O490" s="1"/>
      <c r="P490" s="1"/>
      <c r="Q490" s="1"/>
      <c r="R490" s="1"/>
      <c r="S490" s="1"/>
      <c r="T490" s="1"/>
      <c r="U490" s="1"/>
      <c r="V490" s="1"/>
      <c r="W490" s="1"/>
      <c r="X490" s="1"/>
    </row>
    <row r="491" spans="1:24" ht="12.75" customHeight="1" x14ac:dyDescent="0.2">
      <c r="A491" s="1"/>
      <c r="B491" s="1"/>
      <c r="C491" s="89"/>
      <c r="D491" s="89"/>
      <c r="E491" s="93"/>
      <c r="F491" s="93"/>
      <c r="G491" s="1"/>
      <c r="H491" s="1"/>
      <c r="I491" s="1"/>
      <c r="J491" s="1"/>
      <c r="K491" s="1"/>
      <c r="L491" s="1"/>
      <c r="M491" s="1"/>
      <c r="N491" s="1"/>
      <c r="O491" s="1"/>
      <c r="P491" s="1"/>
      <c r="Q491" s="1"/>
      <c r="R491" s="1"/>
      <c r="S491" s="1"/>
      <c r="T491" s="1"/>
      <c r="U491" s="1"/>
      <c r="V491" s="1"/>
      <c r="W491" s="1"/>
      <c r="X491" s="1"/>
    </row>
    <row r="492" spans="1:24" ht="12.75" customHeight="1" x14ac:dyDescent="0.2">
      <c r="A492" s="1"/>
      <c r="B492" s="1"/>
      <c r="C492" s="89"/>
      <c r="D492" s="89"/>
      <c r="E492" s="93"/>
      <c r="F492" s="93"/>
      <c r="G492" s="1"/>
      <c r="H492" s="1"/>
      <c r="I492" s="1"/>
      <c r="J492" s="1"/>
      <c r="K492" s="1"/>
      <c r="L492" s="1"/>
      <c r="M492" s="1"/>
      <c r="N492" s="1"/>
      <c r="O492" s="1"/>
      <c r="P492" s="1"/>
      <c r="Q492" s="1"/>
      <c r="R492" s="1"/>
      <c r="S492" s="1"/>
      <c r="T492" s="1"/>
      <c r="U492" s="1"/>
      <c r="V492" s="1"/>
      <c r="W492" s="1"/>
      <c r="X492" s="1"/>
    </row>
    <row r="493" spans="1:24" ht="12.75" customHeight="1" x14ac:dyDescent="0.2">
      <c r="A493" s="1"/>
      <c r="B493" s="1"/>
      <c r="C493" s="89"/>
      <c r="D493" s="89"/>
      <c r="E493" s="93"/>
      <c r="F493" s="93"/>
      <c r="G493" s="1"/>
      <c r="H493" s="1"/>
      <c r="I493" s="1"/>
      <c r="J493" s="1"/>
      <c r="K493" s="1"/>
      <c r="L493" s="1"/>
      <c r="M493" s="1"/>
      <c r="N493" s="1"/>
      <c r="O493" s="1"/>
      <c r="P493" s="1"/>
      <c r="Q493" s="1"/>
      <c r="R493" s="1"/>
      <c r="S493" s="1"/>
      <c r="T493" s="1"/>
      <c r="U493" s="1"/>
      <c r="V493" s="1"/>
      <c r="W493" s="1"/>
      <c r="X493" s="1"/>
    </row>
    <row r="494" spans="1:24" ht="12.75" customHeight="1" x14ac:dyDescent="0.2">
      <c r="A494" s="1"/>
      <c r="B494" s="1"/>
      <c r="C494" s="89"/>
      <c r="D494" s="89"/>
      <c r="E494" s="93"/>
      <c r="F494" s="93"/>
      <c r="G494" s="1"/>
      <c r="H494" s="1"/>
      <c r="I494" s="1"/>
      <c r="J494" s="1"/>
      <c r="K494" s="1"/>
      <c r="L494" s="1"/>
      <c r="M494" s="1"/>
      <c r="N494" s="1"/>
      <c r="O494" s="1"/>
      <c r="P494" s="1"/>
      <c r="Q494" s="1"/>
      <c r="R494" s="1"/>
      <c r="S494" s="1"/>
      <c r="T494" s="1"/>
      <c r="U494" s="1"/>
      <c r="V494" s="1"/>
      <c r="W494" s="1"/>
      <c r="X494" s="1"/>
    </row>
    <row r="495" spans="1:24" ht="12.75" customHeight="1" x14ac:dyDescent="0.2">
      <c r="A495" s="1"/>
      <c r="B495" s="1"/>
      <c r="C495" s="89"/>
      <c r="D495" s="89"/>
      <c r="E495" s="93"/>
      <c r="F495" s="93"/>
      <c r="G495" s="1"/>
      <c r="H495" s="1"/>
      <c r="I495" s="1"/>
      <c r="J495" s="1"/>
      <c r="K495" s="1"/>
      <c r="L495" s="1"/>
      <c r="M495" s="1"/>
      <c r="N495" s="1"/>
      <c r="O495" s="1"/>
      <c r="P495" s="1"/>
      <c r="Q495" s="1"/>
      <c r="R495" s="1"/>
      <c r="S495" s="1"/>
      <c r="T495" s="1"/>
      <c r="U495" s="1"/>
      <c r="V495" s="1"/>
      <c r="W495" s="1"/>
      <c r="X495" s="1"/>
    </row>
    <row r="496" spans="1:24" ht="12.75" customHeight="1" x14ac:dyDescent="0.2">
      <c r="A496" s="1"/>
      <c r="B496" s="1"/>
      <c r="C496" s="89"/>
      <c r="D496" s="89"/>
      <c r="E496" s="93"/>
      <c r="F496" s="93"/>
      <c r="G496" s="1"/>
      <c r="H496" s="1"/>
      <c r="I496" s="1"/>
      <c r="J496" s="1"/>
      <c r="K496" s="1"/>
      <c r="L496" s="1"/>
      <c r="M496" s="1"/>
      <c r="N496" s="1"/>
      <c r="O496" s="1"/>
      <c r="P496" s="1"/>
      <c r="Q496" s="1"/>
      <c r="R496" s="1"/>
      <c r="S496" s="1"/>
      <c r="T496" s="1"/>
      <c r="U496" s="1"/>
      <c r="V496" s="1"/>
      <c r="W496" s="1"/>
      <c r="X496" s="1"/>
    </row>
    <row r="497" spans="1:24" ht="12.75" customHeight="1" x14ac:dyDescent="0.2">
      <c r="A497" s="1"/>
      <c r="B497" s="1"/>
      <c r="C497" s="89"/>
      <c r="D497" s="89"/>
      <c r="E497" s="93"/>
      <c r="F497" s="93"/>
      <c r="G497" s="1"/>
      <c r="H497" s="1"/>
      <c r="I497" s="1"/>
      <c r="J497" s="1"/>
      <c r="K497" s="1"/>
      <c r="L497" s="1"/>
      <c r="M497" s="1"/>
      <c r="N497" s="1"/>
      <c r="O497" s="1"/>
      <c r="P497" s="1"/>
      <c r="Q497" s="1"/>
      <c r="R497" s="1"/>
      <c r="S497" s="1"/>
      <c r="T497" s="1"/>
      <c r="U497" s="1"/>
      <c r="V497" s="1"/>
      <c r="W497" s="1"/>
      <c r="X497" s="1"/>
    </row>
    <row r="498" spans="1:24" ht="12.75" customHeight="1" x14ac:dyDescent="0.2">
      <c r="A498" s="1"/>
      <c r="B498" s="1"/>
      <c r="C498" s="89"/>
      <c r="D498" s="89"/>
      <c r="E498" s="93"/>
      <c r="F498" s="93"/>
      <c r="G498" s="1"/>
      <c r="H498" s="1"/>
      <c r="I498" s="1"/>
      <c r="J498" s="1"/>
      <c r="K498" s="1"/>
      <c r="L498" s="1"/>
      <c r="M498" s="1"/>
      <c r="N498" s="1"/>
      <c r="O498" s="1"/>
      <c r="P498" s="1"/>
      <c r="Q498" s="1"/>
      <c r="R498" s="1"/>
      <c r="S498" s="1"/>
      <c r="T498" s="1"/>
      <c r="U498" s="1"/>
      <c r="V498" s="1"/>
      <c r="W498" s="1"/>
      <c r="X498" s="1"/>
    </row>
    <row r="499" spans="1:24" ht="12.75" customHeight="1" x14ac:dyDescent="0.2">
      <c r="A499" s="1"/>
      <c r="B499" s="1"/>
      <c r="C499" s="89"/>
      <c r="D499" s="89"/>
      <c r="E499" s="93"/>
      <c r="F499" s="93"/>
      <c r="G499" s="1"/>
      <c r="H499" s="1"/>
      <c r="I499" s="1"/>
      <c r="J499" s="1"/>
      <c r="K499" s="1"/>
      <c r="L499" s="1"/>
      <c r="M499" s="1"/>
      <c r="N499" s="1"/>
      <c r="O499" s="1"/>
      <c r="P499" s="1"/>
      <c r="Q499" s="1"/>
      <c r="R499" s="1"/>
      <c r="S499" s="1"/>
      <c r="T499" s="1"/>
      <c r="U499" s="1"/>
      <c r="V499" s="1"/>
      <c r="W499" s="1"/>
      <c r="X499" s="1"/>
    </row>
    <row r="500" spans="1:24" ht="12.75" customHeight="1" x14ac:dyDescent="0.2">
      <c r="A500" s="1"/>
      <c r="B500" s="1"/>
      <c r="C500" s="89"/>
      <c r="D500" s="89"/>
      <c r="E500" s="93"/>
      <c r="F500" s="93"/>
      <c r="G500" s="1"/>
      <c r="H500" s="1"/>
      <c r="I500" s="1"/>
      <c r="J500" s="1"/>
      <c r="K500" s="1"/>
      <c r="L500" s="1"/>
      <c r="M500" s="1"/>
      <c r="N500" s="1"/>
      <c r="O500" s="1"/>
      <c r="P500" s="1"/>
      <c r="Q500" s="1"/>
      <c r="R500" s="1"/>
      <c r="S500" s="1"/>
      <c r="T500" s="1"/>
      <c r="U500" s="1"/>
      <c r="V500" s="1"/>
      <c r="W500" s="1"/>
      <c r="X500" s="1"/>
    </row>
    <row r="501" spans="1:24" ht="12.75" customHeight="1" x14ac:dyDescent="0.2">
      <c r="A501" s="1"/>
      <c r="B501" s="1"/>
      <c r="C501" s="89"/>
      <c r="D501" s="89"/>
      <c r="E501" s="93"/>
      <c r="F501" s="93"/>
      <c r="G501" s="1"/>
      <c r="H501" s="1"/>
      <c r="I501" s="1"/>
      <c r="J501" s="1"/>
      <c r="K501" s="1"/>
      <c r="L501" s="1"/>
      <c r="M501" s="1"/>
      <c r="N501" s="1"/>
      <c r="O501" s="1"/>
      <c r="P501" s="1"/>
      <c r="Q501" s="1"/>
      <c r="R501" s="1"/>
      <c r="S501" s="1"/>
      <c r="T501" s="1"/>
      <c r="U501" s="1"/>
      <c r="V501" s="1"/>
      <c r="W501" s="1"/>
      <c r="X501" s="1"/>
    </row>
    <row r="502" spans="1:24" ht="12.75" customHeight="1" x14ac:dyDescent="0.2">
      <c r="A502" s="1"/>
      <c r="B502" s="1"/>
      <c r="C502" s="89"/>
      <c r="D502" s="89"/>
      <c r="E502" s="93"/>
      <c r="F502" s="93"/>
      <c r="G502" s="1"/>
      <c r="H502" s="1"/>
      <c r="I502" s="1"/>
      <c r="J502" s="1"/>
      <c r="K502" s="1"/>
      <c r="L502" s="1"/>
      <c r="M502" s="1"/>
      <c r="N502" s="1"/>
      <c r="O502" s="1"/>
      <c r="P502" s="1"/>
      <c r="Q502" s="1"/>
      <c r="R502" s="1"/>
      <c r="S502" s="1"/>
      <c r="T502" s="1"/>
      <c r="U502" s="1"/>
      <c r="V502" s="1"/>
      <c r="W502" s="1"/>
      <c r="X502" s="1"/>
    </row>
    <row r="503" spans="1:24" ht="12.75" customHeight="1" x14ac:dyDescent="0.2">
      <c r="A503" s="1"/>
      <c r="B503" s="1"/>
      <c r="C503" s="89"/>
      <c r="D503" s="89"/>
      <c r="E503" s="93"/>
      <c r="F503" s="93"/>
      <c r="G503" s="1"/>
      <c r="H503" s="1"/>
      <c r="I503" s="1"/>
      <c r="J503" s="1"/>
      <c r="K503" s="1"/>
      <c r="L503" s="1"/>
      <c r="M503" s="1"/>
      <c r="N503" s="1"/>
      <c r="O503" s="1"/>
      <c r="P503" s="1"/>
      <c r="Q503" s="1"/>
      <c r="R503" s="1"/>
      <c r="S503" s="1"/>
      <c r="T503" s="1"/>
      <c r="U503" s="1"/>
      <c r="V503" s="1"/>
      <c r="W503" s="1"/>
      <c r="X503" s="1"/>
    </row>
    <row r="504" spans="1:24" ht="12.75" customHeight="1" x14ac:dyDescent="0.2">
      <c r="A504" s="1"/>
      <c r="B504" s="1"/>
      <c r="C504" s="89"/>
      <c r="D504" s="89"/>
      <c r="E504" s="93"/>
      <c r="F504" s="93"/>
      <c r="G504" s="1"/>
      <c r="H504" s="1"/>
      <c r="I504" s="1"/>
      <c r="J504" s="1"/>
      <c r="K504" s="1"/>
      <c r="L504" s="1"/>
      <c r="M504" s="1"/>
      <c r="N504" s="1"/>
      <c r="O504" s="1"/>
      <c r="P504" s="1"/>
      <c r="Q504" s="1"/>
      <c r="R504" s="1"/>
      <c r="S504" s="1"/>
      <c r="T504" s="1"/>
      <c r="U504" s="1"/>
      <c r="V504" s="1"/>
      <c r="W504" s="1"/>
      <c r="X504" s="1"/>
    </row>
    <row r="505" spans="1:24" ht="12.75" customHeight="1" x14ac:dyDescent="0.2">
      <c r="A505" s="1"/>
      <c r="B505" s="1"/>
      <c r="C505" s="89"/>
      <c r="D505" s="89"/>
      <c r="E505" s="93"/>
      <c r="F505" s="93"/>
      <c r="G505" s="1"/>
      <c r="H505" s="1"/>
      <c r="I505" s="1"/>
      <c r="J505" s="1"/>
      <c r="K505" s="1"/>
      <c r="L505" s="1"/>
      <c r="M505" s="1"/>
      <c r="N505" s="1"/>
      <c r="O505" s="1"/>
      <c r="P505" s="1"/>
      <c r="Q505" s="1"/>
      <c r="R505" s="1"/>
      <c r="S505" s="1"/>
      <c r="T505" s="1"/>
      <c r="U505" s="1"/>
      <c r="V505" s="1"/>
      <c r="W505" s="1"/>
      <c r="X505" s="1"/>
    </row>
    <row r="506" spans="1:24" ht="12.75" customHeight="1" x14ac:dyDescent="0.2">
      <c r="A506" s="1"/>
      <c r="B506" s="1"/>
      <c r="C506" s="89"/>
      <c r="D506" s="89"/>
      <c r="E506" s="93"/>
      <c r="F506" s="93"/>
      <c r="G506" s="1"/>
      <c r="H506" s="1"/>
      <c r="I506" s="1"/>
      <c r="J506" s="1"/>
      <c r="K506" s="1"/>
      <c r="L506" s="1"/>
      <c r="M506" s="1"/>
      <c r="N506" s="1"/>
      <c r="O506" s="1"/>
      <c r="P506" s="1"/>
      <c r="Q506" s="1"/>
      <c r="R506" s="1"/>
      <c r="S506" s="1"/>
      <c r="T506" s="1"/>
      <c r="U506" s="1"/>
      <c r="V506" s="1"/>
      <c r="W506" s="1"/>
      <c r="X506" s="1"/>
    </row>
    <row r="507" spans="1:24" ht="12.75" customHeight="1" x14ac:dyDescent="0.2">
      <c r="A507" s="1"/>
      <c r="B507" s="1"/>
      <c r="C507" s="89"/>
      <c r="D507" s="89"/>
      <c r="E507" s="93"/>
      <c r="F507" s="93"/>
      <c r="G507" s="1"/>
      <c r="H507" s="1"/>
      <c r="I507" s="1"/>
      <c r="J507" s="1"/>
      <c r="K507" s="1"/>
      <c r="L507" s="1"/>
      <c r="M507" s="1"/>
      <c r="N507" s="1"/>
      <c r="O507" s="1"/>
      <c r="P507" s="1"/>
      <c r="Q507" s="1"/>
      <c r="R507" s="1"/>
      <c r="S507" s="1"/>
      <c r="T507" s="1"/>
      <c r="U507" s="1"/>
      <c r="V507" s="1"/>
      <c r="W507" s="1"/>
      <c r="X507" s="1"/>
    </row>
    <row r="508" spans="1:24" ht="12.75" customHeight="1" x14ac:dyDescent="0.2">
      <c r="A508" s="1"/>
      <c r="B508" s="1"/>
      <c r="C508" s="89"/>
      <c r="D508" s="89"/>
      <c r="E508" s="93"/>
      <c r="F508" s="93"/>
      <c r="G508" s="1"/>
      <c r="H508" s="1"/>
      <c r="I508" s="1"/>
      <c r="J508" s="1"/>
      <c r="K508" s="1"/>
      <c r="L508" s="1"/>
      <c r="M508" s="1"/>
      <c r="N508" s="1"/>
      <c r="O508" s="1"/>
      <c r="P508" s="1"/>
      <c r="Q508" s="1"/>
      <c r="R508" s="1"/>
      <c r="S508" s="1"/>
      <c r="T508" s="1"/>
      <c r="U508" s="1"/>
      <c r="V508" s="1"/>
      <c r="W508" s="1"/>
      <c r="X508" s="1"/>
    </row>
    <row r="509" spans="1:24" ht="12.75" customHeight="1" x14ac:dyDescent="0.2">
      <c r="A509" s="1"/>
      <c r="B509" s="1"/>
      <c r="C509" s="89"/>
      <c r="D509" s="89"/>
      <c r="E509" s="93"/>
      <c r="F509" s="93"/>
      <c r="G509" s="1"/>
      <c r="H509" s="1"/>
      <c r="I509" s="1"/>
      <c r="J509" s="1"/>
      <c r="K509" s="1"/>
      <c r="L509" s="1"/>
      <c r="M509" s="1"/>
      <c r="N509" s="1"/>
      <c r="O509" s="1"/>
      <c r="P509" s="1"/>
      <c r="Q509" s="1"/>
      <c r="R509" s="1"/>
      <c r="S509" s="1"/>
      <c r="T509" s="1"/>
      <c r="U509" s="1"/>
      <c r="V509" s="1"/>
      <c r="W509" s="1"/>
      <c r="X509" s="1"/>
    </row>
    <row r="510" spans="1:24" ht="12.75" customHeight="1" x14ac:dyDescent="0.2">
      <c r="A510" s="1"/>
      <c r="B510" s="1"/>
      <c r="C510" s="89"/>
      <c r="D510" s="89"/>
      <c r="E510" s="93"/>
      <c r="F510" s="93"/>
      <c r="G510" s="1"/>
      <c r="H510" s="1"/>
      <c r="I510" s="1"/>
      <c r="J510" s="1"/>
      <c r="K510" s="1"/>
      <c r="L510" s="1"/>
      <c r="M510" s="1"/>
      <c r="N510" s="1"/>
      <c r="O510" s="1"/>
      <c r="P510" s="1"/>
      <c r="Q510" s="1"/>
      <c r="R510" s="1"/>
      <c r="S510" s="1"/>
      <c r="T510" s="1"/>
      <c r="U510" s="1"/>
      <c r="V510" s="1"/>
      <c r="W510" s="1"/>
      <c r="X510" s="1"/>
    </row>
    <row r="511" spans="1:24" ht="12.75" customHeight="1" x14ac:dyDescent="0.2">
      <c r="A511" s="1"/>
      <c r="B511" s="1"/>
      <c r="C511" s="89"/>
      <c r="D511" s="89"/>
      <c r="E511" s="93"/>
      <c r="F511" s="93"/>
      <c r="G511" s="1"/>
      <c r="H511" s="1"/>
      <c r="I511" s="1"/>
      <c r="J511" s="1"/>
      <c r="K511" s="1"/>
      <c r="L511" s="1"/>
      <c r="M511" s="1"/>
      <c r="N511" s="1"/>
      <c r="O511" s="1"/>
      <c r="P511" s="1"/>
      <c r="Q511" s="1"/>
      <c r="R511" s="1"/>
      <c r="S511" s="1"/>
      <c r="T511" s="1"/>
      <c r="U511" s="1"/>
      <c r="V511" s="1"/>
      <c r="W511" s="1"/>
      <c r="X511" s="1"/>
    </row>
    <row r="512" spans="1:24" ht="12.75" customHeight="1" x14ac:dyDescent="0.2">
      <c r="A512" s="1"/>
      <c r="B512" s="1"/>
      <c r="C512" s="89"/>
      <c r="D512" s="89"/>
      <c r="E512" s="93"/>
      <c r="F512" s="93"/>
      <c r="G512" s="1"/>
      <c r="H512" s="1"/>
      <c r="I512" s="1"/>
      <c r="J512" s="1"/>
      <c r="K512" s="1"/>
      <c r="L512" s="1"/>
      <c r="M512" s="1"/>
      <c r="N512" s="1"/>
      <c r="O512" s="1"/>
      <c r="P512" s="1"/>
      <c r="Q512" s="1"/>
      <c r="R512" s="1"/>
      <c r="S512" s="1"/>
      <c r="T512" s="1"/>
      <c r="U512" s="1"/>
      <c r="V512" s="1"/>
      <c r="W512" s="1"/>
      <c r="X512" s="1"/>
    </row>
    <row r="513" spans="1:24" ht="12.75" customHeight="1" x14ac:dyDescent="0.2">
      <c r="A513" s="1"/>
      <c r="B513" s="1"/>
      <c r="C513" s="89"/>
      <c r="D513" s="89"/>
      <c r="E513" s="93"/>
      <c r="F513" s="93"/>
      <c r="G513" s="1"/>
      <c r="H513" s="1"/>
      <c r="I513" s="1"/>
      <c r="J513" s="1"/>
      <c r="K513" s="1"/>
      <c r="L513" s="1"/>
      <c r="M513" s="1"/>
      <c r="N513" s="1"/>
      <c r="O513" s="1"/>
      <c r="P513" s="1"/>
      <c r="Q513" s="1"/>
      <c r="R513" s="1"/>
      <c r="S513" s="1"/>
      <c r="T513" s="1"/>
      <c r="U513" s="1"/>
      <c r="V513" s="1"/>
      <c r="W513" s="1"/>
      <c r="X513" s="1"/>
    </row>
    <row r="514" spans="1:24" ht="12.75" customHeight="1" x14ac:dyDescent="0.2">
      <c r="A514" s="1"/>
      <c r="B514" s="1"/>
      <c r="C514" s="89"/>
      <c r="D514" s="89"/>
      <c r="E514" s="93"/>
      <c r="F514" s="93"/>
      <c r="G514" s="1"/>
      <c r="H514" s="1"/>
      <c r="I514" s="1"/>
      <c r="J514" s="1"/>
      <c r="K514" s="1"/>
      <c r="L514" s="1"/>
      <c r="M514" s="1"/>
      <c r="N514" s="1"/>
      <c r="O514" s="1"/>
      <c r="P514" s="1"/>
      <c r="Q514" s="1"/>
      <c r="R514" s="1"/>
      <c r="S514" s="1"/>
      <c r="T514" s="1"/>
      <c r="U514" s="1"/>
      <c r="V514" s="1"/>
      <c r="W514" s="1"/>
      <c r="X514" s="1"/>
    </row>
    <row r="515" spans="1:24" ht="12.75" customHeight="1" x14ac:dyDescent="0.2">
      <c r="A515" s="1"/>
      <c r="B515" s="1"/>
      <c r="C515" s="89"/>
      <c r="D515" s="89"/>
      <c r="E515" s="93"/>
      <c r="F515" s="93"/>
      <c r="G515" s="1"/>
      <c r="H515" s="1"/>
      <c r="I515" s="1"/>
      <c r="J515" s="1"/>
      <c r="K515" s="1"/>
      <c r="L515" s="1"/>
      <c r="M515" s="1"/>
      <c r="N515" s="1"/>
      <c r="O515" s="1"/>
      <c r="P515" s="1"/>
      <c r="Q515" s="1"/>
      <c r="R515" s="1"/>
      <c r="S515" s="1"/>
      <c r="T515" s="1"/>
      <c r="U515" s="1"/>
      <c r="V515" s="1"/>
      <c r="W515" s="1"/>
      <c r="X515" s="1"/>
    </row>
    <row r="516" spans="1:24" ht="12.75" customHeight="1" x14ac:dyDescent="0.2">
      <c r="A516" s="1"/>
      <c r="B516" s="1"/>
      <c r="C516" s="89"/>
      <c r="D516" s="89"/>
      <c r="E516" s="93"/>
      <c r="F516" s="93"/>
      <c r="G516" s="1"/>
      <c r="H516" s="1"/>
      <c r="I516" s="1"/>
      <c r="J516" s="1"/>
      <c r="K516" s="1"/>
      <c r="L516" s="1"/>
      <c r="M516" s="1"/>
      <c r="N516" s="1"/>
      <c r="O516" s="1"/>
      <c r="P516" s="1"/>
      <c r="Q516" s="1"/>
      <c r="R516" s="1"/>
      <c r="S516" s="1"/>
      <c r="T516" s="1"/>
      <c r="U516" s="1"/>
      <c r="V516" s="1"/>
      <c r="W516" s="1"/>
      <c r="X516" s="1"/>
    </row>
    <row r="517" spans="1:24" ht="12.75" customHeight="1" x14ac:dyDescent="0.2">
      <c r="A517" s="1"/>
      <c r="B517" s="1"/>
      <c r="C517" s="89"/>
      <c r="D517" s="89"/>
      <c r="E517" s="93"/>
      <c r="F517" s="93"/>
      <c r="G517" s="1"/>
      <c r="H517" s="1"/>
      <c r="I517" s="1"/>
      <c r="J517" s="1"/>
      <c r="K517" s="1"/>
      <c r="L517" s="1"/>
      <c r="M517" s="1"/>
      <c r="N517" s="1"/>
      <c r="O517" s="1"/>
      <c r="P517" s="1"/>
      <c r="Q517" s="1"/>
      <c r="R517" s="1"/>
      <c r="S517" s="1"/>
      <c r="T517" s="1"/>
      <c r="U517" s="1"/>
      <c r="V517" s="1"/>
      <c r="W517" s="1"/>
      <c r="X517" s="1"/>
    </row>
    <row r="518" spans="1:24" ht="12.75" customHeight="1" x14ac:dyDescent="0.2">
      <c r="A518" s="1"/>
      <c r="B518" s="1"/>
      <c r="C518" s="89"/>
      <c r="D518" s="89"/>
      <c r="E518" s="93"/>
      <c r="F518" s="93"/>
      <c r="G518" s="1"/>
      <c r="H518" s="1"/>
      <c r="I518" s="1"/>
      <c r="J518" s="1"/>
      <c r="K518" s="1"/>
      <c r="L518" s="1"/>
      <c r="M518" s="1"/>
      <c r="N518" s="1"/>
      <c r="O518" s="1"/>
      <c r="P518" s="1"/>
      <c r="Q518" s="1"/>
      <c r="R518" s="1"/>
      <c r="S518" s="1"/>
      <c r="T518" s="1"/>
      <c r="U518" s="1"/>
      <c r="V518" s="1"/>
      <c r="W518" s="1"/>
      <c r="X518" s="1"/>
    </row>
    <row r="519" spans="1:24" ht="12.75" customHeight="1" x14ac:dyDescent="0.2">
      <c r="A519" s="1"/>
      <c r="B519" s="1"/>
      <c r="C519" s="89"/>
      <c r="D519" s="89"/>
      <c r="E519" s="93"/>
      <c r="F519" s="93"/>
      <c r="G519" s="1"/>
      <c r="H519" s="1"/>
      <c r="I519" s="1"/>
      <c r="J519" s="1"/>
      <c r="K519" s="1"/>
      <c r="L519" s="1"/>
      <c r="M519" s="1"/>
      <c r="N519" s="1"/>
      <c r="O519" s="1"/>
      <c r="P519" s="1"/>
      <c r="Q519" s="1"/>
      <c r="R519" s="1"/>
      <c r="S519" s="1"/>
      <c r="T519" s="1"/>
      <c r="U519" s="1"/>
      <c r="V519" s="1"/>
      <c r="W519" s="1"/>
      <c r="X519" s="1"/>
    </row>
    <row r="520" spans="1:24" ht="12.75" customHeight="1" x14ac:dyDescent="0.2">
      <c r="A520" s="1"/>
      <c r="B520" s="1"/>
      <c r="C520" s="89"/>
      <c r="D520" s="89"/>
      <c r="E520" s="93"/>
      <c r="F520" s="93"/>
      <c r="G520" s="1"/>
      <c r="H520" s="1"/>
      <c r="I520" s="1"/>
      <c r="J520" s="1"/>
      <c r="K520" s="1"/>
      <c r="L520" s="1"/>
      <c r="M520" s="1"/>
      <c r="N520" s="1"/>
      <c r="O520" s="1"/>
      <c r="P520" s="1"/>
      <c r="Q520" s="1"/>
      <c r="R520" s="1"/>
      <c r="S520" s="1"/>
      <c r="T520" s="1"/>
      <c r="U520" s="1"/>
      <c r="V520" s="1"/>
      <c r="W520" s="1"/>
      <c r="X520" s="1"/>
    </row>
    <row r="521" spans="1:24" ht="12.75" customHeight="1" x14ac:dyDescent="0.2">
      <c r="A521" s="1"/>
      <c r="B521" s="1"/>
      <c r="C521" s="89"/>
      <c r="D521" s="89"/>
      <c r="E521" s="93"/>
      <c r="F521" s="93"/>
      <c r="G521" s="1"/>
      <c r="H521" s="1"/>
      <c r="I521" s="1"/>
      <c r="J521" s="1"/>
      <c r="K521" s="1"/>
      <c r="L521" s="1"/>
      <c r="M521" s="1"/>
      <c r="N521" s="1"/>
      <c r="O521" s="1"/>
      <c r="P521" s="1"/>
      <c r="Q521" s="1"/>
      <c r="R521" s="1"/>
      <c r="S521" s="1"/>
      <c r="T521" s="1"/>
      <c r="U521" s="1"/>
      <c r="V521" s="1"/>
      <c r="W521" s="1"/>
      <c r="X521" s="1"/>
    </row>
    <row r="522" spans="1:24" ht="12.75" customHeight="1" x14ac:dyDescent="0.2">
      <c r="A522" s="1"/>
      <c r="B522" s="1"/>
      <c r="C522" s="89"/>
      <c r="D522" s="89"/>
      <c r="E522" s="93"/>
      <c r="F522" s="93"/>
      <c r="G522" s="1"/>
      <c r="H522" s="1"/>
      <c r="I522" s="1"/>
      <c r="J522" s="1"/>
      <c r="K522" s="1"/>
      <c r="L522" s="1"/>
      <c r="M522" s="1"/>
      <c r="N522" s="1"/>
      <c r="O522" s="1"/>
      <c r="P522" s="1"/>
      <c r="Q522" s="1"/>
      <c r="R522" s="1"/>
      <c r="S522" s="1"/>
      <c r="T522" s="1"/>
      <c r="U522" s="1"/>
      <c r="V522" s="1"/>
      <c r="W522" s="1"/>
      <c r="X522" s="1"/>
    </row>
    <row r="523" spans="1:24" ht="12.75" customHeight="1" x14ac:dyDescent="0.2">
      <c r="A523" s="1"/>
      <c r="B523" s="1"/>
      <c r="C523" s="89"/>
      <c r="D523" s="89"/>
      <c r="E523" s="93"/>
      <c r="F523" s="93"/>
      <c r="G523" s="1"/>
      <c r="H523" s="1"/>
      <c r="I523" s="1"/>
      <c r="J523" s="1"/>
      <c r="K523" s="1"/>
      <c r="L523" s="1"/>
      <c r="M523" s="1"/>
      <c r="N523" s="1"/>
      <c r="O523" s="1"/>
      <c r="P523" s="1"/>
      <c r="Q523" s="1"/>
      <c r="R523" s="1"/>
      <c r="S523" s="1"/>
      <c r="T523" s="1"/>
      <c r="U523" s="1"/>
      <c r="V523" s="1"/>
      <c r="W523" s="1"/>
      <c r="X523" s="1"/>
    </row>
    <row r="524" spans="1:24" ht="12.75" customHeight="1" x14ac:dyDescent="0.2">
      <c r="A524" s="1"/>
      <c r="B524" s="1"/>
      <c r="C524" s="89"/>
      <c r="D524" s="89"/>
      <c r="E524" s="93"/>
      <c r="F524" s="93"/>
      <c r="G524" s="1"/>
      <c r="H524" s="1"/>
      <c r="I524" s="1"/>
      <c r="J524" s="1"/>
      <c r="K524" s="1"/>
      <c r="L524" s="1"/>
      <c r="M524" s="1"/>
      <c r="N524" s="1"/>
      <c r="O524" s="1"/>
      <c r="P524" s="1"/>
      <c r="Q524" s="1"/>
      <c r="R524" s="1"/>
      <c r="S524" s="1"/>
      <c r="T524" s="1"/>
      <c r="U524" s="1"/>
      <c r="V524" s="1"/>
      <c r="W524" s="1"/>
      <c r="X524" s="1"/>
    </row>
    <row r="525" spans="1:24" ht="12.75" customHeight="1" x14ac:dyDescent="0.2">
      <c r="A525" s="1"/>
      <c r="B525" s="1"/>
      <c r="C525" s="89"/>
      <c r="D525" s="89"/>
      <c r="E525" s="93"/>
      <c r="F525" s="93"/>
      <c r="G525" s="1"/>
      <c r="H525" s="1"/>
      <c r="I525" s="1"/>
      <c r="J525" s="1"/>
      <c r="K525" s="1"/>
      <c r="L525" s="1"/>
      <c r="M525" s="1"/>
      <c r="N525" s="1"/>
      <c r="O525" s="1"/>
      <c r="P525" s="1"/>
      <c r="Q525" s="1"/>
      <c r="R525" s="1"/>
      <c r="S525" s="1"/>
      <c r="T525" s="1"/>
      <c r="U525" s="1"/>
      <c r="V525" s="1"/>
      <c r="W525" s="1"/>
      <c r="X525" s="1"/>
    </row>
    <row r="526" spans="1:24" ht="12.75" customHeight="1" x14ac:dyDescent="0.2">
      <c r="A526" s="1"/>
      <c r="B526" s="1"/>
      <c r="C526" s="89"/>
      <c r="D526" s="89"/>
      <c r="E526" s="93"/>
      <c r="F526" s="93"/>
      <c r="G526" s="1"/>
      <c r="H526" s="1"/>
      <c r="I526" s="1"/>
      <c r="J526" s="1"/>
      <c r="K526" s="1"/>
      <c r="L526" s="1"/>
      <c r="M526" s="1"/>
      <c r="N526" s="1"/>
      <c r="O526" s="1"/>
      <c r="P526" s="1"/>
      <c r="Q526" s="1"/>
      <c r="R526" s="1"/>
      <c r="S526" s="1"/>
      <c r="T526" s="1"/>
      <c r="U526" s="1"/>
      <c r="V526" s="1"/>
      <c r="W526" s="1"/>
      <c r="X526" s="1"/>
    </row>
    <row r="527" spans="1:24" ht="12.75" customHeight="1" x14ac:dyDescent="0.2">
      <c r="A527" s="1"/>
      <c r="B527" s="1"/>
      <c r="C527" s="89"/>
      <c r="D527" s="89"/>
      <c r="E527" s="93"/>
      <c r="F527" s="93"/>
      <c r="G527" s="1"/>
      <c r="H527" s="1"/>
      <c r="I527" s="1"/>
      <c r="J527" s="1"/>
      <c r="K527" s="1"/>
      <c r="L527" s="1"/>
      <c r="M527" s="1"/>
      <c r="N527" s="1"/>
      <c r="O527" s="1"/>
      <c r="P527" s="1"/>
      <c r="Q527" s="1"/>
      <c r="R527" s="1"/>
      <c r="S527" s="1"/>
      <c r="T527" s="1"/>
      <c r="U527" s="1"/>
      <c r="V527" s="1"/>
      <c r="W527" s="1"/>
      <c r="X527" s="1"/>
    </row>
    <row r="528" spans="1:24" ht="12.75" customHeight="1" x14ac:dyDescent="0.2">
      <c r="A528" s="1"/>
      <c r="B528" s="1"/>
      <c r="C528" s="89"/>
      <c r="D528" s="89"/>
      <c r="E528" s="93"/>
      <c r="F528" s="93"/>
      <c r="G528" s="1"/>
      <c r="H528" s="1"/>
      <c r="I528" s="1"/>
      <c r="J528" s="1"/>
      <c r="K528" s="1"/>
      <c r="L528" s="1"/>
      <c r="M528" s="1"/>
      <c r="N528" s="1"/>
      <c r="O528" s="1"/>
      <c r="P528" s="1"/>
      <c r="Q528" s="1"/>
      <c r="R528" s="1"/>
      <c r="S528" s="1"/>
      <c r="T528" s="1"/>
      <c r="U528" s="1"/>
      <c r="V528" s="1"/>
      <c r="W528" s="1"/>
      <c r="X528" s="1"/>
    </row>
    <row r="529" spans="1:24" ht="12.75" customHeight="1" x14ac:dyDescent="0.2">
      <c r="A529" s="1"/>
      <c r="B529" s="1"/>
      <c r="C529" s="89"/>
      <c r="D529" s="89"/>
      <c r="E529" s="93"/>
      <c r="F529" s="93"/>
      <c r="G529" s="1"/>
      <c r="H529" s="1"/>
      <c r="I529" s="1"/>
      <c r="J529" s="1"/>
      <c r="K529" s="1"/>
      <c r="L529" s="1"/>
      <c r="M529" s="1"/>
      <c r="N529" s="1"/>
      <c r="O529" s="1"/>
      <c r="P529" s="1"/>
      <c r="Q529" s="1"/>
      <c r="R529" s="1"/>
      <c r="S529" s="1"/>
      <c r="T529" s="1"/>
      <c r="U529" s="1"/>
      <c r="V529" s="1"/>
      <c r="W529" s="1"/>
      <c r="X529" s="1"/>
    </row>
    <row r="530" spans="1:24" ht="12.75" customHeight="1" x14ac:dyDescent="0.2">
      <c r="A530" s="1"/>
      <c r="B530" s="1"/>
      <c r="C530" s="89"/>
      <c r="D530" s="89"/>
      <c r="E530" s="93"/>
      <c r="F530" s="93"/>
      <c r="G530" s="1"/>
      <c r="H530" s="1"/>
      <c r="I530" s="1"/>
      <c r="J530" s="1"/>
      <c r="K530" s="1"/>
      <c r="L530" s="1"/>
      <c r="M530" s="1"/>
      <c r="N530" s="1"/>
      <c r="O530" s="1"/>
      <c r="P530" s="1"/>
      <c r="Q530" s="1"/>
      <c r="R530" s="1"/>
      <c r="S530" s="1"/>
      <c r="T530" s="1"/>
      <c r="U530" s="1"/>
      <c r="V530" s="1"/>
      <c r="W530" s="1"/>
      <c r="X530" s="1"/>
    </row>
    <row r="531" spans="1:24" ht="12.75" customHeight="1" x14ac:dyDescent="0.2">
      <c r="A531" s="1"/>
      <c r="B531" s="1"/>
      <c r="C531" s="89"/>
      <c r="D531" s="89"/>
      <c r="E531" s="93"/>
      <c r="F531" s="93"/>
      <c r="G531" s="1"/>
      <c r="H531" s="1"/>
      <c r="I531" s="1"/>
      <c r="J531" s="1"/>
      <c r="K531" s="1"/>
      <c r="L531" s="1"/>
      <c r="M531" s="1"/>
      <c r="N531" s="1"/>
      <c r="O531" s="1"/>
      <c r="P531" s="1"/>
      <c r="Q531" s="1"/>
      <c r="R531" s="1"/>
      <c r="S531" s="1"/>
      <c r="T531" s="1"/>
      <c r="U531" s="1"/>
      <c r="V531" s="1"/>
      <c r="W531" s="1"/>
      <c r="X531" s="1"/>
    </row>
    <row r="532" spans="1:24" ht="12.75" customHeight="1" x14ac:dyDescent="0.2">
      <c r="A532" s="1"/>
      <c r="B532" s="1"/>
      <c r="C532" s="89"/>
      <c r="D532" s="89"/>
      <c r="E532" s="93"/>
      <c r="F532" s="93"/>
      <c r="G532" s="1"/>
      <c r="H532" s="1"/>
      <c r="I532" s="1"/>
      <c r="J532" s="1"/>
      <c r="K532" s="1"/>
      <c r="L532" s="1"/>
      <c r="M532" s="1"/>
      <c r="N532" s="1"/>
      <c r="O532" s="1"/>
      <c r="P532" s="1"/>
      <c r="Q532" s="1"/>
      <c r="R532" s="1"/>
      <c r="S532" s="1"/>
      <c r="T532" s="1"/>
      <c r="U532" s="1"/>
      <c r="V532" s="1"/>
      <c r="W532" s="1"/>
      <c r="X532" s="1"/>
    </row>
    <row r="533" spans="1:24" ht="12.75" customHeight="1" x14ac:dyDescent="0.2">
      <c r="A533" s="1"/>
      <c r="B533" s="1"/>
      <c r="C533" s="89"/>
      <c r="D533" s="89"/>
      <c r="E533" s="93"/>
      <c r="F533" s="93"/>
      <c r="G533" s="1"/>
      <c r="H533" s="1"/>
      <c r="I533" s="1"/>
      <c r="J533" s="1"/>
      <c r="K533" s="1"/>
      <c r="L533" s="1"/>
      <c r="M533" s="1"/>
      <c r="N533" s="1"/>
      <c r="O533" s="1"/>
      <c r="P533" s="1"/>
      <c r="Q533" s="1"/>
      <c r="R533" s="1"/>
      <c r="S533" s="1"/>
      <c r="T533" s="1"/>
      <c r="U533" s="1"/>
      <c r="V533" s="1"/>
      <c r="W533" s="1"/>
      <c r="X533" s="1"/>
    </row>
    <row r="534" spans="1:24" ht="12.75" customHeight="1" x14ac:dyDescent="0.2">
      <c r="A534" s="1"/>
      <c r="B534" s="1"/>
      <c r="C534" s="89"/>
      <c r="D534" s="89"/>
      <c r="E534" s="93"/>
      <c r="F534" s="93"/>
      <c r="G534" s="1"/>
      <c r="H534" s="1"/>
      <c r="I534" s="1"/>
      <c r="J534" s="1"/>
      <c r="K534" s="1"/>
      <c r="L534" s="1"/>
      <c r="M534" s="1"/>
      <c r="N534" s="1"/>
      <c r="O534" s="1"/>
      <c r="P534" s="1"/>
      <c r="Q534" s="1"/>
      <c r="R534" s="1"/>
      <c r="S534" s="1"/>
      <c r="T534" s="1"/>
      <c r="U534" s="1"/>
      <c r="V534" s="1"/>
      <c r="W534" s="1"/>
      <c r="X534" s="1"/>
    </row>
    <row r="535" spans="1:24" ht="12.75" customHeight="1" x14ac:dyDescent="0.2">
      <c r="A535" s="1"/>
      <c r="B535" s="1"/>
      <c r="C535" s="89"/>
      <c r="D535" s="89"/>
      <c r="E535" s="93"/>
      <c r="F535" s="93"/>
      <c r="G535" s="1"/>
      <c r="H535" s="1"/>
      <c r="I535" s="1"/>
      <c r="J535" s="1"/>
      <c r="K535" s="1"/>
      <c r="L535" s="1"/>
      <c r="M535" s="1"/>
      <c r="N535" s="1"/>
      <c r="O535" s="1"/>
      <c r="P535" s="1"/>
      <c r="Q535" s="1"/>
      <c r="R535" s="1"/>
      <c r="S535" s="1"/>
      <c r="T535" s="1"/>
      <c r="U535" s="1"/>
      <c r="V535" s="1"/>
      <c r="W535" s="1"/>
      <c r="X535" s="1"/>
    </row>
    <row r="536" spans="1:24" ht="12.75" customHeight="1" x14ac:dyDescent="0.2">
      <c r="A536" s="1"/>
      <c r="B536" s="1"/>
      <c r="C536" s="89"/>
      <c r="D536" s="89"/>
      <c r="E536" s="93"/>
      <c r="F536" s="93"/>
      <c r="G536" s="1"/>
      <c r="H536" s="1"/>
      <c r="I536" s="1"/>
      <c r="J536" s="1"/>
      <c r="K536" s="1"/>
      <c r="L536" s="1"/>
      <c r="M536" s="1"/>
      <c r="N536" s="1"/>
      <c r="O536" s="1"/>
      <c r="P536" s="1"/>
      <c r="Q536" s="1"/>
      <c r="R536" s="1"/>
      <c r="S536" s="1"/>
      <c r="T536" s="1"/>
      <c r="U536" s="1"/>
      <c r="V536" s="1"/>
      <c r="W536" s="1"/>
      <c r="X536" s="1"/>
    </row>
    <row r="537" spans="1:24" ht="12.75" customHeight="1" x14ac:dyDescent="0.2">
      <c r="A537" s="1"/>
      <c r="B537" s="1"/>
      <c r="C537" s="89"/>
      <c r="D537" s="89"/>
      <c r="E537" s="93"/>
      <c r="F537" s="93"/>
      <c r="G537" s="1"/>
      <c r="H537" s="1"/>
      <c r="I537" s="1"/>
      <c r="J537" s="1"/>
      <c r="K537" s="1"/>
      <c r="L537" s="1"/>
      <c r="M537" s="1"/>
      <c r="N537" s="1"/>
      <c r="O537" s="1"/>
      <c r="P537" s="1"/>
      <c r="Q537" s="1"/>
      <c r="R537" s="1"/>
      <c r="S537" s="1"/>
      <c r="T537" s="1"/>
      <c r="U537" s="1"/>
      <c r="V537" s="1"/>
      <c r="W537" s="1"/>
      <c r="X537" s="1"/>
    </row>
    <row r="538" spans="1:24" ht="12.75" customHeight="1" x14ac:dyDescent="0.2">
      <c r="A538" s="1"/>
      <c r="B538" s="1"/>
      <c r="C538" s="89"/>
      <c r="D538" s="89"/>
      <c r="E538" s="93"/>
      <c r="F538" s="93"/>
      <c r="G538" s="1"/>
      <c r="H538" s="1"/>
      <c r="I538" s="1"/>
      <c r="J538" s="1"/>
      <c r="K538" s="1"/>
      <c r="L538" s="1"/>
      <c r="M538" s="1"/>
      <c r="N538" s="1"/>
      <c r="O538" s="1"/>
      <c r="P538" s="1"/>
      <c r="Q538" s="1"/>
      <c r="R538" s="1"/>
      <c r="S538" s="1"/>
      <c r="T538" s="1"/>
      <c r="U538" s="1"/>
      <c r="V538" s="1"/>
      <c r="W538" s="1"/>
      <c r="X538" s="1"/>
    </row>
    <row r="539" spans="1:24" ht="12.75" customHeight="1" x14ac:dyDescent="0.2">
      <c r="A539" s="1"/>
      <c r="B539" s="1"/>
      <c r="C539" s="89"/>
      <c r="D539" s="89"/>
      <c r="E539" s="93"/>
      <c r="F539" s="93"/>
      <c r="G539" s="1"/>
      <c r="H539" s="1"/>
      <c r="I539" s="1"/>
      <c r="J539" s="1"/>
      <c r="K539" s="1"/>
      <c r="L539" s="1"/>
      <c r="M539" s="1"/>
      <c r="N539" s="1"/>
      <c r="O539" s="1"/>
      <c r="P539" s="1"/>
      <c r="Q539" s="1"/>
      <c r="R539" s="1"/>
      <c r="S539" s="1"/>
      <c r="T539" s="1"/>
      <c r="U539" s="1"/>
      <c r="V539" s="1"/>
      <c r="W539" s="1"/>
      <c r="X539" s="1"/>
    </row>
    <row r="540" spans="1:24" ht="12.75" customHeight="1" x14ac:dyDescent="0.2">
      <c r="A540" s="1"/>
      <c r="B540" s="1"/>
      <c r="C540" s="89"/>
      <c r="D540" s="89"/>
      <c r="E540" s="93"/>
      <c r="F540" s="93"/>
      <c r="G540" s="1"/>
      <c r="H540" s="1"/>
      <c r="I540" s="1"/>
      <c r="J540" s="1"/>
      <c r="K540" s="1"/>
      <c r="L540" s="1"/>
      <c r="M540" s="1"/>
      <c r="N540" s="1"/>
      <c r="O540" s="1"/>
      <c r="P540" s="1"/>
      <c r="Q540" s="1"/>
      <c r="R540" s="1"/>
      <c r="S540" s="1"/>
      <c r="T540" s="1"/>
      <c r="U540" s="1"/>
      <c r="V540" s="1"/>
      <c r="W540" s="1"/>
      <c r="X540" s="1"/>
    </row>
    <row r="541" spans="1:24" ht="12.75" customHeight="1" x14ac:dyDescent="0.2">
      <c r="A541" s="1"/>
      <c r="B541" s="1"/>
      <c r="C541" s="89"/>
      <c r="D541" s="89"/>
      <c r="E541" s="93"/>
      <c r="F541" s="93"/>
      <c r="G541" s="1"/>
      <c r="H541" s="1"/>
      <c r="I541" s="1"/>
      <c r="J541" s="1"/>
      <c r="K541" s="1"/>
      <c r="L541" s="1"/>
      <c r="M541" s="1"/>
      <c r="N541" s="1"/>
      <c r="O541" s="1"/>
      <c r="P541" s="1"/>
      <c r="Q541" s="1"/>
      <c r="R541" s="1"/>
      <c r="S541" s="1"/>
      <c r="T541" s="1"/>
      <c r="U541" s="1"/>
      <c r="V541" s="1"/>
      <c r="W541" s="1"/>
      <c r="X541" s="1"/>
    </row>
    <row r="542" spans="1:24" ht="12.75" customHeight="1" x14ac:dyDescent="0.2">
      <c r="A542" s="1"/>
      <c r="B542" s="1"/>
      <c r="C542" s="89"/>
      <c r="D542" s="89"/>
      <c r="E542" s="93"/>
      <c r="F542" s="93"/>
      <c r="G542" s="1"/>
      <c r="H542" s="1"/>
      <c r="I542" s="1"/>
      <c r="J542" s="1"/>
      <c r="K542" s="1"/>
      <c r="L542" s="1"/>
      <c r="M542" s="1"/>
      <c r="N542" s="1"/>
      <c r="O542" s="1"/>
      <c r="P542" s="1"/>
      <c r="Q542" s="1"/>
      <c r="R542" s="1"/>
      <c r="S542" s="1"/>
      <c r="T542" s="1"/>
      <c r="U542" s="1"/>
      <c r="V542" s="1"/>
      <c r="W542" s="1"/>
      <c r="X542" s="1"/>
    </row>
    <row r="543" spans="1:24" ht="12.75" customHeight="1" x14ac:dyDescent="0.2">
      <c r="A543" s="1"/>
      <c r="B543" s="1"/>
      <c r="C543" s="89"/>
      <c r="D543" s="89"/>
      <c r="E543" s="93"/>
      <c r="F543" s="93"/>
      <c r="G543" s="1"/>
      <c r="H543" s="1"/>
      <c r="I543" s="1"/>
      <c r="J543" s="1"/>
      <c r="K543" s="1"/>
      <c r="L543" s="1"/>
      <c r="M543" s="1"/>
      <c r="N543" s="1"/>
      <c r="O543" s="1"/>
      <c r="P543" s="1"/>
      <c r="Q543" s="1"/>
      <c r="R543" s="1"/>
      <c r="S543" s="1"/>
      <c r="T543" s="1"/>
      <c r="U543" s="1"/>
      <c r="V543" s="1"/>
      <c r="W543" s="1"/>
      <c r="X543" s="1"/>
    </row>
    <row r="544" spans="1:24" ht="12.75" customHeight="1" x14ac:dyDescent="0.2">
      <c r="A544" s="1"/>
      <c r="B544" s="1"/>
      <c r="C544" s="89"/>
      <c r="D544" s="89"/>
      <c r="E544" s="93"/>
      <c r="F544" s="93"/>
      <c r="G544" s="1"/>
      <c r="H544" s="1"/>
      <c r="I544" s="1"/>
      <c r="J544" s="1"/>
      <c r="K544" s="1"/>
      <c r="L544" s="1"/>
      <c r="M544" s="1"/>
      <c r="N544" s="1"/>
      <c r="O544" s="1"/>
      <c r="P544" s="1"/>
      <c r="Q544" s="1"/>
      <c r="R544" s="1"/>
      <c r="S544" s="1"/>
      <c r="T544" s="1"/>
      <c r="U544" s="1"/>
      <c r="V544" s="1"/>
      <c r="W544" s="1"/>
      <c r="X544" s="1"/>
    </row>
    <row r="545" spans="1:24" ht="12.75" customHeight="1" x14ac:dyDescent="0.2">
      <c r="A545" s="1"/>
      <c r="B545" s="1"/>
      <c r="C545" s="89"/>
      <c r="D545" s="89"/>
      <c r="E545" s="93"/>
      <c r="F545" s="93"/>
      <c r="G545" s="1"/>
      <c r="H545" s="1"/>
      <c r="I545" s="1"/>
      <c r="J545" s="1"/>
      <c r="K545" s="1"/>
      <c r="L545" s="1"/>
      <c r="M545" s="1"/>
      <c r="N545" s="1"/>
      <c r="O545" s="1"/>
      <c r="P545" s="1"/>
      <c r="Q545" s="1"/>
      <c r="R545" s="1"/>
      <c r="S545" s="1"/>
      <c r="T545" s="1"/>
      <c r="U545" s="1"/>
      <c r="V545" s="1"/>
      <c r="W545" s="1"/>
      <c r="X545" s="1"/>
    </row>
    <row r="546" spans="1:24" ht="12.75" customHeight="1" x14ac:dyDescent="0.2">
      <c r="A546" s="1"/>
      <c r="B546" s="1"/>
      <c r="C546" s="89"/>
      <c r="D546" s="89"/>
      <c r="E546" s="93"/>
      <c r="F546" s="93"/>
      <c r="G546" s="1"/>
      <c r="H546" s="1"/>
      <c r="I546" s="1"/>
      <c r="J546" s="1"/>
      <c r="K546" s="1"/>
      <c r="L546" s="1"/>
      <c r="M546" s="1"/>
      <c r="N546" s="1"/>
      <c r="O546" s="1"/>
      <c r="P546" s="1"/>
      <c r="Q546" s="1"/>
      <c r="R546" s="1"/>
      <c r="S546" s="1"/>
      <c r="T546" s="1"/>
      <c r="U546" s="1"/>
      <c r="V546" s="1"/>
      <c r="W546" s="1"/>
      <c r="X546" s="1"/>
    </row>
    <row r="547" spans="1:24" ht="12.75" customHeight="1" x14ac:dyDescent="0.2">
      <c r="A547" s="1"/>
      <c r="B547" s="1"/>
      <c r="C547" s="89"/>
      <c r="D547" s="89"/>
      <c r="E547" s="93"/>
      <c r="F547" s="93"/>
      <c r="G547" s="1"/>
      <c r="H547" s="1"/>
      <c r="I547" s="1"/>
      <c r="J547" s="1"/>
      <c r="K547" s="1"/>
      <c r="L547" s="1"/>
      <c r="M547" s="1"/>
      <c r="N547" s="1"/>
      <c r="O547" s="1"/>
      <c r="P547" s="1"/>
      <c r="Q547" s="1"/>
      <c r="R547" s="1"/>
      <c r="S547" s="1"/>
      <c r="T547" s="1"/>
      <c r="U547" s="1"/>
      <c r="V547" s="1"/>
      <c r="W547" s="1"/>
      <c r="X547" s="1"/>
    </row>
    <row r="548" spans="1:24" ht="12.75" customHeight="1" x14ac:dyDescent="0.2">
      <c r="A548" s="1"/>
      <c r="B548" s="1"/>
      <c r="C548" s="89"/>
      <c r="D548" s="89"/>
      <c r="E548" s="93"/>
      <c r="F548" s="93"/>
      <c r="G548" s="1"/>
      <c r="H548" s="1"/>
      <c r="I548" s="1"/>
      <c r="J548" s="1"/>
      <c r="K548" s="1"/>
      <c r="L548" s="1"/>
      <c r="M548" s="1"/>
      <c r="N548" s="1"/>
      <c r="O548" s="1"/>
      <c r="P548" s="1"/>
      <c r="Q548" s="1"/>
      <c r="R548" s="1"/>
      <c r="S548" s="1"/>
      <c r="T548" s="1"/>
      <c r="U548" s="1"/>
      <c r="V548" s="1"/>
      <c r="W548" s="1"/>
      <c r="X548" s="1"/>
    </row>
    <row r="549" spans="1:24" ht="12.75" customHeight="1" x14ac:dyDescent="0.2">
      <c r="A549" s="1"/>
      <c r="B549" s="1"/>
      <c r="C549" s="89"/>
      <c r="D549" s="89"/>
      <c r="E549" s="93"/>
      <c r="F549" s="93"/>
      <c r="G549" s="1"/>
      <c r="H549" s="1"/>
      <c r="I549" s="1"/>
      <c r="J549" s="1"/>
      <c r="K549" s="1"/>
      <c r="L549" s="1"/>
      <c r="M549" s="1"/>
      <c r="N549" s="1"/>
      <c r="O549" s="1"/>
      <c r="P549" s="1"/>
      <c r="Q549" s="1"/>
      <c r="R549" s="1"/>
      <c r="S549" s="1"/>
      <c r="T549" s="1"/>
      <c r="U549" s="1"/>
      <c r="V549" s="1"/>
      <c r="W549" s="1"/>
      <c r="X549" s="1"/>
    </row>
    <row r="550" spans="1:24" ht="12.75" customHeight="1" x14ac:dyDescent="0.2">
      <c r="A550" s="1"/>
      <c r="B550" s="1"/>
      <c r="C550" s="89"/>
      <c r="D550" s="89"/>
      <c r="E550" s="93"/>
      <c r="F550" s="93"/>
      <c r="G550" s="1"/>
      <c r="H550" s="1"/>
      <c r="I550" s="1"/>
      <c r="J550" s="1"/>
      <c r="K550" s="1"/>
      <c r="L550" s="1"/>
      <c r="M550" s="1"/>
      <c r="N550" s="1"/>
      <c r="O550" s="1"/>
      <c r="P550" s="1"/>
      <c r="Q550" s="1"/>
      <c r="R550" s="1"/>
      <c r="S550" s="1"/>
      <c r="T550" s="1"/>
      <c r="U550" s="1"/>
      <c r="V550" s="1"/>
      <c r="W550" s="1"/>
      <c r="X550" s="1"/>
    </row>
    <row r="551" spans="1:24" ht="12.75" customHeight="1" x14ac:dyDescent="0.2">
      <c r="A551" s="1"/>
      <c r="B551" s="1"/>
      <c r="C551" s="89"/>
      <c r="D551" s="89"/>
      <c r="E551" s="93"/>
      <c r="F551" s="93"/>
      <c r="G551" s="1"/>
      <c r="H551" s="1"/>
      <c r="I551" s="1"/>
      <c r="J551" s="1"/>
      <c r="K551" s="1"/>
      <c r="L551" s="1"/>
      <c r="M551" s="1"/>
      <c r="N551" s="1"/>
      <c r="O551" s="1"/>
      <c r="P551" s="1"/>
      <c r="Q551" s="1"/>
      <c r="R551" s="1"/>
      <c r="S551" s="1"/>
      <c r="T551" s="1"/>
      <c r="U551" s="1"/>
      <c r="V551" s="1"/>
      <c r="W551" s="1"/>
      <c r="X551" s="1"/>
    </row>
    <row r="552" spans="1:24" ht="12.75" customHeight="1" x14ac:dyDescent="0.2">
      <c r="A552" s="1"/>
      <c r="B552" s="1"/>
      <c r="C552" s="89"/>
      <c r="D552" s="89"/>
      <c r="E552" s="93"/>
      <c r="F552" s="93"/>
      <c r="G552" s="1"/>
      <c r="H552" s="1"/>
      <c r="I552" s="1"/>
      <c r="J552" s="1"/>
      <c r="K552" s="1"/>
      <c r="L552" s="1"/>
      <c r="M552" s="1"/>
      <c r="N552" s="1"/>
      <c r="O552" s="1"/>
      <c r="P552" s="1"/>
      <c r="Q552" s="1"/>
      <c r="R552" s="1"/>
      <c r="S552" s="1"/>
      <c r="T552" s="1"/>
      <c r="U552" s="1"/>
      <c r="V552" s="1"/>
      <c r="W552" s="1"/>
      <c r="X552" s="1"/>
    </row>
    <row r="553" spans="1:24" ht="12.75" customHeight="1" x14ac:dyDescent="0.2">
      <c r="A553" s="1"/>
      <c r="B553" s="1"/>
      <c r="C553" s="89"/>
      <c r="D553" s="89"/>
      <c r="E553" s="93"/>
      <c r="F553" s="93"/>
      <c r="G553" s="1"/>
      <c r="H553" s="1"/>
      <c r="I553" s="1"/>
      <c r="J553" s="1"/>
      <c r="K553" s="1"/>
      <c r="L553" s="1"/>
      <c r="M553" s="1"/>
      <c r="N553" s="1"/>
      <c r="O553" s="1"/>
      <c r="P553" s="1"/>
      <c r="Q553" s="1"/>
      <c r="R553" s="1"/>
      <c r="S553" s="1"/>
      <c r="T553" s="1"/>
      <c r="U553" s="1"/>
      <c r="V553" s="1"/>
      <c r="W553" s="1"/>
      <c r="X553" s="1"/>
    </row>
    <row r="554" spans="1:24" ht="12.75" customHeight="1" x14ac:dyDescent="0.2">
      <c r="A554" s="1"/>
      <c r="B554" s="1"/>
      <c r="C554" s="89"/>
      <c r="D554" s="89"/>
      <c r="E554" s="93"/>
      <c r="F554" s="93"/>
      <c r="G554" s="1"/>
      <c r="H554" s="1"/>
      <c r="I554" s="1"/>
      <c r="J554" s="1"/>
      <c r="K554" s="1"/>
      <c r="L554" s="1"/>
      <c r="M554" s="1"/>
      <c r="N554" s="1"/>
      <c r="O554" s="1"/>
      <c r="P554" s="1"/>
      <c r="Q554" s="1"/>
      <c r="R554" s="1"/>
      <c r="S554" s="1"/>
      <c r="T554" s="1"/>
      <c r="U554" s="1"/>
      <c r="V554" s="1"/>
      <c r="W554" s="1"/>
      <c r="X554" s="1"/>
    </row>
    <row r="555" spans="1:24" ht="12.75" customHeight="1" x14ac:dyDescent="0.2">
      <c r="A555" s="1"/>
      <c r="B555" s="1"/>
      <c r="C555" s="89"/>
      <c r="D555" s="89"/>
      <c r="E555" s="93"/>
      <c r="F555" s="93"/>
      <c r="G555" s="1"/>
      <c r="H555" s="1"/>
      <c r="I555" s="1"/>
      <c r="J555" s="1"/>
      <c r="K555" s="1"/>
      <c r="L555" s="1"/>
      <c r="M555" s="1"/>
      <c r="N555" s="1"/>
      <c r="O555" s="1"/>
      <c r="P555" s="1"/>
      <c r="Q555" s="1"/>
      <c r="R555" s="1"/>
      <c r="S555" s="1"/>
      <c r="T555" s="1"/>
      <c r="U555" s="1"/>
      <c r="V555" s="1"/>
      <c r="W555" s="1"/>
      <c r="X555" s="1"/>
    </row>
    <row r="556" spans="1:24" ht="12.75" customHeight="1" x14ac:dyDescent="0.2">
      <c r="A556" s="1"/>
      <c r="B556" s="1"/>
      <c r="C556" s="89"/>
      <c r="D556" s="89"/>
      <c r="E556" s="93"/>
      <c r="F556" s="93"/>
      <c r="G556" s="1"/>
      <c r="H556" s="1"/>
      <c r="I556" s="1"/>
      <c r="J556" s="1"/>
      <c r="K556" s="1"/>
      <c r="L556" s="1"/>
      <c r="M556" s="1"/>
      <c r="N556" s="1"/>
      <c r="O556" s="1"/>
      <c r="P556" s="1"/>
      <c r="Q556" s="1"/>
      <c r="R556" s="1"/>
      <c r="S556" s="1"/>
      <c r="T556" s="1"/>
      <c r="U556" s="1"/>
      <c r="V556" s="1"/>
      <c r="W556" s="1"/>
      <c r="X556" s="1"/>
    </row>
    <row r="557" spans="1:24" ht="12.75" customHeight="1" x14ac:dyDescent="0.2">
      <c r="A557" s="1"/>
      <c r="B557" s="1"/>
      <c r="C557" s="89"/>
      <c r="D557" s="89"/>
      <c r="E557" s="93"/>
      <c r="F557" s="93"/>
      <c r="G557" s="1"/>
      <c r="H557" s="1"/>
      <c r="I557" s="1"/>
      <c r="J557" s="1"/>
      <c r="K557" s="1"/>
      <c r="L557" s="1"/>
      <c r="M557" s="1"/>
      <c r="N557" s="1"/>
      <c r="O557" s="1"/>
      <c r="P557" s="1"/>
      <c r="Q557" s="1"/>
      <c r="R557" s="1"/>
      <c r="S557" s="1"/>
      <c r="T557" s="1"/>
      <c r="U557" s="1"/>
      <c r="V557" s="1"/>
      <c r="W557" s="1"/>
      <c r="X557" s="1"/>
    </row>
    <row r="558" spans="1:24" ht="12.75" customHeight="1" x14ac:dyDescent="0.2">
      <c r="A558" s="1"/>
      <c r="B558" s="1"/>
      <c r="C558" s="89"/>
      <c r="D558" s="89"/>
      <c r="E558" s="93"/>
      <c r="F558" s="93"/>
      <c r="G558" s="1"/>
      <c r="H558" s="1"/>
      <c r="I558" s="1"/>
      <c r="J558" s="1"/>
      <c r="K558" s="1"/>
      <c r="L558" s="1"/>
      <c r="M558" s="1"/>
      <c r="N558" s="1"/>
      <c r="O558" s="1"/>
      <c r="P558" s="1"/>
      <c r="Q558" s="1"/>
      <c r="R558" s="1"/>
      <c r="S558" s="1"/>
      <c r="T558" s="1"/>
      <c r="U558" s="1"/>
      <c r="V558" s="1"/>
      <c r="W558" s="1"/>
      <c r="X558" s="1"/>
    </row>
    <row r="559" spans="1:24" ht="12.75" customHeight="1" x14ac:dyDescent="0.2">
      <c r="A559" s="1"/>
      <c r="B559" s="1"/>
      <c r="C559" s="89"/>
      <c r="D559" s="89"/>
      <c r="E559" s="93"/>
      <c r="F559" s="93"/>
      <c r="G559" s="1"/>
      <c r="H559" s="1"/>
      <c r="I559" s="1"/>
      <c r="J559" s="1"/>
      <c r="K559" s="1"/>
      <c r="L559" s="1"/>
      <c r="M559" s="1"/>
      <c r="N559" s="1"/>
      <c r="O559" s="1"/>
      <c r="P559" s="1"/>
      <c r="Q559" s="1"/>
      <c r="R559" s="1"/>
      <c r="S559" s="1"/>
      <c r="T559" s="1"/>
      <c r="U559" s="1"/>
      <c r="V559" s="1"/>
      <c r="W559" s="1"/>
      <c r="X559" s="1"/>
    </row>
    <row r="560" spans="1:24" ht="12.75" customHeight="1" x14ac:dyDescent="0.2">
      <c r="A560" s="1"/>
      <c r="B560" s="1"/>
      <c r="C560" s="89"/>
      <c r="D560" s="89"/>
      <c r="E560" s="93"/>
      <c r="F560" s="93"/>
      <c r="G560" s="1"/>
      <c r="H560" s="1"/>
      <c r="I560" s="1"/>
      <c r="J560" s="1"/>
      <c r="K560" s="1"/>
      <c r="L560" s="1"/>
      <c r="M560" s="1"/>
      <c r="N560" s="1"/>
      <c r="O560" s="1"/>
      <c r="P560" s="1"/>
      <c r="Q560" s="1"/>
      <c r="R560" s="1"/>
      <c r="S560" s="1"/>
      <c r="T560" s="1"/>
      <c r="U560" s="1"/>
      <c r="V560" s="1"/>
      <c r="W560" s="1"/>
      <c r="X560" s="1"/>
    </row>
    <row r="561" spans="1:24" ht="12.75" customHeight="1" x14ac:dyDescent="0.2">
      <c r="A561" s="1"/>
      <c r="B561" s="1"/>
      <c r="C561" s="89"/>
      <c r="D561" s="89"/>
      <c r="E561" s="93"/>
      <c r="F561" s="93"/>
      <c r="G561" s="1"/>
      <c r="H561" s="1"/>
      <c r="I561" s="1"/>
      <c r="J561" s="1"/>
      <c r="K561" s="1"/>
      <c r="L561" s="1"/>
      <c r="M561" s="1"/>
      <c r="N561" s="1"/>
      <c r="O561" s="1"/>
      <c r="P561" s="1"/>
      <c r="Q561" s="1"/>
      <c r="R561" s="1"/>
      <c r="S561" s="1"/>
      <c r="T561" s="1"/>
      <c r="U561" s="1"/>
      <c r="V561" s="1"/>
      <c r="W561" s="1"/>
      <c r="X561" s="1"/>
    </row>
    <row r="562" spans="1:24" ht="12.75" customHeight="1" x14ac:dyDescent="0.2">
      <c r="A562" s="1"/>
      <c r="B562" s="1"/>
      <c r="C562" s="89"/>
      <c r="D562" s="89"/>
      <c r="E562" s="93"/>
      <c r="F562" s="93"/>
      <c r="G562" s="1"/>
      <c r="H562" s="1"/>
      <c r="I562" s="1"/>
      <c r="J562" s="1"/>
      <c r="K562" s="1"/>
      <c r="L562" s="1"/>
      <c r="M562" s="1"/>
      <c r="N562" s="1"/>
      <c r="O562" s="1"/>
      <c r="P562" s="1"/>
      <c r="Q562" s="1"/>
      <c r="R562" s="1"/>
      <c r="S562" s="1"/>
      <c r="T562" s="1"/>
      <c r="U562" s="1"/>
      <c r="V562" s="1"/>
      <c r="W562" s="1"/>
      <c r="X562" s="1"/>
    </row>
    <row r="563" spans="1:24" ht="12.75" customHeight="1" x14ac:dyDescent="0.2">
      <c r="A563" s="1"/>
      <c r="B563" s="1"/>
      <c r="C563" s="89"/>
      <c r="D563" s="89"/>
      <c r="E563" s="93"/>
      <c r="F563" s="93"/>
      <c r="G563" s="1"/>
      <c r="H563" s="1"/>
      <c r="I563" s="1"/>
      <c r="J563" s="1"/>
      <c r="K563" s="1"/>
      <c r="L563" s="1"/>
      <c r="M563" s="1"/>
      <c r="N563" s="1"/>
      <c r="O563" s="1"/>
      <c r="P563" s="1"/>
      <c r="Q563" s="1"/>
      <c r="R563" s="1"/>
      <c r="S563" s="1"/>
      <c r="T563" s="1"/>
      <c r="U563" s="1"/>
      <c r="V563" s="1"/>
      <c r="W563" s="1"/>
      <c r="X563" s="1"/>
    </row>
    <row r="564" spans="1:24" ht="12.75" customHeight="1" x14ac:dyDescent="0.2">
      <c r="A564" s="1"/>
      <c r="B564" s="1"/>
      <c r="C564" s="89"/>
      <c r="D564" s="89"/>
      <c r="E564" s="93"/>
      <c r="F564" s="93"/>
      <c r="G564" s="1"/>
      <c r="H564" s="1"/>
      <c r="I564" s="1"/>
      <c r="J564" s="1"/>
      <c r="K564" s="1"/>
      <c r="L564" s="1"/>
      <c r="M564" s="1"/>
      <c r="N564" s="1"/>
      <c r="O564" s="1"/>
      <c r="P564" s="1"/>
      <c r="Q564" s="1"/>
      <c r="R564" s="1"/>
      <c r="S564" s="1"/>
      <c r="T564" s="1"/>
      <c r="U564" s="1"/>
      <c r="V564" s="1"/>
      <c r="W564" s="1"/>
      <c r="X564" s="1"/>
    </row>
    <row r="565" spans="1:24" ht="12.75" customHeight="1" x14ac:dyDescent="0.2">
      <c r="A565" s="1"/>
      <c r="B565" s="1"/>
      <c r="C565" s="89"/>
      <c r="D565" s="89"/>
      <c r="E565" s="93"/>
      <c r="F565" s="93"/>
      <c r="G565" s="1"/>
      <c r="H565" s="1"/>
      <c r="I565" s="1"/>
      <c r="J565" s="1"/>
      <c r="K565" s="1"/>
      <c r="L565" s="1"/>
      <c r="M565" s="1"/>
      <c r="N565" s="1"/>
      <c r="O565" s="1"/>
      <c r="P565" s="1"/>
      <c r="Q565" s="1"/>
      <c r="R565" s="1"/>
      <c r="S565" s="1"/>
      <c r="T565" s="1"/>
      <c r="U565" s="1"/>
      <c r="V565" s="1"/>
      <c r="W565" s="1"/>
      <c r="X565" s="1"/>
    </row>
    <row r="566" spans="1:24" ht="12.75" customHeight="1" x14ac:dyDescent="0.2">
      <c r="A566" s="1"/>
      <c r="B566" s="1"/>
      <c r="C566" s="89"/>
      <c r="D566" s="89"/>
      <c r="E566" s="93"/>
      <c r="F566" s="93"/>
      <c r="G566" s="1"/>
      <c r="H566" s="1"/>
      <c r="I566" s="1"/>
      <c r="J566" s="1"/>
      <c r="K566" s="1"/>
      <c r="L566" s="1"/>
      <c r="M566" s="1"/>
      <c r="N566" s="1"/>
      <c r="O566" s="1"/>
      <c r="P566" s="1"/>
      <c r="Q566" s="1"/>
      <c r="R566" s="1"/>
      <c r="S566" s="1"/>
      <c r="T566" s="1"/>
      <c r="U566" s="1"/>
      <c r="V566" s="1"/>
      <c r="W566" s="1"/>
      <c r="X566" s="1"/>
    </row>
    <row r="567" spans="1:24" ht="12.75" customHeight="1" x14ac:dyDescent="0.2">
      <c r="A567" s="1"/>
      <c r="B567" s="1"/>
      <c r="C567" s="89"/>
      <c r="D567" s="89"/>
      <c r="E567" s="93"/>
      <c r="F567" s="93"/>
      <c r="G567" s="1"/>
      <c r="H567" s="1"/>
      <c r="I567" s="1"/>
      <c r="J567" s="1"/>
      <c r="K567" s="1"/>
      <c r="L567" s="1"/>
      <c r="M567" s="1"/>
      <c r="N567" s="1"/>
      <c r="O567" s="1"/>
      <c r="P567" s="1"/>
      <c r="Q567" s="1"/>
      <c r="R567" s="1"/>
      <c r="S567" s="1"/>
      <c r="T567" s="1"/>
      <c r="U567" s="1"/>
      <c r="V567" s="1"/>
      <c r="W567" s="1"/>
      <c r="X567" s="1"/>
    </row>
    <row r="568" spans="1:24" ht="12.75" customHeight="1" x14ac:dyDescent="0.2">
      <c r="A568" s="1"/>
      <c r="B568" s="1"/>
      <c r="C568" s="89"/>
      <c r="D568" s="89"/>
      <c r="E568" s="93"/>
      <c r="F568" s="93"/>
      <c r="G568" s="1"/>
      <c r="H568" s="1"/>
      <c r="I568" s="1"/>
      <c r="J568" s="1"/>
      <c r="K568" s="1"/>
      <c r="L568" s="1"/>
      <c r="M568" s="1"/>
      <c r="N568" s="1"/>
      <c r="O568" s="1"/>
      <c r="P568" s="1"/>
      <c r="Q568" s="1"/>
      <c r="R568" s="1"/>
      <c r="S568" s="1"/>
      <c r="T568" s="1"/>
      <c r="U568" s="1"/>
      <c r="V568" s="1"/>
      <c r="W568" s="1"/>
      <c r="X568" s="1"/>
    </row>
    <row r="569" spans="1:24" ht="12.75" customHeight="1" x14ac:dyDescent="0.2">
      <c r="A569" s="1"/>
      <c r="B569" s="1"/>
      <c r="C569" s="89"/>
      <c r="D569" s="89"/>
      <c r="E569" s="93"/>
      <c r="F569" s="93"/>
      <c r="G569" s="1"/>
      <c r="H569" s="1"/>
      <c r="I569" s="1"/>
      <c r="J569" s="1"/>
      <c r="K569" s="1"/>
      <c r="L569" s="1"/>
      <c r="M569" s="1"/>
      <c r="N569" s="1"/>
      <c r="O569" s="1"/>
      <c r="P569" s="1"/>
      <c r="Q569" s="1"/>
      <c r="R569" s="1"/>
      <c r="S569" s="1"/>
      <c r="T569" s="1"/>
      <c r="U569" s="1"/>
      <c r="V569" s="1"/>
      <c r="W569" s="1"/>
      <c r="X569" s="1"/>
    </row>
    <row r="570" spans="1:24" ht="12.75" customHeight="1" x14ac:dyDescent="0.2">
      <c r="A570" s="1"/>
      <c r="B570" s="1"/>
      <c r="C570" s="89"/>
      <c r="D570" s="89"/>
      <c r="E570" s="93"/>
      <c r="F570" s="93"/>
      <c r="G570" s="1"/>
      <c r="H570" s="1"/>
      <c r="I570" s="1"/>
      <c r="J570" s="1"/>
      <c r="K570" s="1"/>
      <c r="L570" s="1"/>
      <c r="M570" s="1"/>
      <c r="N570" s="1"/>
      <c r="O570" s="1"/>
      <c r="P570" s="1"/>
      <c r="Q570" s="1"/>
      <c r="R570" s="1"/>
      <c r="S570" s="1"/>
      <c r="T570" s="1"/>
      <c r="U570" s="1"/>
      <c r="V570" s="1"/>
      <c r="W570" s="1"/>
      <c r="X570" s="1"/>
    </row>
    <row r="571" spans="1:24" ht="12.75" customHeight="1" x14ac:dyDescent="0.2">
      <c r="A571" s="1"/>
      <c r="B571" s="1"/>
      <c r="C571" s="89"/>
      <c r="D571" s="89"/>
      <c r="E571" s="93"/>
      <c r="F571" s="93"/>
      <c r="G571" s="1"/>
      <c r="H571" s="1"/>
      <c r="I571" s="1"/>
      <c r="J571" s="1"/>
      <c r="K571" s="1"/>
      <c r="L571" s="1"/>
      <c r="M571" s="1"/>
      <c r="N571" s="1"/>
      <c r="O571" s="1"/>
      <c r="P571" s="1"/>
      <c r="Q571" s="1"/>
      <c r="R571" s="1"/>
      <c r="S571" s="1"/>
      <c r="T571" s="1"/>
      <c r="U571" s="1"/>
      <c r="V571" s="1"/>
      <c r="W571" s="1"/>
      <c r="X571" s="1"/>
    </row>
    <row r="572" spans="1:24" ht="12.75" customHeight="1" x14ac:dyDescent="0.2">
      <c r="A572" s="1"/>
      <c r="B572" s="1"/>
      <c r="C572" s="89"/>
      <c r="D572" s="89"/>
      <c r="E572" s="93"/>
      <c r="F572" s="93"/>
      <c r="G572" s="1"/>
      <c r="H572" s="1"/>
      <c r="I572" s="1"/>
      <c r="J572" s="1"/>
      <c r="K572" s="1"/>
      <c r="L572" s="1"/>
      <c r="M572" s="1"/>
      <c r="N572" s="1"/>
      <c r="O572" s="1"/>
      <c r="P572" s="1"/>
      <c r="Q572" s="1"/>
      <c r="R572" s="1"/>
      <c r="S572" s="1"/>
      <c r="T572" s="1"/>
      <c r="U572" s="1"/>
      <c r="V572" s="1"/>
      <c r="W572" s="1"/>
      <c r="X572" s="1"/>
    </row>
    <row r="573" spans="1:24" ht="12.75" customHeight="1" x14ac:dyDescent="0.2">
      <c r="A573" s="1"/>
      <c r="B573" s="1"/>
      <c r="C573" s="89"/>
      <c r="D573" s="89"/>
      <c r="E573" s="93"/>
      <c r="F573" s="93"/>
      <c r="G573" s="1"/>
      <c r="H573" s="1"/>
      <c r="I573" s="1"/>
      <c r="J573" s="1"/>
      <c r="K573" s="1"/>
      <c r="L573" s="1"/>
      <c r="M573" s="1"/>
      <c r="N573" s="1"/>
      <c r="O573" s="1"/>
      <c r="P573" s="1"/>
      <c r="Q573" s="1"/>
      <c r="R573" s="1"/>
      <c r="S573" s="1"/>
      <c r="T573" s="1"/>
      <c r="U573" s="1"/>
      <c r="V573" s="1"/>
      <c r="W573" s="1"/>
      <c r="X573" s="1"/>
    </row>
    <row r="574" spans="1:24" ht="12.75" customHeight="1" x14ac:dyDescent="0.2">
      <c r="A574" s="1"/>
      <c r="B574" s="1"/>
      <c r="C574" s="89"/>
      <c r="D574" s="89"/>
      <c r="E574" s="93"/>
      <c r="F574" s="93"/>
      <c r="G574" s="1"/>
      <c r="H574" s="1"/>
      <c r="I574" s="1"/>
      <c r="J574" s="1"/>
      <c r="K574" s="1"/>
      <c r="L574" s="1"/>
      <c r="M574" s="1"/>
      <c r="N574" s="1"/>
      <c r="O574" s="1"/>
      <c r="P574" s="1"/>
      <c r="Q574" s="1"/>
      <c r="R574" s="1"/>
      <c r="S574" s="1"/>
      <c r="T574" s="1"/>
      <c r="U574" s="1"/>
      <c r="V574" s="1"/>
      <c r="W574" s="1"/>
      <c r="X574" s="1"/>
    </row>
    <row r="575" spans="1:24" ht="12.75" customHeight="1" x14ac:dyDescent="0.2">
      <c r="A575" s="1"/>
      <c r="B575" s="1"/>
      <c r="C575" s="89"/>
      <c r="D575" s="89"/>
      <c r="E575" s="93"/>
      <c r="F575" s="93"/>
      <c r="G575" s="1"/>
      <c r="H575" s="1"/>
      <c r="I575" s="1"/>
      <c r="J575" s="1"/>
      <c r="K575" s="1"/>
      <c r="L575" s="1"/>
      <c r="M575" s="1"/>
      <c r="N575" s="1"/>
      <c r="O575" s="1"/>
      <c r="P575" s="1"/>
      <c r="Q575" s="1"/>
      <c r="R575" s="1"/>
      <c r="S575" s="1"/>
      <c r="T575" s="1"/>
      <c r="U575" s="1"/>
      <c r="V575" s="1"/>
      <c r="W575" s="1"/>
      <c r="X575" s="1"/>
    </row>
    <row r="576" spans="1:24" ht="12.75" customHeight="1" x14ac:dyDescent="0.2">
      <c r="A576" s="1"/>
      <c r="B576" s="1"/>
      <c r="C576" s="89"/>
      <c r="D576" s="89"/>
      <c r="E576" s="93"/>
      <c r="F576" s="93"/>
      <c r="G576" s="1"/>
      <c r="H576" s="1"/>
      <c r="I576" s="1"/>
      <c r="J576" s="1"/>
      <c r="K576" s="1"/>
      <c r="L576" s="1"/>
      <c r="M576" s="1"/>
      <c r="N576" s="1"/>
      <c r="O576" s="1"/>
      <c r="P576" s="1"/>
      <c r="Q576" s="1"/>
      <c r="R576" s="1"/>
      <c r="S576" s="1"/>
      <c r="T576" s="1"/>
      <c r="U576" s="1"/>
      <c r="V576" s="1"/>
      <c r="W576" s="1"/>
      <c r="X576" s="1"/>
    </row>
    <row r="577" spans="1:24" ht="12.75" customHeight="1" x14ac:dyDescent="0.2">
      <c r="A577" s="1"/>
      <c r="B577" s="1"/>
      <c r="C577" s="89"/>
      <c r="D577" s="89"/>
      <c r="E577" s="93"/>
      <c r="F577" s="93"/>
      <c r="G577" s="1"/>
      <c r="H577" s="1"/>
      <c r="I577" s="1"/>
      <c r="J577" s="1"/>
      <c r="K577" s="1"/>
      <c r="L577" s="1"/>
      <c r="M577" s="1"/>
      <c r="N577" s="1"/>
      <c r="O577" s="1"/>
      <c r="P577" s="1"/>
      <c r="Q577" s="1"/>
      <c r="R577" s="1"/>
      <c r="S577" s="1"/>
      <c r="T577" s="1"/>
      <c r="U577" s="1"/>
      <c r="V577" s="1"/>
      <c r="W577" s="1"/>
      <c r="X577" s="1"/>
    </row>
    <row r="578" spans="1:24" ht="12.75" customHeight="1" x14ac:dyDescent="0.2">
      <c r="A578" s="1"/>
      <c r="B578" s="1"/>
      <c r="C578" s="89"/>
      <c r="D578" s="89"/>
      <c r="E578" s="93"/>
      <c r="F578" s="93"/>
      <c r="G578" s="1"/>
      <c r="H578" s="1"/>
      <c r="I578" s="1"/>
      <c r="J578" s="1"/>
      <c r="K578" s="1"/>
      <c r="L578" s="1"/>
      <c r="M578" s="1"/>
      <c r="N578" s="1"/>
      <c r="O578" s="1"/>
      <c r="P578" s="1"/>
      <c r="Q578" s="1"/>
      <c r="R578" s="1"/>
      <c r="S578" s="1"/>
      <c r="T578" s="1"/>
      <c r="U578" s="1"/>
      <c r="V578" s="1"/>
      <c r="W578" s="1"/>
      <c r="X578" s="1"/>
    </row>
    <row r="579" spans="1:24" ht="12.75" customHeight="1" x14ac:dyDescent="0.2">
      <c r="A579" s="1"/>
      <c r="B579" s="1"/>
      <c r="C579" s="89"/>
      <c r="D579" s="89"/>
      <c r="E579" s="93"/>
      <c r="F579" s="93"/>
      <c r="G579" s="1"/>
      <c r="H579" s="1"/>
      <c r="I579" s="1"/>
      <c r="J579" s="1"/>
      <c r="K579" s="1"/>
      <c r="L579" s="1"/>
      <c r="M579" s="1"/>
      <c r="N579" s="1"/>
      <c r="O579" s="1"/>
      <c r="P579" s="1"/>
      <c r="Q579" s="1"/>
      <c r="R579" s="1"/>
      <c r="S579" s="1"/>
      <c r="T579" s="1"/>
      <c r="U579" s="1"/>
      <c r="V579" s="1"/>
      <c r="W579" s="1"/>
      <c r="X579" s="1"/>
    </row>
    <row r="580" spans="1:24" ht="12.75" customHeight="1" x14ac:dyDescent="0.2">
      <c r="A580" s="1"/>
      <c r="B580" s="1"/>
      <c r="C580" s="89"/>
      <c r="D580" s="89"/>
      <c r="E580" s="93"/>
      <c r="F580" s="93"/>
      <c r="G580" s="1"/>
      <c r="H580" s="1"/>
      <c r="I580" s="1"/>
      <c r="J580" s="1"/>
      <c r="K580" s="1"/>
      <c r="L580" s="1"/>
      <c r="M580" s="1"/>
      <c r="N580" s="1"/>
      <c r="O580" s="1"/>
      <c r="P580" s="1"/>
      <c r="Q580" s="1"/>
      <c r="R580" s="1"/>
      <c r="S580" s="1"/>
      <c r="T580" s="1"/>
      <c r="U580" s="1"/>
      <c r="V580" s="1"/>
      <c r="W580" s="1"/>
      <c r="X580" s="1"/>
    </row>
    <row r="581" spans="1:24" ht="12.75" customHeight="1" x14ac:dyDescent="0.2">
      <c r="A581" s="1"/>
      <c r="B581" s="1"/>
      <c r="C581" s="89"/>
      <c r="D581" s="89"/>
      <c r="E581" s="93"/>
      <c r="F581" s="93"/>
      <c r="G581" s="1"/>
      <c r="H581" s="1"/>
      <c r="I581" s="1"/>
      <c r="J581" s="1"/>
      <c r="K581" s="1"/>
      <c r="L581" s="1"/>
      <c r="M581" s="1"/>
      <c r="N581" s="1"/>
      <c r="O581" s="1"/>
      <c r="P581" s="1"/>
      <c r="Q581" s="1"/>
      <c r="R581" s="1"/>
      <c r="S581" s="1"/>
      <c r="T581" s="1"/>
      <c r="U581" s="1"/>
      <c r="V581" s="1"/>
      <c r="W581" s="1"/>
      <c r="X581" s="1"/>
    </row>
    <row r="582" spans="1:24" ht="12.75" customHeight="1" x14ac:dyDescent="0.2">
      <c r="A582" s="1"/>
      <c r="B582" s="1"/>
      <c r="C582" s="89"/>
      <c r="D582" s="89"/>
      <c r="E582" s="93"/>
      <c r="F582" s="93"/>
      <c r="G582" s="1"/>
      <c r="H582" s="1"/>
      <c r="I582" s="1"/>
      <c r="J582" s="1"/>
      <c r="K582" s="1"/>
      <c r="L582" s="1"/>
      <c r="M582" s="1"/>
      <c r="N582" s="1"/>
      <c r="O582" s="1"/>
      <c r="P582" s="1"/>
      <c r="Q582" s="1"/>
      <c r="R582" s="1"/>
      <c r="S582" s="1"/>
      <c r="T582" s="1"/>
      <c r="U582" s="1"/>
      <c r="V582" s="1"/>
      <c r="W582" s="1"/>
      <c r="X582" s="1"/>
    </row>
    <row r="583" spans="1:24" ht="12.75" customHeight="1" x14ac:dyDescent="0.2">
      <c r="A583" s="1"/>
      <c r="B583" s="1"/>
      <c r="C583" s="89"/>
      <c r="D583" s="89"/>
      <c r="E583" s="93"/>
      <c r="F583" s="93"/>
      <c r="G583" s="1"/>
      <c r="H583" s="1"/>
      <c r="I583" s="1"/>
      <c r="J583" s="1"/>
      <c r="K583" s="1"/>
      <c r="L583" s="1"/>
      <c r="M583" s="1"/>
      <c r="N583" s="1"/>
      <c r="O583" s="1"/>
      <c r="P583" s="1"/>
      <c r="Q583" s="1"/>
      <c r="R583" s="1"/>
      <c r="S583" s="1"/>
      <c r="T583" s="1"/>
      <c r="U583" s="1"/>
      <c r="V583" s="1"/>
      <c r="W583" s="1"/>
      <c r="X583" s="1"/>
    </row>
    <row r="584" spans="1:24" ht="12.75" customHeight="1" x14ac:dyDescent="0.2">
      <c r="A584" s="1"/>
      <c r="B584" s="1"/>
      <c r="C584" s="89"/>
      <c r="D584" s="89"/>
      <c r="E584" s="93"/>
      <c r="F584" s="93"/>
      <c r="G584" s="1"/>
      <c r="H584" s="1"/>
      <c r="I584" s="1"/>
      <c r="J584" s="1"/>
      <c r="K584" s="1"/>
      <c r="L584" s="1"/>
      <c r="M584" s="1"/>
      <c r="N584" s="1"/>
      <c r="O584" s="1"/>
      <c r="P584" s="1"/>
      <c r="Q584" s="1"/>
      <c r="R584" s="1"/>
      <c r="S584" s="1"/>
      <c r="T584" s="1"/>
      <c r="U584" s="1"/>
      <c r="V584" s="1"/>
      <c r="W584" s="1"/>
      <c r="X584" s="1"/>
    </row>
    <row r="585" spans="1:24" ht="12.75" customHeight="1" x14ac:dyDescent="0.2">
      <c r="A585" s="1"/>
      <c r="B585" s="1"/>
      <c r="C585" s="89"/>
      <c r="D585" s="89"/>
      <c r="E585" s="93"/>
      <c r="F585" s="93"/>
      <c r="G585" s="1"/>
      <c r="H585" s="1"/>
      <c r="I585" s="1"/>
      <c r="J585" s="1"/>
      <c r="K585" s="1"/>
      <c r="L585" s="1"/>
      <c r="M585" s="1"/>
      <c r="N585" s="1"/>
      <c r="O585" s="1"/>
      <c r="P585" s="1"/>
      <c r="Q585" s="1"/>
      <c r="R585" s="1"/>
      <c r="S585" s="1"/>
      <c r="T585" s="1"/>
      <c r="U585" s="1"/>
      <c r="V585" s="1"/>
      <c r="W585" s="1"/>
      <c r="X585" s="1"/>
    </row>
    <row r="586" spans="1:24" ht="12.75" customHeight="1" x14ac:dyDescent="0.2">
      <c r="A586" s="1"/>
      <c r="B586" s="1"/>
      <c r="C586" s="89"/>
      <c r="D586" s="89"/>
      <c r="E586" s="93"/>
      <c r="F586" s="93"/>
      <c r="G586" s="1"/>
      <c r="H586" s="1"/>
      <c r="I586" s="1"/>
      <c r="J586" s="1"/>
      <c r="K586" s="1"/>
      <c r="L586" s="1"/>
      <c r="M586" s="1"/>
      <c r="N586" s="1"/>
      <c r="O586" s="1"/>
      <c r="P586" s="1"/>
      <c r="Q586" s="1"/>
      <c r="R586" s="1"/>
      <c r="S586" s="1"/>
      <c r="T586" s="1"/>
      <c r="U586" s="1"/>
      <c r="V586" s="1"/>
      <c r="W586" s="1"/>
      <c r="X586" s="1"/>
    </row>
    <row r="587" spans="1:24" ht="12.75" customHeight="1" x14ac:dyDescent="0.2">
      <c r="A587" s="1"/>
      <c r="B587" s="1"/>
      <c r="C587" s="89"/>
      <c r="D587" s="89"/>
      <c r="E587" s="93"/>
      <c r="F587" s="93"/>
      <c r="G587" s="1"/>
      <c r="H587" s="1"/>
      <c r="I587" s="1"/>
      <c r="J587" s="1"/>
      <c r="K587" s="1"/>
      <c r="L587" s="1"/>
      <c r="M587" s="1"/>
      <c r="N587" s="1"/>
      <c r="O587" s="1"/>
      <c r="P587" s="1"/>
      <c r="Q587" s="1"/>
      <c r="R587" s="1"/>
      <c r="S587" s="1"/>
      <c r="T587" s="1"/>
      <c r="U587" s="1"/>
      <c r="V587" s="1"/>
      <c r="W587" s="1"/>
      <c r="X587" s="1"/>
    </row>
    <row r="588" spans="1:24" ht="12.75" customHeight="1" x14ac:dyDescent="0.2">
      <c r="A588" s="1"/>
      <c r="B588" s="1"/>
      <c r="C588" s="89"/>
      <c r="D588" s="89"/>
      <c r="E588" s="93"/>
      <c r="F588" s="93"/>
      <c r="G588" s="1"/>
      <c r="H588" s="1"/>
      <c r="I588" s="1"/>
      <c r="J588" s="1"/>
      <c r="K588" s="1"/>
      <c r="L588" s="1"/>
      <c r="M588" s="1"/>
      <c r="N588" s="1"/>
      <c r="O588" s="1"/>
      <c r="P588" s="1"/>
      <c r="Q588" s="1"/>
      <c r="R588" s="1"/>
      <c r="S588" s="1"/>
      <c r="T588" s="1"/>
      <c r="U588" s="1"/>
      <c r="V588" s="1"/>
      <c r="W588" s="1"/>
      <c r="X588" s="1"/>
    </row>
    <row r="589" spans="1:24" ht="12.75" customHeight="1" x14ac:dyDescent="0.2">
      <c r="A589" s="1"/>
      <c r="B589" s="1"/>
      <c r="C589" s="89"/>
      <c r="D589" s="89"/>
      <c r="E589" s="93"/>
      <c r="F589" s="93"/>
      <c r="G589" s="1"/>
      <c r="H589" s="1"/>
      <c r="I589" s="1"/>
      <c r="J589" s="1"/>
      <c r="K589" s="1"/>
      <c r="L589" s="1"/>
      <c r="M589" s="1"/>
      <c r="N589" s="1"/>
      <c r="O589" s="1"/>
      <c r="P589" s="1"/>
      <c r="Q589" s="1"/>
      <c r="R589" s="1"/>
      <c r="S589" s="1"/>
      <c r="T589" s="1"/>
      <c r="U589" s="1"/>
      <c r="V589" s="1"/>
      <c r="W589" s="1"/>
      <c r="X589" s="1"/>
    </row>
    <row r="590" spans="1:24" ht="12.75" customHeight="1" x14ac:dyDescent="0.2">
      <c r="A590" s="1"/>
      <c r="B590" s="1"/>
      <c r="C590" s="89"/>
      <c r="D590" s="89"/>
      <c r="E590" s="93"/>
      <c r="F590" s="93"/>
      <c r="G590" s="1"/>
      <c r="H590" s="1"/>
      <c r="I590" s="1"/>
      <c r="J590" s="1"/>
      <c r="K590" s="1"/>
      <c r="L590" s="1"/>
      <c r="M590" s="1"/>
      <c r="N590" s="1"/>
      <c r="O590" s="1"/>
      <c r="P590" s="1"/>
      <c r="Q590" s="1"/>
      <c r="R590" s="1"/>
      <c r="S590" s="1"/>
      <c r="T590" s="1"/>
      <c r="U590" s="1"/>
      <c r="V590" s="1"/>
      <c r="W590" s="1"/>
      <c r="X590" s="1"/>
    </row>
    <row r="591" spans="1:24" ht="12.75" customHeight="1" x14ac:dyDescent="0.2">
      <c r="A591" s="1"/>
      <c r="B591" s="1"/>
      <c r="C591" s="89"/>
      <c r="D591" s="89"/>
      <c r="E591" s="93"/>
      <c r="F591" s="93"/>
      <c r="G591" s="1"/>
      <c r="H591" s="1"/>
      <c r="I591" s="1"/>
      <c r="J591" s="1"/>
      <c r="K591" s="1"/>
      <c r="L591" s="1"/>
      <c r="M591" s="1"/>
      <c r="N591" s="1"/>
      <c r="O591" s="1"/>
      <c r="P591" s="1"/>
      <c r="Q591" s="1"/>
      <c r="R591" s="1"/>
      <c r="S591" s="1"/>
      <c r="T591" s="1"/>
      <c r="U591" s="1"/>
      <c r="V591" s="1"/>
      <c r="W591" s="1"/>
      <c r="X591" s="1"/>
    </row>
    <row r="592" spans="1:24" ht="12.75" customHeight="1" x14ac:dyDescent="0.2">
      <c r="A592" s="1"/>
      <c r="B592" s="1"/>
      <c r="C592" s="89"/>
      <c r="D592" s="89"/>
      <c r="E592" s="93"/>
      <c r="F592" s="93"/>
      <c r="G592" s="1"/>
      <c r="H592" s="1"/>
      <c r="I592" s="1"/>
      <c r="J592" s="1"/>
      <c r="K592" s="1"/>
      <c r="L592" s="1"/>
      <c r="M592" s="1"/>
      <c r="N592" s="1"/>
      <c r="O592" s="1"/>
      <c r="P592" s="1"/>
      <c r="Q592" s="1"/>
      <c r="R592" s="1"/>
      <c r="S592" s="1"/>
      <c r="T592" s="1"/>
      <c r="U592" s="1"/>
      <c r="V592" s="1"/>
      <c r="W592" s="1"/>
      <c r="X592" s="1"/>
    </row>
    <row r="593" spans="1:24" ht="12.75" customHeight="1" x14ac:dyDescent="0.2">
      <c r="A593" s="1"/>
      <c r="B593" s="1"/>
      <c r="C593" s="89"/>
      <c r="D593" s="89"/>
      <c r="E593" s="93"/>
      <c r="F593" s="93"/>
      <c r="G593" s="1"/>
      <c r="H593" s="1"/>
      <c r="I593" s="1"/>
      <c r="J593" s="1"/>
      <c r="K593" s="1"/>
      <c r="L593" s="1"/>
      <c r="M593" s="1"/>
      <c r="N593" s="1"/>
      <c r="O593" s="1"/>
      <c r="P593" s="1"/>
      <c r="Q593" s="1"/>
      <c r="R593" s="1"/>
      <c r="S593" s="1"/>
      <c r="T593" s="1"/>
      <c r="U593" s="1"/>
      <c r="V593" s="1"/>
      <c r="W593" s="1"/>
      <c r="X593" s="1"/>
    </row>
    <row r="594" spans="1:24" ht="12.75" customHeight="1" x14ac:dyDescent="0.2">
      <c r="A594" s="1"/>
      <c r="B594" s="1"/>
      <c r="C594" s="89"/>
      <c r="D594" s="89"/>
      <c r="E594" s="93"/>
      <c r="F594" s="93"/>
      <c r="G594" s="1"/>
      <c r="H594" s="1"/>
      <c r="I594" s="1"/>
      <c r="J594" s="1"/>
      <c r="K594" s="1"/>
      <c r="L594" s="1"/>
      <c r="M594" s="1"/>
      <c r="N594" s="1"/>
      <c r="O594" s="1"/>
      <c r="P594" s="1"/>
      <c r="Q594" s="1"/>
      <c r="R594" s="1"/>
      <c r="S594" s="1"/>
      <c r="T594" s="1"/>
      <c r="U594" s="1"/>
      <c r="V594" s="1"/>
      <c r="W594" s="1"/>
      <c r="X594" s="1"/>
    </row>
    <row r="595" spans="1:24" ht="12.75" customHeight="1" x14ac:dyDescent="0.2">
      <c r="A595" s="1"/>
      <c r="B595" s="1"/>
      <c r="C595" s="89"/>
      <c r="D595" s="89"/>
      <c r="E595" s="93"/>
      <c r="F595" s="93"/>
      <c r="G595" s="1"/>
      <c r="H595" s="1"/>
      <c r="I595" s="1"/>
      <c r="J595" s="1"/>
      <c r="K595" s="1"/>
      <c r="L595" s="1"/>
      <c r="M595" s="1"/>
      <c r="N595" s="1"/>
      <c r="O595" s="1"/>
      <c r="P595" s="1"/>
      <c r="Q595" s="1"/>
      <c r="R595" s="1"/>
      <c r="S595" s="1"/>
      <c r="T595" s="1"/>
      <c r="U595" s="1"/>
      <c r="V595" s="1"/>
      <c r="W595" s="1"/>
      <c r="X595" s="1"/>
    </row>
    <row r="596" spans="1:24" ht="12.75" customHeight="1" x14ac:dyDescent="0.2">
      <c r="A596" s="1"/>
      <c r="B596" s="1"/>
      <c r="C596" s="89"/>
      <c r="D596" s="89"/>
      <c r="E596" s="93"/>
      <c r="F596" s="93"/>
      <c r="G596" s="1"/>
      <c r="H596" s="1"/>
      <c r="I596" s="1"/>
      <c r="J596" s="1"/>
      <c r="K596" s="1"/>
      <c r="L596" s="1"/>
      <c r="M596" s="1"/>
      <c r="N596" s="1"/>
      <c r="O596" s="1"/>
      <c r="P596" s="1"/>
      <c r="Q596" s="1"/>
      <c r="R596" s="1"/>
      <c r="S596" s="1"/>
      <c r="T596" s="1"/>
      <c r="U596" s="1"/>
      <c r="V596" s="1"/>
      <c r="W596" s="1"/>
      <c r="X596" s="1"/>
    </row>
    <row r="597" spans="1:24" ht="12.75" customHeight="1" x14ac:dyDescent="0.2">
      <c r="A597" s="1"/>
      <c r="B597" s="1"/>
      <c r="C597" s="89"/>
      <c r="D597" s="89"/>
      <c r="E597" s="93"/>
      <c r="F597" s="93"/>
      <c r="G597" s="1"/>
      <c r="H597" s="1"/>
      <c r="I597" s="1"/>
      <c r="J597" s="1"/>
      <c r="K597" s="1"/>
      <c r="L597" s="1"/>
      <c r="M597" s="1"/>
      <c r="N597" s="1"/>
      <c r="O597" s="1"/>
      <c r="P597" s="1"/>
      <c r="Q597" s="1"/>
      <c r="R597" s="1"/>
      <c r="S597" s="1"/>
      <c r="T597" s="1"/>
      <c r="U597" s="1"/>
      <c r="V597" s="1"/>
      <c r="W597" s="1"/>
      <c r="X597" s="1"/>
    </row>
    <row r="598" spans="1:24" ht="12.75" customHeight="1" x14ac:dyDescent="0.2">
      <c r="A598" s="1"/>
      <c r="B598" s="1"/>
      <c r="C598" s="89"/>
      <c r="D598" s="89"/>
      <c r="E598" s="93"/>
      <c r="F598" s="93"/>
      <c r="G598" s="1"/>
      <c r="H598" s="1"/>
      <c r="I598" s="1"/>
      <c r="J598" s="1"/>
      <c r="K598" s="1"/>
      <c r="L598" s="1"/>
      <c r="M598" s="1"/>
      <c r="N598" s="1"/>
      <c r="O598" s="1"/>
      <c r="P598" s="1"/>
      <c r="Q598" s="1"/>
      <c r="R598" s="1"/>
      <c r="S598" s="1"/>
      <c r="T598" s="1"/>
      <c r="U598" s="1"/>
      <c r="V598" s="1"/>
      <c r="W598" s="1"/>
      <c r="X598" s="1"/>
    </row>
    <row r="599" spans="1:24" ht="12.75" customHeight="1" x14ac:dyDescent="0.2">
      <c r="A599" s="1"/>
      <c r="B599" s="1"/>
      <c r="C599" s="89"/>
      <c r="D599" s="89"/>
      <c r="E599" s="93"/>
      <c r="F599" s="93"/>
      <c r="G599" s="1"/>
      <c r="H599" s="1"/>
      <c r="I599" s="1"/>
      <c r="J599" s="1"/>
      <c r="K599" s="1"/>
      <c r="L599" s="1"/>
      <c r="M599" s="1"/>
      <c r="N599" s="1"/>
      <c r="O599" s="1"/>
      <c r="P599" s="1"/>
      <c r="Q599" s="1"/>
      <c r="R599" s="1"/>
      <c r="S599" s="1"/>
      <c r="T599" s="1"/>
      <c r="U599" s="1"/>
      <c r="V599" s="1"/>
      <c r="W599" s="1"/>
      <c r="X599" s="1"/>
    </row>
    <row r="600" spans="1:24" ht="12.75" customHeight="1" x14ac:dyDescent="0.2">
      <c r="A600" s="1"/>
      <c r="B600" s="1"/>
      <c r="C600" s="89"/>
      <c r="D600" s="89"/>
      <c r="E600" s="93"/>
      <c r="F600" s="93"/>
      <c r="G600" s="1"/>
      <c r="H600" s="1"/>
      <c r="I600" s="1"/>
      <c r="J600" s="1"/>
      <c r="K600" s="1"/>
      <c r="L600" s="1"/>
      <c r="M600" s="1"/>
      <c r="N600" s="1"/>
      <c r="O600" s="1"/>
      <c r="P600" s="1"/>
      <c r="Q600" s="1"/>
      <c r="R600" s="1"/>
      <c r="S600" s="1"/>
      <c r="T600" s="1"/>
      <c r="U600" s="1"/>
      <c r="V600" s="1"/>
      <c r="W600" s="1"/>
      <c r="X600" s="1"/>
    </row>
    <row r="601" spans="1:24" ht="12.75" customHeight="1" x14ac:dyDescent="0.2">
      <c r="A601" s="1"/>
      <c r="B601" s="1"/>
      <c r="C601" s="89"/>
      <c r="D601" s="89"/>
      <c r="E601" s="93"/>
      <c r="F601" s="93"/>
      <c r="G601" s="1"/>
      <c r="H601" s="1"/>
      <c r="I601" s="1"/>
      <c r="J601" s="1"/>
      <c r="K601" s="1"/>
      <c r="L601" s="1"/>
      <c r="M601" s="1"/>
      <c r="N601" s="1"/>
      <c r="O601" s="1"/>
      <c r="P601" s="1"/>
      <c r="Q601" s="1"/>
      <c r="R601" s="1"/>
      <c r="S601" s="1"/>
      <c r="T601" s="1"/>
      <c r="U601" s="1"/>
      <c r="V601" s="1"/>
      <c r="W601" s="1"/>
      <c r="X601" s="1"/>
    </row>
    <row r="602" spans="1:24" ht="12.75" customHeight="1" x14ac:dyDescent="0.2">
      <c r="A602" s="1"/>
      <c r="B602" s="1"/>
      <c r="C602" s="89"/>
      <c r="D602" s="89"/>
      <c r="E602" s="93"/>
      <c r="F602" s="93"/>
      <c r="G602" s="1"/>
      <c r="H602" s="1"/>
      <c r="I602" s="1"/>
      <c r="J602" s="1"/>
      <c r="K602" s="1"/>
      <c r="L602" s="1"/>
      <c r="M602" s="1"/>
      <c r="N602" s="1"/>
      <c r="O602" s="1"/>
      <c r="P602" s="1"/>
      <c r="Q602" s="1"/>
      <c r="R602" s="1"/>
      <c r="S602" s="1"/>
      <c r="T602" s="1"/>
      <c r="U602" s="1"/>
      <c r="V602" s="1"/>
      <c r="W602" s="1"/>
      <c r="X602" s="1"/>
    </row>
    <row r="603" spans="1:24" ht="12.75" customHeight="1" x14ac:dyDescent="0.2">
      <c r="A603" s="1"/>
      <c r="B603" s="1"/>
      <c r="C603" s="89"/>
      <c r="D603" s="89"/>
      <c r="E603" s="93"/>
      <c r="F603" s="93"/>
      <c r="G603" s="1"/>
      <c r="H603" s="1"/>
      <c r="I603" s="1"/>
      <c r="J603" s="1"/>
      <c r="K603" s="1"/>
      <c r="L603" s="1"/>
      <c r="M603" s="1"/>
      <c r="N603" s="1"/>
      <c r="O603" s="1"/>
      <c r="P603" s="1"/>
      <c r="Q603" s="1"/>
      <c r="R603" s="1"/>
      <c r="S603" s="1"/>
      <c r="T603" s="1"/>
      <c r="U603" s="1"/>
      <c r="V603" s="1"/>
      <c r="W603" s="1"/>
      <c r="X603" s="1"/>
    </row>
    <row r="604" spans="1:24" ht="12.75" customHeight="1" x14ac:dyDescent="0.2">
      <c r="A604" s="1"/>
      <c r="B604" s="1"/>
      <c r="C604" s="89"/>
      <c r="D604" s="89"/>
      <c r="E604" s="93"/>
      <c r="F604" s="93"/>
      <c r="G604" s="1"/>
      <c r="H604" s="1"/>
      <c r="I604" s="1"/>
      <c r="J604" s="1"/>
      <c r="K604" s="1"/>
      <c r="L604" s="1"/>
      <c r="M604" s="1"/>
      <c r="N604" s="1"/>
      <c r="O604" s="1"/>
      <c r="P604" s="1"/>
      <c r="Q604" s="1"/>
      <c r="R604" s="1"/>
      <c r="S604" s="1"/>
      <c r="T604" s="1"/>
      <c r="U604" s="1"/>
      <c r="V604" s="1"/>
      <c r="W604" s="1"/>
      <c r="X604" s="1"/>
    </row>
    <row r="605" spans="1:24" ht="12.75" customHeight="1" x14ac:dyDescent="0.2">
      <c r="A605" s="1"/>
      <c r="B605" s="1"/>
      <c r="C605" s="89"/>
      <c r="D605" s="89"/>
      <c r="E605" s="93"/>
      <c r="F605" s="93"/>
      <c r="G605" s="1"/>
      <c r="H605" s="1"/>
      <c r="I605" s="1"/>
      <c r="J605" s="1"/>
      <c r="K605" s="1"/>
      <c r="L605" s="1"/>
      <c r="M605" s="1"/>
      <c r="N605" s="1"/>
      <c r="O605" s="1"/>
      <c r="P605" s="1"/>
      <c r="Q605" s="1"/>
      <c r="R605" s="1"/>
      <c r="S605" s="1"/>
      <c r="T605" s="1"/>
      <c r="U605" s="1"/>
      <c r="V605" s="1"/>
      <c r="W605" s="1"/>
      <c r="X605" s="1"/>
    </row>
    <row r="606" spans="1:24" ht="12.75" customHeight="1" x14ac:dyDescent="0.2">
      <c r="A606" s="1"/>
      <c r="B606" s="1"/>
      <c r="C606" s="89"/>
      <c r="D606" s="89"/>
      <c r="E606" s="93"/>
      <c r="F606" s="93"/>
      <c r="G606" s="1"/>
      <c r="H606" s="1"/>
      <c r="I606" s="1"/>
      <c r="J606" s="1"/>
      <c r="K606" s="1"/>
      <c r="L606" s="1"/>
      <c r="M606" s="1"/>
      <c r="N606" s="1"/>
      <c r="O606" s="1"/>
      <c r="P606" s="1"/>
      <c r="Q606" s="1"/>
      <c r="R606" s="1"/>
      <c r="S606" s="1"/>
      <c r="T606" s="1"/>
      <c r="U606" s="1"/>
      <c r="V606" s="1"/>
      <c r="W606" s="1"/>
      <c r="X606" s="1"/>
    </row>
    <row r="607" spans="1:24" ht="12.75" customHeight="1" x14ac:dyDescent="0.2">
      <c r="A607" s="1"/>
      <c r="B607" s="1"/>
      <c r="C607" s="89"/>
      <c r="D607" s="89"/>
      <c r="E607" s="93"/>
      <c r="F607" s="93"/>
      <c r="G607" s="1"/>
      <c r="H607" s="1"/>
      <c r="I607" s="1"/>
      <c r="J607" s="1"/>
      <c r="K607" s="1"/>
      <c r="L607" s="1"/>
      <c r="M607" s="1"/>
      <c r="N607" s="1"/>
      <c r="O607" s="1"/>
      <c r="P607" s="1"/>
      <c r="Q607" s="1"/>
      <c r="R607" s="1"/>
      <c r="S607" s="1"/>
      <c r="T607" s="1"/>
      <c r="U607" s="1"/>
      <c r="V607" s="1"/>
      <c r="W607" s="1"/>
      <c r="X607" s="1"/>
    </row>
    <row r="608" spans="1:24" ht="12.75" customHeight="1" x14ac:dyDescent="0.2">
      <c r="A608" s="1"/>
      <c r="B608" s="1"/>
      <c r="C608" s="89"/>
      <c r="D608" s="89"/>
      <c r="E608" s="93"/>
      <c r="F608" s="93"/>
      <c r="G608" s="1"/>
      <c r="H608" s="1"/>
      <c r="I608" s="1"/>
      <c r="J608" s="1"/>
      <c r="K608" s="1"/>
      <c r="L608" s="1"/>
      <c r="M608" s="1"/>
      <c r="N608" s="1"/>
      <c r="O608" s="1"/>
      <c r="P608" s="1"/>
      <c r="Q608" s="1"/>
      <c r="R608" s="1"/>
      <c r="S608" s="1"/>
      <c r="T608" s="1"/>
      <c r="U608" s="1"/>
      <c r="V608" s="1"/>
      <c r="W608" s="1"/>
      <c r="X608" s="1"/>
    </row>
    <row r="609" spans="1:24" ht="12.75" customHeight="1" x14ac:dyDescent="0.2">
      <c r="A609" s="1"/>
      <c r="B609" s="1"/>
      <c r="C609" s="89"/>
      <c r="D609" s="89"/>
      <c r="E609" s="93"/>
      <c r="F609" s="93"/>
      <c r="G609" s="1"/>
      <c r="H609" s="1"/>
      <c r="I609" s="1"/>
      <c r="J609" s="1"/>
      <c r="K609" s="1"/>
      <c r="L609" s="1"/>
      <c r="M609" s="1"/>
      <c r="N609" s="1"/>
      <c r="O609" s="1"/>
      <c r="P609" s="1"/>
      <c r="Q609" s="1"/>
      <c r="R609" s="1"/>
      <c r="S609" s="1"/>
      <c r="T609" s="1"/>
      <c r="U609" s="1"/>
      <c r="V609" s="1"/>
      <c r="W609" s="1"/>
      <c r="X609" s="1"/>
    </row>
    <row r="610" spans="1:24" ht="12.75" customHeight="1" x14ac:dyDescent="0.2">
      <c r="A610" s="1"/>
      <c r="B610" s="1"/>
      <c r="C610" s="89"/>
      <c r="D610" s="89"/>
      <c r="E610" s="93"/>
      <c r="F610" s="93"/>
      <c r="G610" s="1"/>
      <c r="H610" s="1"/>
      <c r="I610" s="1"/>
      <c r="J610" s="1"/>
      <c r="K610" s="1"/>
      <c r="L610" s="1"/>
      <c r="M610" s="1"/>
      <c r="N610" s="1"/>
      <c r="O610" s="1"/>
      <c r="P610" s="1"/>
      <c r="Q610" s="1"/>
      <c r="R610" s="1"/>
      <c r="S610" s="1"/>
      <c r="T610" s="1"/>
      <c r="U610" s="1"/>
      <c r="V610" s="1"/>
      <c r="W610" s="1"/>
      <c r="X610" s="1"/>
    </row>
    <row r="611" spans="1:24" ht="12.75" customHeight="1" x14ac:dyDescent="0.2">
      <c r="A611" s="1"/>
      <c r="B611" s="1"/>
      <c r="C611" s="89"/>
      <c r="D611" s="89"/>
      <c r="E611" s="93"/>
      <c r="F611" s="93"/>
      <c r="G611" s="1"/>
      <c r="H611" s="1"/>
      <c r="I611" s="1"/>
      <c r="J611" s="1"/>
      <c r="K611" s="1"/>
      <c r="L611" s="1"/>
      <c r="M611" s="1"/>
      <c r="N611" s="1"/>
      <c r="O611" s="1"/>
      <c r="P611" s="1"/>
      <c r="Q611" s="1"/>
      <c r="R611" s="1"/>
      <c r="S611" s="1"/>
      <c r="T611" s="1"/>
      <c r="U611" s="1"/>
      <c r="V611" s="1"/>
      <c r="W611" s="1"/>
      <c r="X611" s="1"/>
    </row>
    <row r="612" spans="1:24" ht="12.75" customHeight="1" x14ac:dyDescent="0.2">
      <c r="A612" s="1"/>
      <c r="B612" s="1"/>
      <c r="C612" s="89"/>
      <c r="D612" s="89"/>
      <c r="E612" s="93"/>
      <c r="F612" s="93"/>
      <c r="G612" s="1"/>
      <c r="H612" s="1"/>
      <c r="I612" s="1"/>
      <c r="J612" s="1"/>
      <c r="K612" s="1"/>
      <c r="L612" s="1"/>
      <c r="M612" s="1"/>
      <c r="N612" s="1"/>
      <c r="O612" s="1"/>
      <c r="P612" s="1"/>
      <c r="Q612" s="1"/>
      <c r="R612" s="1"/>
      <c r="S612" s="1"/>
      <c r="T612" s="1"/>
      <c r="U612" s="1"/>
      <c r="V612" s="1"/>
      <c r="W612" s="1"/>
      <c r="X612" s="1"/>
    </row>
    <row r="613" spans="1:24" ht="12.75" customHeight="1" x14ac:dyDescent="0.2">
      <c r="A613" s="1"/>
      <c r="B613" s="1"/>
      <c r="C613" s="89"/>
      <c r="D613" s="89"/>
      <c r="E613" s="93"/>
      <c r="F613" s="93"/>
      <c r="G613" s="1"/>
      <c r="H613" s="1"/>
      <c r="I613" s="1"/>
      <c r="J613" s="1"/>
      <c r="K613" s="1"/>
      <c r="L613" s="1"/>
      <c r="M613" s="1"/>
      <c r="N613" s="1"/>
      <c r="O613" s="1"/>
      <c r="P613" s="1"/>
      <c r="Q613" s="1"/>
      <c r="R613" s="1"/>
      <c r="S613" s="1"/>
      <c r="T613" s="1"/>
      <c r="U613" s="1"/>
      <c r="V613" s="1"/>
      <c r="W613" s="1"/>
      <c r="X613" s="1"/>
    </row>
    <row r="614" spans="1:24" ht="12.75" customHeight="1" x14ac:dyDescent="0.2">
      <c r="A614" s="1"/>
      <c r="B614" s="1"/>
      <c r="C614" s="89"/>
      <c r="D614" s="89"/>
      <c r="E614" s="93"/>
      <c r="F614" s="93"/>
      <c r="G614" s="1"/>
      <c r="H614" s="1"/>
      <c r="I614" s="1"/>
      <c r="J614" s="1"/>
      <c r="K614" s="1"/>
      <c r="L614" s="1"/>
      <c r="M614" s="1"/>
      <c r="N614" s="1"/>
      <c r="O614" s="1"/>
      <c r="P614" s="1"/>
      <c r="Q614" s="1"/>
      <c r="R614" s="1"/>
      <c r="S614" s="1"/>
      <c r="T614" s="1"/>
      <c r="U614" s="1"/>
      <c r="V614" s="1"/>
      <c r="W614" s="1"/>
      <c r="X614" s="1"/>
    </row>
    <row r="615" spans="1:24" ht="12.75" customHeight="1" x14ac:dyDescent="0.2">
      <c r="A615" s="1"/>
      <c r="B615" s="1"/>
      <c r="C615" s="89"/>
      <c r="D615" s="89"/>
      <c r="E615" s="93"/>
      <c r="F615" s="93"/>
      <c r="G615" s="1"/>
      <c r="H615" s="1"/>
      <c r="I615" s="1"/>
      <c r="J615" s="1"/>
      <c r="K615" s="1"/>
      <c r="L615" s="1"/>
      <c r="M615" s="1"/>
      <c r="N615" s="1"/>
      <c r="O615" s="1"/>
      <c r="P615" s="1"/>
      <c r="Q615" s="1"/>
      <c r="R615" s="1"/>
      <c r="S615" s="1"/>
      <c r="T615" s="1"/>
      <c r="U615" s="1"/>
      <c r="V615" s="1"/>
      <c r="W615" s="1"/>
      <c r="X615" s="1"/>
    </row>
    <row r="616" spans="1:24" ht="12.75" customHeight="1" x14ac:dyDescent="0.2">
      <c r="A616" s="1"/>
      <c r="B616" s="1"/>
      <c r="C616" s="89"/>
      <c r="D616" s="89"/>
      <c r="E616" s="93"/>
      <c r="F616" s="93"/>
      <c r="G616" s="1"/>
      <c r="H616" s="1"/>
      <c r="I616" s="1"/>
      <c r="J616" s="1"/>
      <c r="K616" s="1"/>
      <c r="L616" s="1"/>
      <c r="M616" s="1"/>
      <c r="N616" s="1"/>
      <c r="O616" s="1"/>
      <c r="P616" s="1"/>
      <c r="Q616" s="1"/>
      <c r="R616" s="1"/>
      <c r="S616" s="1"/>
      <c r="T616" s="1"/>
      <c r="U616" s="1"/>
      <c r="V616" s="1"/>
      <c r="W616" s="1"/>
      <c r="X616" s="1"/>
    </row>
    <row r="617" spans="1:24" ht="12.75" customHeight="1" x14ac:dyDescent="0.2">
      <c r="A617" s="1"/>
      <c r="B617" s="1"/>
      <c r="C617" s="89"/>
      <c r="D617" s="89"/>
      <c r="E617" s="93"/>
      <c r="F617" s="93"/>
      <c r="G617" s="1"/>
      <c r="H617" s="1"/>
      <c r="I617" s="1"/>
      <c r="J617" s="1"/>
      <c r="K617" s="1"/>
      <c r="L617" s="1"/>
      <c r="M617" s="1"/>
      <c r="N617" s="1"/>
      <c r="O617" s="1"/>
      <c r="P617" s="1"/>
      <c r="Q617" s="1"/>
      <c r="R617" s="1"/>
      <c r="S617" s="1"/>
      <c r="T617" s="1"/>
      <c r="U617" s="1"/>
      <c r="V617" s="1"/>
      <c r="W617" s="1"/>
      <c r="X617" s="1"/>
    </row>
    <row r="618" spans="1:24" ht="12.75" customHeight="1" x14ac:dyDescent="0.2">
      <c r="A618" s="1"/>
      <c r="B618" s="1"/>
      <c r="C618" s="89"/>
      <c r="D618" s="89"/>
      <c r="E618" s="93"/>
      <c r="F618" s="93"/>
      <c r="G618" s="1"/>
      <c r="H618" s="1"/>
      <c r="I618" s="1"/>
      <c r="J618" s="1"/>
      <c r="K618" s="1"/>
      <c r="L618" s="1"/>
      <c r="M618" s="1"/>
      <c r="N618" s="1"/>
      <c r="O618" s="1"/>
      <c r="P618" s="1"/>
      <c r="Q618" s="1"/>
      <c r="R618" s="1"/>
      <c r="S618" s="1"/>
      <c r="T618" s="1"/>
      <c r="U618" s="1"/>
      <c r="V618" s="1"/>
      <c r="W618" s="1"/>
      <c r="X618" s="1"/>
    </row>
    <row r="619" spans="1:24" ht="12.75" customHeight="1" x14ac:dyDescent="0.2">
      <c r="A619" s="1"/>
      <c r="B619" s="1"/>
      <c r="C619" s="89"/>
      <c r="D619" s="89"/>
      <c r="E619" s="93"/>
      <c r="F619" s="93"/>
      <c r="G619" s="1"/>
      <c r="H619" s="1"/>
      <c r="I619" s="1"/>
      <c r="J619" s="1"/>
      <c r="K619" s="1"/>
      <c r="L619" s="1"/>
      <c r="M619" s="1"/>
      <c r="N619" s="1"/>
      <c r="O619" s="1"/>
      <c r="P619" s="1"/>
      <c r="Q619" s="1"/>
      <c r="R619" s="1"/>
      <c r="S619" s="1"/>
      <c r="T619" s="1"/>
      <c r="U619" s="1"/>
      <c r="V619" s="1"/>
      <c r="W619" s="1"/>
      <c r="X619" s="1"/>
    </row>
    <row r="620" spans="1:24" ht="12.75" customHeight="1" x14ac:dyDescent="0.2">
      <c r="A620" s="1"/>
      <c r="B620" s="1"/>
      <c r="C620" s="89"/>
      <c r="D620" s="89"/>
      <c r="E620" s="93"/>
      <c r="F620" s="93"/>
      <c r="G620" s="1"/>
      <c r="H620" s="1"/>
      <c r="I620" s="1"/>
      <c r="J620" s="1"/>
      <c r="K620" s="1"/>
      <c r="L620" s="1"/>
      <c r="M620" s="1"/>
      <c r="N620" s="1"/>
      <c r="O620" s="1"/>
      <c r="P620" s="1"/>
      <c r="Q620" s="1"/>
      <c r="R620" s="1"/>
      <c r="S620" s="1"/>
      <c r="T620" s="1"/>
      <c r="U620" s="1"/>
      <c r="V620" s="1"/>
      <c r="W620" s="1"/>
      <c r="X620" s="1"/>
    </row>
    <row r="621" spans="1:24" ht="12.75" customHeight="1" x14ac:dyDescent="0.2">
      <c r="A621" s="1"/>
      <c r="B621" s="1"/>
      <c r="C621" s="89"/>
      <c r="D621" s="89"/>
      <c r="E621" s="93"/>
      <c r="F621" s="93"/>
      <c r="G621" s="1"/>
      <c r="H621" s="1"/>
      <c r="I621" s="1"/>
      <c r="J621" s="1"/>
      <c r="K621" s="1"/>
      <c r="L621" s="1"/>
      <c r="M621" s="1"/>
      <c r="N621" s="1"/>
      <c r="O621" s="1"/>
      <c r="P621" s="1"/>
      <c r="Q621" s="1"/>
      <c r="R621" s="1"/>
      <c r="S621" s="1"/>
      <c r="T621" s="1"/>
      <c r="U621" s="1"/>
      <c r="V621" s="1"/>
      <c r="W621" s="1"/>
      <c r="X621" s="1"/>
    </row>
    <row r="622" spans="1:24" ht="12.75" customHeight="1" x14ac:dyDescent="0.2">
      <c r="A622" s="1"/>
      <c r="B622" s="1"/>
      <c r="C622" s="89"/>
      <c r="D622" s="89"/>
      <c r="E622" s="93"/>
      <c r="F622" s="93"/>
      <c r="G622" s="1"/>
      <c r="H622" s="1"/>
      <c r="I622" s="1"/>
      <c r="J622" s="1"/>
      <c r="K622" s="1"/>
      <c r="L622" s="1"/>
      <c r="M622" s="1"/>
      <c r="N622" s="1"/>
      <c r="O622" s="1"/>
      <c r="P622" s="1"/>
      <c r="Q622" s="1"/>
      <c r="R622" s="1"/>
      <c r="S622" s="1"/>
      <c r="T622" s="1"/>
      <c r="U622" s="1"/>
      <c r="V622" s="1"/>
      <c r="W622" s="1"/>
      <c r="X622" s="1"/>
    </row>
    <row r="623" spans="1:24" ht="12.75" customHeight="1" x14ac:dyDescent="0.2">
      <c r="A623" s="1"/>
      <c r="B623" s="1"/>
      <c r="C623" s="89"/>
      <c r="D623" s="89"/>
      <c r="E623" s="93"/>
      <c r="F623" s="93"/>
      <c r="G623" s="1"/>
      <c r="H623" s="1"/>
      <c r="I623" s="1"/>
      <c r="J623" s="1"/>
      <c r="K623" s="1"/>
      <c r="L623" s="1"/>
      <c r="M623" s="1"/>
      <c r="N623" s="1"/>
      <c r="O623" s="1"/>
      <c r="P623" s="1"/>
      <c r="Q623" s="1"/>
      <c r="R623" s="1"/>
      <c r="S623" s="1"/>
      <c r="T623" s="1"/>
      <c r="U623" s="1"/>
      <c r="V623" s="1"/>
      <c r="W623" s="1"/>
      <c r="X623" s="1"/>
    </row>
    <row r="624" spans="1:24" ht="12.75" customHeight="1" x14ac:dyDescent="0.2">
      <c r="A624" s="1"/>
      <c r="B624" s="1"/>
      <c r="C624" s="89"/>
      <c r="D624" s="89"/>
      <c r="E624" s="93"/>
      <c r="F624" s="93"/>
      <c r="G624" s="1"/>
      <c r="H624" s="1"/>
      <c r="I624" s="1"/>
      <c r="J624" s="1"/>
      <c r="K624" s="1"/>
      <c r="L624" s="1"/>
      <c r="M624" s="1"/>
      <c r="N624" s="1"/>
      <c r="O624" s="1"/>
      <c r="P624" s="1"/>
      <c r="Q624" s="1"/>
      <c r="R624" s="1"/>
      <c r="S624" s="1"/>
      <c r="T624" s="1"/>
      <c r="U624" s="1"/>
      <c r="V624" s="1"/>
      <c r="W624" s="1"/>
      <c r="X624" s="1"/>
    </row>
    <row r="625" spans="1:24" ht="12.75" customHeight="1" x14ac:dyDescent="0.2">
      <c r="A625" s="1"/>
      <c r="B625" s="1"/>
      <c r="C625" s="89"/>
      <c r="D625" s="89"/>
      <c r="E625" s="93"/>
      <c r="F625" s="93"/>
      <c r="G625" s="1"/>
      <c r="H625" s="1"/>
      <c r="I625" s="1"/>
      <c r="J625" s="1"/>
      <c r="K625" s="1"/>
      <c r="L625" s="1"/>
      <c r="M625" s="1"/>
      <c r="N625" s="1"/>
      <c r="O625" s="1"/>
      <c r="P625" s="1"/>
      <c r="Q625" s="1"/>
      <c r="R625" s="1"/>
      <c r="S625" s="1"/>
      <c r="T625" s="1"/>
      <c r="U625" s="1"/>
      <c r="V625" s="1"/>
      <c r="W625" s="1"/>
      <c r="X625" s="1"/>
    </row>
    <row r="626" spans="1:24" ht="12.75" customHeight="1" x14ac:dyDescent="0.2">
      <c r="A626" s="1"/>
      <c r="B626" s="1"/>
      <c r="C626" s="89"/>
      <c r="D626" s="89"/>
      <c r="E626" s="93"/>
      <c r="F626" s="93"/>
      <c r="G626" s="1"/>
      <c r="H626" s="1"/>
      <c r="I626" s="1"/>
      <c r="J626" s="1"/>
      <c r="K626" s="1"/>
      <c r="L626" s="1"/>
      <c r="M626" s="1"/>
      <c r="N626" s="1"/>
      <c r="O626" s="1"/>
      <c r="P626" s="1"/>
      <c r="Q626" s="1"/>
      <c r="R626" s="1"/>
      <c r="S626" s="1"/>
      <c r="T626" s="1"/>
      <c r="U626" s="1"/>
      <c r="V626" s="1"/>
      <c r="W626" s="1"/>
      <c r="X626" s="1"/>
    </row>
    <row r="627" spans="1:24" ht="12.75" customHeight="1" x14ac:dyDescent="0.2">
      <c r="A627" s="1"/>
      <c r="B627" s="1"/>
      <c r="C627" s="89"/>
      <c r="D627" s="89"/>
      <c r="E627" s="93"/>
      <c r="F627" s="93"/>
      <c r="G627" s="1"/>
      <c r="H627" s="1"/>
      <c r="I627" s="1"/>
      <c r="J627" s="1"/>
      <c r="K627" s="1"/>
      <c r="L627" s="1"/>
      <c r="M627" s="1"/>
      <c r="N627" s="1"/>
      <c r="O627" s="1"/>
      <c r="P627" s="1"/>
      <c r="Q627" s="1"/>
      <c r="R627" s="1"/>
      <c r="S627" s="1"/>
      <c r="T627" s="1"/>
      <c r="U627" s="1"/>
      <c r="V627" s="1"/>
      <c r="W627" s="1"/>
      <c r="X627" s="1"/>
    </row>
    <row r="628" spans="1:24" ht="12.75" customHeight="1" x14ac:dyDescent="0.2">
      <c r="A628" s="1"/>
      <c r="B628" s="1"/>
      <c r="C628" s="89"/>
      <c r="D628" s="89"/>
      <c r="E628" s="93"/>
      <c r="F628" s="93"/>
      <c r="G628" s="1"/>
      <c r="H628" s="1"/>
      <c r="I628" s="1"/>
      <c r="J628" s="1"/>
      <c r="K628" s="1"/>
      <c r="L628" s="1"/>
      <c r="M628" s="1"/>
      <c r="N628" s="1"/>
      <c r="O628" s="1"/>
      <c r="P628" s="1"/>
      <c r="Q628" s="1"/>
      <c r="R628" s="1"/>
      <c r="S628" s="1"/>
      <c r="T628" s="1"/>
      <c r="U628" s="1"/>
      <c r="V628" s="1"/>
      <c r="W628" s="1"/>
      <c r="X628" s="1"/>
    </row>
    <row r="629" spans="1:24" ht="12.75" customHeight="1" x14ac:dyDescent="0.2">
      <c r="A629" s="1"/>
      <c r="B629" s="1"/>
      <c r="C629" s="89"/>
      <c r="D629" s="89"/>
      <c r="E629" s="93"/>
      <c r="F629" s="93"/>
      <c r="G629" s="1"/>
      <c r="H629" s="1"/>
      <c r="I629" s="1"/>
      <c r="J629" s="1"/>
      <c r="K629" s="1"/>
      <c r="L629" s="1"/>
      <c r="M629" s="1"/>
      <c r="N629" s="1"/>
      <c r="O629" s="1"/>
      <c r="P629" s="1"/>
      <c r="Q629" s="1"/>
      <c r="R629" s="1"/>
      <c r="S629" s="1"/>
      <c r="T629" s="1"/>
      <c r="U629" s="1"/>
      <c r="V629" s="1"/>
      <c r="W629" s="1"/>
      <c r="X629" s="1"/>
    </row>
    <row r="630" spans="1:24" ht="12.75" customHeight="1" x14ac:dyDescent="0.2">
      <c r="A630" s="1"/>
      <c r="B630" s="1"/>
      <c r="C630" s="89"/>
      <c r="D630" s="89"/>
      <c r="E630" s="93"/>
      <c r="F630" s="93"/>
      <c r="G630" s="1"/>
      <c r="H630" s="1"/>
      <c r="I630" s="1"/>
      <c r="J630" s="1"/>
      <c r="K630" s="1"/>
      <c r="L630" s="1"/>
      <c r="M630" s="1"/>
      <c r="N630" s="1"/>
      <c r="O630" s="1"/>
      <c r="P630" s="1"/>
      <c r="Q630" s="1"/>
      <c r="R630" s="1"/>
      <c r="S630" s="1"/>
      <c r="T630" s="1"/>
      <c r="U630" s="1"/>
      <c r="V630" s="1"/>
      <c r="W630" s="1"/>
      <c r="X630" s="1"/>
    </row>
    <row r="631" spans="1:24" ht="12.75" customHeight="1" x14ac:dyDescent="0.2">
      <c r="A631" s="1"/>
      <c r="B631" s="1"/>
      <c r="C631" s="89"/>
      <c r="D631" s="89"/>
      <c r="E631" s="93"/>
      <c r="F631" s="93"/>
      <c r="G631" s="1"/>
      <c r="H631" s="1"/>
      <c r="I631" s="1"/>
      <c r="J631" s="1"/>
      <c r="K631" s="1"/>
      <c r="L631" s="1"/>
      <c r="M631" s="1"/>
      <c r="N631" s="1"/>
      <c r="O631" s="1"/>
      <c r="P631" s="1"/>
      <c r="Q631" s="1"/>
      <c r="R631" s="1"/>
      <c r="S631" s="1"/>
      <c r="T631" s="1"/>
      <c r="U631" s="1"/>
      <c r="V631" s="1"/>
      <c r="W631" s="1"/>
      <c r="X631" s="1"/>
    </row>
    <row r="632" spans="1:24" ht="12.75" customHeight="1" x14ac:dyDescent="0.2">
      <c r="A632" s="1"/>
      <c r="B632" s="1"/>
      <c r="C632" s="89"/>
      <c r="D632" s="89"/>
      <c r="E632" s="93"/>
      <c r="F632" s="93"/>
      <c r="G632" s="1"/>
      <c r="H632" s="1"/>
      <c r="I632" s="1"/>
      <c r="J632" s="1"/>
      <c r="K632" s="1"/>
      <c r="L632" s="1"/>
      <c r="M632" s="1"/>
      <c r="N632" s="1"/>
      <c r="O632" s="1"/>
      <c r="P632" s="1"/>
      <c r="Q632" s="1"/>
      <c r="R632" s="1"/>
      <c r="S632" s="1"/>
      <c r="T632" s="1"/>
      <c r="U632" s="1"/>
      <c r="V632" s="1"/>
      <c r="W632" s="1"/>
      <c r="X632" s="1"/>
    </row>
    <row r="633" spans="1:24" ht="12.75" customHeight="1" x14ac:dyDescent="0.2">
      <c r="A633" s="1"/>
      <c r="B633" s="1"/>
      <c r="C633" s="89"/>
      <c r="D633" s="89"/>
      <c r="E633" s="93"/>
      <c r="F633" s="93"/>
      <c r="G633" s="1"/>
      <c r="H633" s="1"/>
      <c r="I633" s="1"/>
      <c r="J633" s="1"/>
      <c r="K633" s="1"/>
      <c r="L633" s="1"/>
      <c r="M633" s="1"/>
      <c r="N633" s="1"/>
      <c r="O633" s="1"/>
      <c r="P633" s="1"/>
      <c r="Q633" s="1"/>
      <c r="R633" s="1"/>
      <c r="S633" s="1"/>
      <c r="T633" s="1"/>
      <c r="U633" s="1"/>
      <c r="V633" s="1"/>
      <c r="W633" s="1"/>
      <c r="X633" s="1"/>
    </row>
    <row r="634" spans="1:24" ht="12.75" customHeight="1" x14ac:dyDescent="0.2">
      <c r="A634" s="1"/>
      <c r="B634" s="1"/>
      <c r="C634" s="89"/>
      <c r="D634" s="89"/>
      <c r="E634" s="93"/>
      <c r="F634" s="93"/>
      <c r="G634" s="1"/>
      <c r="H634" s="1"/>
      <c r="I634" s="1"/>
      <c r="J634" s="1"/>
      <c r="K634" s="1"/>
      <c r="L634" s="1"/>
      <c r="M634" s="1"/>
      <c r="N634" s="1"/>
      <c r="O634" s="1"/>
      <c r="P634" s="1"/>
      <c r="Q634" s="1"/>
      <c r="R634" s="1"/>
      <c r="S634" s="1"/>
      <c r="T634" s="1"/>
      <c r="U634" s="1"/>
      <c r="V634" s="1"/>
      <c r="W634" s="1"/>
      <c r="X634" s="1"/>
    </row>
    <row r="635" spans="1:24" ht="12.75" customHeight="1" x14ac:dyDescent="0.2">
      <c r="A635" s="1"/>
      <c r="B635" s="1"/>
      <c r="C635" s="89"/>
      <c r="D635" s="89"/>
      <c r="E635" s="93"/>
      <c r="F635" s="93"/>
      <c r="G635" s="1"/>
      <c r="H635" s="1"/>
      <c r="I635" s="1"/>
      <c r="J635" s="1"/>
      <c r="K635" s="1"/>
      <c r="L635" s="1"/>
      <c r="M635" s="1"/>
      <c r="N635" s="1"/>
      <c r="O635" s="1"/>
      <c r="P635" s="1"/>
      <c r="Q635" s="1"/>
      <c r="R635" s="1"/>
      <c r="S635" s="1"/>
      <c r="T635" s="1"/>
      <c r="U635" s="1"/>
      <c r="V635" s="1"/>
      <c r="W635" s="1"/>
      <c r="X635" s="1"/>
    </row>
    <row r="636" spans="1:24" ht="12.75" customHeight="1" x14ac:dyDescent="0.2">
      <c r="A636" s="1"/>
      <c r="B636" s="1"/>
      <c r="C636" s="89"/>
      <c r="D636" s="89"/>
      <c r="E636" s="93"/>
      <c r="F636" s="93"/>
      <c r="G636" s="1"/>
      <c r="H636" s="1"/>
      <c r="I636" s="1"/>
      <c r="J636" s="1"/>
      <c r="K636" s="1"/>
      <c r="L636" s="1"/>
      <c r="M636" s="1"/>
      <c r="N636" s="1"/>
      <c r="O636" s="1"/>
      <c r="P636" s="1"/>
      <c r="Q636" s="1"/>
      <c r="R636" s="1"/>
      <c r="S636" s="1"/>
      <c r="T636" s="1"/>
      <c r="U636" s="1"/>
      <c r="V636" s="1"/>
      <c r="W636" s="1"/>
      <c r="X636" s="1"/>
    </row>
    <row r="637" spans="1:24" ht="12.75" customHeight="1" x14ac:dyDescent="0.2">
      <c r="A637" s="1"/>
      <c r="B637" s="1"/>
      <c r="C637" s="89"/>
      <c r="D637" s="89"/>
      <c r="E637" s="93"/>
      <c r="F637" s="93"/>
      <c r="G637" s="1"/>
      <c r="H637" s="1"/>
      <c r="I637" s="1"/>
      <c r="J637" s="1"/>
      <c r="K637" s="1"/>
      <c r="L637" s="1"/>
      <c r="M637" s="1"/>
      <c r="N637" s="1"/>
      <c r="O637" s="1"/>
      <c r="P637" s="1"/>
      <c r="Q637" s="1"/>
      <c r="R637" s="1"/>
      <c r="S637" s="1"/>
      <c r="T637" s="1"/>
      <c r="U637" s="1"/>
      <c r="V637" s="1"/>
      <c r="W637" s="1"/>
      <c r="X637" s="1"/>
    </row>
    <row r="638" spans="1:24" ht="12.75" customHeight="1" x14ac:dyDescent="0.2">
      <c r="A638" s="1"/>
      <c r="B638" s="1"/>
      <c r="C638" s="89"/>
      <c r="D638" s="89"/>
      <c r="E638" s="93"/>
      <c r="F638" s="93"/>
      <c r="G638" s="1"/>
      <c r="H638" s="1"/>
      <c r="I638" s="1"/>
      <c r="J638" s="1"/>
      <c r="K638" s="1"/>
      <c r="L638" s="1"/>
      <c r="M638" s="1"/>
      <c r="N638" s="1"/>
      <c r="O638" s="1"/>
      <c r="P638" s="1"/>
      <c r="Q638" s="1"/>
      <c r="R638" s="1"/>
      <c r="S638" s="1"/>
      <c r="T638" s="1"/>
      <c r="U638" s="1"/>
      <c r="V638" s="1"/>
      <c r="W638" s="1"/>
      <c r="X638" s="1"/>
    </row>
    <row r="639" spans="1:24" ht="12.75" customHeight="1" x14ac:dyDescent="0.2">
      <c r="A639" s="1"/>
      <c r="B639" s="1"/>
      <c r="C639" s="89"/>
      <c r="D639" s="89"/>
      <c r="E639" s="93"/>
      <c r="F639" s="93"/>
      <c r="G639" s="1"/>
      <c r="H639" s="1"/>
      <c r="I639" s="1"/>
      <c r="J639" s="1"/>
      <c r="K639" s="1"/>
      <c r="L639" s="1"/>
      <c r="M639" s="1"/>
      <c r="N639" s="1"/>
      <c r="O639" s="1"/>
      <c r="P639" s="1"/>
      <c r="Q639" s="1"/>
      <c r="R639" s="1"/>
      <c r="S639" s="1"/>
      <c r="T639" s="1"/>
      <c r="U639" s="1"/>
      <c r="V639" s="1"/>
      <c r="W639" s="1"/>
      <c r="X639" s="1"/>
    </row>
    <row r="640" spans="1:24" ht="12.75" customHeight="1" x14ac:dyDescent="0.2">
      <c r="A640" s="1"/>
      <c r="B640" s="1"/>
      <c r="C640" s="89"/>
      <c r="D640" s="89"/>
      <c r="E640" s="93"/>
      <c r="F640" s="93"/>
      <c r="G640" s="1"/>
      <c r="H640" s="1"/>
      <c r="I640" s="1"/>
      <c r="J640" s="1"/>
      <c r="K640" s="1"/>
      <c r="L640" s="1"/>
      <c r="M640" s="1"/>
      <c r="N640" s="1"/>
      <c r="O640" s="1"/>
      <c r="P640" s="1"/>
      <c r="Q640" s="1"/>
      <c r="R640" s="1"/>
      <c r="S640" s="1"/>
      <c r="T640" s="1"/>
      <c r="U640" s="1"/>
      <c r="V640" s="1"/>
      <c r="W640" s="1"/>
      <c r="X640" s="1"/>
    </row>
    <row r="641" spans="1:24" ht="12.75" customHeight="1" x14ac:dyDescent="0.2">
      <c r="A641" s="1"/>
      <c r="B641" s="1"/>
      <c r="C641" s="89"/>
      <c r="D641" s="89"/>
      <c r="E641" s="93"/>
      <c r="F641" s="93"/>
      <c r="G641" s="1"/>
      <c r="H641" s="1"/>
      <c r="I641" s="1"/>
      <c r="J641" s="1"/>
      <c r="K641" s="1"/>
      <c r="L641" s="1"/>
      <c r="M641" s="1"/>
      <c r="N641" s="1"/>
      <c r="O641" s="1"/>
      <c r="P641" s="1"/>
      <c r="Q641" s="1"/>
      <c r="R641" s="1"/>
      <c r="S641" s="1"/>
      <c r="T641" s="1"/>
      <c r="U641" s="1"/>
      <c r="V641" s="1"/>
      <c r="W641" s="1"/>
      <c r="X641" s="1"/>
    </row>
    <row r="642" spans="1:24" ht="12.75" customHeight="1" x14ac:dyDescent="0.2">
      <c r="A642" s="1"/>
      <c r="B642" s="1"/>
      <c r="C642" s="89"/>
      <c r="D642" s="89"/>
      <c r="E642" s="93"/>
      <c r="F642" s="93"/>
      <c r="G642" s="1"/>
      <c r="H642" s="1"/>
      <c r="I642" s="1"/>
      <c r="J642" s="1"/>
      <c r="K642" s="1"/>
      <c r="L642" s="1"/>
      <c r="M642" s="1"/>
      <c r="N642" s="1"/>
      <c r="O642" s="1"/>
      <c r="P642" s="1"/>
      <c r="Q642" s="1"/>
      <c r="R642" s="1"/>
      <c r="S642" s="1"/>
      <c r="T642" s="1"/>
      <c r="U642" s="1"/>
      <c r="V642" s="1"/>
      <c r="W642" s="1"/>
      <c r="X642" s="1"/>
    </row>
    <row r="643" spans="1:24" ht="12.75" customHeight="1" x14ac:dyDescent="0.2">
      <c r="A643" s="1"/>
      <c r="B643" s="1"/>
      <c r="C643" s="89"/>
      <c r="D643" s="89"/>
      <c r="E643" s="93"/>
      <c r="F643" s="93"/>
      <c r="G643" s="1"/>
      <c r="H643" s="1"/>
      <c r="I643" s="1"/>
      <c r="J643" s="1"/>
      <c r="K643" s="1"/>
      <c r="L643" s="1"/>
      <c r="M643" s="1"/>
      <c r="N643" s="1"/>
      <c r="O643" s="1"/>
      <c r="P643" s="1"/>
      <c r="Q643" s="1"/>
      <c r="R643" s="1"/>
      <c r="S643" s="1"/>
      <c r="T643" s="1"/>
      <c r="U643" s="1"/>
      <c r="V643" s="1"/>
      <c r="W643" s="1"/>
      <c r="X643" s="1"/>
    </row>
    <row r="644" spans="1:24" ht="12.75" customHeight="1" x14ac:dyDescent="0.2">
      <c r="A644" s="1"/>
      <c r="B644" s="1"/>
      <c r="C644" s="89"/>
      <c r="D644" s="89"/>
      <c r="E644" s="93"/>
      <c r="F644" s="93"/>
      <c r="G644" s="1"/>
      <c r="H644" s="1"/>
      <c r="I644" s="1"/>
      <c r="J644" s="1"/>
      <c r="K644" s="1"/>
      <c r="L644" s="1"/>
      <c r="M644" s="1"/>
      <c r="N644" s="1"/>
      <c r="O644" s="1"/>
      <c r="P644" s="1"/>
      <c r="Q644" s="1"/>
      <c r="R644" s="1"/>
      <c r="S644" s="1"/>
      <c r="T644" s="1"/>
      <c r="U644" s="1"/>
      <c r="V644" s="1"/>
      <c r="W644" s="1"/>
      <c r="X644" s="1"/>
    </row>
    <row r="645" spans="1:24" ht="12.75" customHeight="1" x14ac:dyDescent="0.2">
      <c r="A645" s="1"/>
      <c r="B645" s="1"/>
      <c r="C645" s="89"/>
      <c r="D645" s="89"/>
      <c r="E645" s="93"/>
      <c r="F645" s="93"/>
      <c r="G645" s="1"/>
      <c r="H645" s="1"/>
      <c r="I645" s="1"/>
      <c r="J645" s="1"/>
      <c r="K645" s="1"/>
      <c r="L645" s="1"/>
      <c r="M645" s="1"/>
      <c r="N645" s="1"/>
      <c r="O645" s="1"/>
      <c r="P645" s="1"/>
      <c r="Q645" s="1"/>
      <c r="R645" s="1"/>
      <c r="S645" s="1"/>
      <c r="T645" s="1"/>
      <c r="U645" s="1"/>
      <c r="V645" s="1"/>
      <c r="W645" s="1"/>
      <c r="X645" s="1"/>
    </row>
    <row r="646" spans="1:24" ht="12.75" customHeight="1" x14ac:dyDescent="0.2">
      <c r="A646" s="1"/>
      <c r="B646" s="1"/>
      <c r="C646" s="89"/>
      <c r="D646" s="89"/>
      <c r="E646" s="93"/>
      <c r="F646" s="93"/>
      <c r="G646" s="1"/>
      <c r="H646" s="1"/>
      <c r="I646" s="1"/>
      <c r="J646" s="1"/>
      <c r="K646" s="1"/>
      <c r="L646" s="1"/>
      <c r="M646" s="1"/>
      <c r="N646" s="1"/>
      <c r="O646" s="1"/>
      <c r="P646" s="1"/>
      <c r="Q646" s="1"/>
      <c r="R646" s="1"/>
      <c r="S646" s="1"/>
      <c r="T646" s="1"/>
      <c r="U646" s="1"/>
      <c r="V646" s="1"/>
      <c r="W646" s="1"/>
      <c r="X646" s="1"/>
    </row>
    <row r="647" spans="1:24" ht="12.75" customHeight="1" x14ac:dyDescent="0.2">
      <c r="A647" s="1"/>
      <c r="B647" s="1"/>
      <c r="C647" s="89"/>
      <c r="D647" s="89"/>
      <c r="E647" s="93"/>
      <c r="F647" s="93"/>
      <c r="G647" s="1"/>
      <c r="H647" s="1"/>
      <c r="I647" s="1"/>
      <c r="J647" s="1"/>
      <c r="K647" s="1"/>
      <c r="L647" s="1"/>
      <c r="M647" s="1"/>
      <c r="N647" s="1"/>
      <c r="O647" s="1"/>
      <c r="P647" s="1"/>
      <c r="Q647" s="1"/>
      <c r="R647" s="1"/>
      <c r="S647" s="1"/>
      <c r="T647" s="1"/>
      <c r="U647" s="1"/>
      <c r="V647" s="1"/>
      <c r="W647" s="1"/>
      <c r="X647" s="1"/>
    </row>
    <row r="648" spans="1:24" ht="12.75" customHeight="1" x14ac:dyDescent="0.2">
      <c r="A648" s="1"/>
      <c r="B648" s="1"/>
      <c r="C648" s="89"/>
      <c r="D648" s="89"/>
      <c r="E648" s="93"/>
      <c r="F648" s="93"/>
      <c r="G648" s="1"/>
      <c r="H648" s="1"/>
      <c r="I648" s="1"/>
      <c r="J648" s="1"/>
      <c r="K648" s="1"/>
      <c r="L648" s="1"/>
      <c r="M648" s="1"/>
      <c r="N648" s="1"/>
      <c r="O648" s="1"/>
      <c r="P648" s="1"/>
      <c r="Q648" s="1"/>
      <c r="R648" s="1"/>
      <c r="S648" s="1"/>
      <c r="T648" s="1"/>
      <c r="U648" s="1"/>
      <c r="V648" s="1"/>
      <c r="W648" s="1"/>
      <c r="X648" s="1"/>
    </row>
    <row r="649" spans="1:24" ht="12.75" customHeight="1" x14ac:dyDescent="0.2">
      <c r="A649" s="1"/>
      <c r="B649" s="1"/>
      <c r="C649" s="89"/>
      <c r="D649" s="89"/>
      <c r="E649" s="93"/>
      <c r="F649" s="93"/>
      <c r="G649" s="1"/>
      <c r="H649" s="1"/>
      <c r="I649" s="1"/>
      <c r="J649" s="1"/>
      <c r="K649" s="1"/>
      <c r="L649" s="1"/>
      <c r="M649" s="1"/>
      <c r="N649" s="1"/>
      <c r="O649" s="1"/>
      <c r="P649" s="1"/>
      <c r="Q649" s="1"/>
      <c r="R649" s="1"/>
      <c r="S649" s="1"/>
      <c r="T649" s="1"/>
      <c r="U649" s="1"/>
      <c r="V649" s="1"/>
      <c r="W649" s="1"/>
      <c r="X649" s="1"/>
    </row>
    <row r="650" spans="1:24" ht="12.75" customHeight="1" x14ac:dyDescent="0.2">
      <c r="A650" s="1"/>
      <c r="B650" s="1"/>
      <c r="C650" s="89"/>
      <c r="D650" s="89"/>
      <c r="E650" s="93"/>
      <c r="F650" s="93"/>
      <c r="G650" s="1"/>
      <c r="H650" s="1"/>
      <c r="I650" s="1"/>
      <c r="J650" s="1"/>
      <c r="K650" s="1"/>
      <c r="L650" s="1"/>
      <c r="M650" s="1"/>
      <c r="N650" s="1"/>
      <c r="O650" s="1"/>
      <c r="P650" s="1"/>
      <c r="Q650" s="1"/>
      <c r="R650" s="1"/>
      <c r="S650" s="1"/>
      <c r="T650" s="1"/>
      <c r="U650" s="1"/>
      <c r="V650" s="1"/>
      <c r="W650" s="1"/>
      <c r="X650" s="1"/>
    </row>
    <row r="651" spans="1:24" ht="12.75" customHeight="1" x14ac:dyDescent="0.2">
      <c r="A651" s="1"/>
      <c r="B651" s="1"/>
      <c r="C651" s="89"/>
      <c r="D651" s="89"/>
      <c r="E651" s="93"/>
      <c r="F651" s="93"/>
      <c r="G651" s="1"/>
      <c r="H651" s="1"/>
      <c r="I651" s="1"/>
      <c r="J651" s="1"/>
      <c r="K651" s="1"/>
      <c r="L651" s="1"/>
      <c r="M651" s="1"/>
      <c r="N651" s="1"/>
      <c r="O651" s="1"/>
      <c r="P651" s="1"/>
      <c r="Q651" s="1"/>
      <c r="R651" s="1"/>
      <c r="S651" s="1"/>
      <c r="T651" s="1"/>
      <c r="U651" s="1"/>
      <c r="V651" s="1"/>
      <c r="W651" s="1"/>
      <c r="X651" s="1"/>
    </row>
    <row r="652" spans="1:24" ht="12.75" customHeight="1" x14ac:dyDescent="0.2">
      <c r="A652" s="1"/>
      <c r="B652" s="1"/>
      <c r="C652" s="89"/>
      <c r="D652" s="89"/>
      <c r="E652" s="93"/>
      <c r="F652" s="93"/>
      <c r="G652" s="1"/>
      <c r="H652" s="1"/>
      <c r="I652" s="1"/>
      <c r="J652" s="1"/>
      <c r="K652" s="1"/>
      <c r="L652" s="1"/>
      <c r="M652" s="1"/>
      <c r="N652" s="1"/>
      <c r="O652" s="1"/>
      <c r="P652" s="1"/>
      <c r="Q652" s="1"/>
      <c r="R652" s="1"/>
      <c r="S652" s="1"/>
      <c r="T652" s="1"/>
      <c r="U652" s="1"/>
      <c r="V652" s="1"/>
      <c r="W652" s="1"/>
      <c r="X652" s="1"/>
    </row>
    <row r="653" spans="1:24" ht="12.75" customHeight="1" x14ac:dyDescent="0.2">
      <c r="A653" s="1"/>
      <c r="B653" s="1"/>
      <c r="C653" s="89"/>
      <c r="D653" s="89"/>
      <c r="E653" s="93"/>
      <c r="F653" s="93"/>
      <c r="G653" s="1"/>
      <c r="H653" s="1"/>
      <c r="I653" s="1"/>
      <c r="J653" s="1"/>
      <c r="K653" s="1"/>
      <c r="L653" s="1"/>
      <c r="M653" s="1"/>
      <c r="N653" s="1"/>
      <c r="O653" s="1"/>
      <c r="P653" s="1"/>
      <c r="Q653" s="1"/>
      <c r="R653" s="1"/>
      <c r="S653" s="1"/>
      <c r="T653" s="1"/>
      <c r="U653" s="1"/>
      <c r="V653" s="1"/>
      <c r="W653" s="1"/>
      <c r="X653" s="1"/>
    </row>
    <row r="654" spans="1:24" ht="12.75" customHeight="1" x14ac:dyDescent="0.2">
      <c r="A654" s="1"/>
      <c r="B654" s="1"/>
      <c r="C654" s="89"/>
      <c r="D654" s="89"/>
      <c r="E654" s="93"/>
      <c r="F654" s="93"/>
      <c r="G654" s="1"/>
      <c r="H654" s="1"/>
      <c r="I654" s="1"/>
      <c r="J654" s="1"/>
      <c r="K654" s="1"/>
      <c r="L654" s="1"/>
      <c r="M654" s="1"/>
      <c r="N654" s="1"/>
      <c r="O654" s="1"/>
      <c r="P654" s="1"/>
      <c r="Q654" s="1"/>
      <c r="R654" s="1"/>
      <c r="S654" s="1"/>
      <c r="T654" s="1"/>
      <c r="U654" s="1"/>
      <c r="V654" s="1"/>
      <c r="W654" s="1"/>
      <c r="X654" s="1"/>
    </row>
    <row r="655" spans="1:24" ht="12.75" customHeight="1" x14ac:dyDescent="0.2">
      <c r="A655" s="1"/>
      <c r="B655" s="1"/>
      <c r="C655" s="89"/>
      <c r="D655" s="89"/>
      <c r="E655" s="93"/>
      <c r="F655" s="93"/>
      <c r="G655" s="1"/>
      <c r="H655" s="1"/>
      <c r="I655" s="1"/>
      <c r="J655" s="1"/>
      <c r="K655" s="1"/>
      <c r="L655" s="1"/>
      <c r="M655" s="1"/>
      <c r="N655" s="1"/>
      <c r="O655" s="1"/>
      <c r="P655" s="1"/>
      <c r="Q655" s="1"/>
      <c r="R655" s="1"/>
      <c r="S655" s="1"/>
      <c r="T655" s="1"/>
      <c r="U655" s="1"/>
      <c r="V655" s="1"/>
      <c r="W655" s="1"/>
      <c r="X655" s="1"/>
    </row>
    <row r="656" spans="1:24" ht="12.75" customHeight="1" x14ac:dyDescent="0.2">
      <c r="A656" s="1"/>
      <c r="B656" s="1"/>
      <c r="C656" s="89"/>
      <c r="D656" s="89"/>
      <c r="E656" s="93"/>
      <c r="F656" s="93"/>
      <c r="G656" s="1"/>
      <c r="H656" s="1"/>
      <c r="I656" s="1"/>
      <c r="J656" s="1"/>
      <c r="K656" s="1"/>
      <c r="L656" s="1"/>
      <c r="M656" s="1"/>
      <c r="N656" s="1"/>
      <c r="O656" s="1"/>
      <c r="P656" s="1"/>
      <c r="Q656" s="1"/>
      <c r="R656" s="1"/>
      <c r="S656" s="1"/>
      <c r="T656" s="1"/>
      <c r="U656" s="1"/>
      <c r="V656" s="1"/>
      <c r="W656" s="1"/>
      <c r="X656" s="1"/>
    </row>
    <row r="657" spans="1:24" ht="12.75" customHeight="1" x14ac:dyDescent="0.2">
      <c r="A657" s="1"/>
      <c r="B657" s="1"/>
      <c r="C657" s="89"/>
      <c r="D657" s="89"/>
      <c r="E657" s="93"/>
      <c r="F657" s="93"/>
      <c r="G657" s="1"/>
      <c r="H657" s="1"/>
      <c r="I657" s="1"/>
      <c r="J657" s="1"/>
      <c r="K657" s="1"/>
      <c r="L657" s="1"/>
      <c r="M657" s="1"/>
      <c r="N657" s="1"/>
      <c r="O657" s="1"/>
      <c r="P657" s="1"/>
      <c r="Q657" s="1"/>
      <c r="R657" s="1"/>
      <c r="S657" s="1"/>
      <c r="T657" s="1"/>
      <c r="U657" s="1"/>
      <c r="V657" s="1"/>
      <c r="W657" s="1"/>
      <c r="X657" s="1"/>
    </row>
    <row r="658" spans="1:24" ht="12.75" customHeight="1" x14ac:dyDescent="0.2">
      <c r="A658" s="1"/>
      <c r="B658" s="1"/>
      <c r="C658" s="89"/>
      <c r="D658" s="89"/>
      <c r="E658" s="93"/>
      <c r="F658" s="93"/>
      <c r="G658" s="1"/>
      <c r="H658" s="1"/>
      <c r="I658" s="1"/>
      <c r="J658" s="1"/>
      <c r="K658" s="1"/>
      <c r="L658" s="1"/>
      <c r="M658" s="1"/>
      <c r="N658" s="1"/>
      <c r="O658" s="1"/>
      <c r="P658" s="1"/>
      <c r="Q658" s="1"/>
      <c r="R658" s="1"/>
      <c r="S658" s="1"/>
      <c r="T658" s="1"/>
      <c r="U658" s="1"/>
      <c r="V658" s="1"/>
      <c r="W658" s="1"/>
      <c r="X658" s="1"/>
    </row>
    <row r="659" spans="1:24" ht="12.75" customHeight="1" x14ac:dyDescent="0.2">
      <c r="A659" s="1"/>
      <c r="B659" s="1"/>
      <c r="C659" s="89"/>
      <c r="D659" s="89"/>
      <c r="E659" s="93"/>
      <c r="F659" s="93"/>
      <c r="G659" s="1"/>
      <c r="H659" s="1"/>
      <c r="I659" s="1"/>
      <c r="J659" s="1"/>
      <c r="K659" s="1"/>
      <c r="L659" s="1"/>
      <c r="M659" s="1"/>
      <c r="N659" s="1"/>
      <c r="O659" s="1"/>
      <c r="P659" s="1"/>
      <c r="Q659" s="1"/>
      <c r="R659" s="1"/>
      <c r="S659" s="1"/>
      <c r="T659" s="1"/>
      <c r="U659" s="1"/>
      <c r="V659" s="1"/>
      <c r="W659" s="1"/>
      <c r="X659" s="1"/>
    </row>
    <row r="660" spans="1:24" ht="12.75" customHeight="1" x14ac:dyDescent="0.2">
      <c r="A660" s="1"/>
      <c r="B660" s="1"/>
      <c r="C660" s="89"/>
      <c r="D660" s="89"/>
      <c r="E660" s="93"/>
      <c r="F660" s="93"/>
      <c r="G660" s="1"/>
      <c r="H660" s="1"/>
      <c r="I660" s="1"/>
      <c r="J660" s="1"/>
      <c r="K660" s="1"/>
      <c r="L660" s="1"/>
      <c r="M660" s="1"/>
      <c r="N660" s="1"/>
      <c r="O660" s="1"/>
      <c r="P660" s="1"/>
      <c r="Q660" s="1"/>
      <c r="R660" s="1"/>
      <c r="S660" s="1"/>
      <c r="T660" s="1"/>
      <c r="U660" s="1"/>
      <c r="V660" s="1"/>
      <c r="W660" s="1"/>
      <c r="X660" s="1"/>
    </row>
    <row r="661" spans="1:24" ht="12.75" customHeight="1" x14ac:dyDescent="0.2">
      <c r="A661" s="1"/>
      <c r="B661" s="1"/>
      <c r="C661" s="89"/>
      <c r="D661" s="89"/>
      <c r="E661" s="93"/>
      <c r="F661" s="93"/>
      <c r="G661" s="1"/>
      <c r="H661" s="1"/>
      <c r="I661" s="1"/>
      <c r="J661" s="1"/>
      <c r="K661" s="1"/>
      <c r="L661" s="1"/>
      <c r="M661" s="1"/>
      <c r="N661" s="1"/>
      <c r="O661" s="1"/>
      <c r="P661" s="1"/>
      <c r="Q661" s="1"/>
      <c r="R661" s="1"/>
      <c r="S661" s="1"/>
      <c r="T661" s="1"/>
      <c r="U661" s="1"/>
      <c r="V661" s="1"/>
      <c r="W661" s="1"/>
      <c r="X661" s="1"/>
    </row>
    <row r="662" spans="1:24" ht="12.75" customHeight="1" x14ac:dyDescent="0.2">
      <c r="A662" s="1"/>
      <c r="B662" s="1"/>
      <c r="C662" s="89"/>
      <c r="D662" s="89"/>
      <c r="E662" s="93"/>
      <c r="F662" s="93"/>
      <c r="G662" s="1"/>
      <c r="H662" s="1"/>
      <c r="I662" s="1"/>
      <c r="J662" s="1"/>
      <c r="K662" s="1"/>
      <c r="L662" s="1"/>
      <c r="M662" s="1"/>
      <c r="N662" s="1"/>
      <c r="O662" s="1"/>
      <c r="P662" s="1"/>
      <c r="Q662" s="1"/>
      <c r="R662" s="1"/>
      <c r="S662" s="1"/>
      <c r="T662" s="1"/>
      <c r="U662" s="1"/>
      <c r="V662" s="1"/>
      <c r="W662" s="1"/>
      <c r="X662" s="1"/>
    </row>
    <row r="663" spans="1:24" ht="12.75" customHeight="1" x14ac:dyDescent="0.2">
      <c r="A663" s="1"/>
      <c r="B663" s="1"/>
      <c r="C663" s="89"/>
      <c r="D663" s="89"/>
      <c r="E663" s="93"/>
      <c r="F663" s="93"/>
      <c r="G663" s="1"/>
      <c r="H663" s="1"/>
      <c r="I663" s="1"/>
      <c r="J663" s="1"/>
      <c r="K663" s="1"/>
      <c r="L663" s="1"/>
      <c r="M663" s="1"/>
      <c r="N663" s="1"/>
      <c r="O663" s="1"/>
      <c r="P663" s="1"/>
      <c r="Q663" s="1"/>
      <c r="R663" s="1"/>
      <c r="S663" s="1"/>
      <c r="T663" s="1"/>
      <c r="U663" s="1"/>
      <c r="V663" s="1"/>
      <c r="W663" s="1"/>
      <c r="X663" s="1"/>
    </row>
    <row r="664" spans="1:24" ht="12.75" customHeight="1" x14ac:dyDescent="0.2">
      <c r="A664" s="1"/>
      <c r="B664" s="1"/>
      <c r="C664" s="89"/>
      <c r="D664" s="89"/>
      <c r="E664" s="93"/>
      <c r="F664" s="93"/>
      <c r="G664" s="1"/>
      <c r="H664" s="1"/>
      <c r="I664" s="1"/>
      <c r="J664" s="1"/>
      <c r="K664" s="1"/>
      <c r="L664" s="1"/>
      <c r="M664" s="1"/>
      <c r="N664" s="1"/>
      <c r="O664" s="1"/>
      <c r="P664" s="1"/>
      <c r="Q664" s="1"/>
      <c r="R664" s="1"/>
      <c r="S664" s="1"/>
      <c r="T664" s="1"/>
      <c r="U664" s="1"/>
      <c r="V664" s="1"/>
      <c r="W664" s="1"/>
      <c r="X664" s="1"/>
    </row>
    <row r="665" spans="1:24" ht="12.75" customHeight="1" x14ac:dyDescent="0.2">
      <c r="A665" s="1"/>
      <c r="B665" s="1"/>
      <c r="C665" s="89"/>
      <c r="D665" s="89"/>
      <c r="E665" s="93"/>
      <c r="F665" s="93"/>
      <c r="G665" s="1"/>
      <c r="H665" s="1"/>
      <c r="I665" s="1"/>
      <c r="J665" s="1"/>
      <c r="K665" s="1"/>
      <c r="L665" s="1"/>
      <c r="M665" s="1"/>
      <c r="N665" s="1"/>
      <c r="O665" s="1"/>
      <c r="P665" s="1"/>
      <c r="Q665" s="1"/>
      <c r="R665" s="1"/>
      <c r="S665" s="1"/>
      <c r="T665" s="1"/>
      <c r="U665" s="1"/>
      <c r="V665" s="1"/>
      <c r="W665" s="1"/>
      <c r="X665" s="1"/>
    </row>
    <row r="666" spans="1:24" ht="12.75" customHeight="1" x14ac:dyDescent="0.2">
      <c r="A666" s="1"/>
      <c r="B666" s="1"/>
      <c r="C666" s="89"/>
      <c r="D666" s="89"/>
      <c r="E666" s="93"/>
      <c r="F666" s="93"/>
      <c r="G666" s="1"/>
      <c r="H666" s="1"/>
      <c r="I666" s="1"/>
      <c r="J666" s="1"/>
      <c r="K666" s="1"/>
      <c r="L666" s="1"/>
      <c r="M666" s="1"/>
      <c r="N666" s="1"/>
      <c r="O666" s="1"/>
      <c r="P666" s="1"/>
      <c r="Q666" s="1"/>
      <c r="R666" s="1"/>
      <c r="S666" s="1"/>
      <c r="T666" s="1"/>
      <c r="U666" s="1"/>
      <c r="V666" s="1"/>
      <c r="W666" s="1"/>
      <c r="X666" s="1"/>
    </row>
    <row r="667" spans="1:24" ht="12.75" customHeight="1" x14ac:dyDescent="0.2">
      <c r="A667" s="1"/>
      <c r="B667" s="1"/>
      <c r="C667" s="89"/>
      <c r="D667" s="89"/>
      <c r="E667" s="93"/>
      <c r="F667" s="93"/>
      <c r="G667" s="1"/>
      <c r="H667" s="1"/>
      <c r="I667" s="1"/>
      <c r="J667" s="1"/>
      <c r="K667" s="1"/>
      <c r="L667" s="1"/>
      <c r="M667" s="1"/>
      <c r="N667" s="1"/>
      <c r="O667" s="1"/>
      <c r="P667" s="1"/>
      <c r="Q667" s="1"/>
      <c r="R667" s="1"/>
      <c r="S667" s="1"/>
      <c r="T667" s="1"/>
      <c r="U667" s="1"/>
      <c r="V667" s="1"/>
      <c r="W667" s="1"/>
      <c r="X667" s="1"/>
    </row>
    <row r="668" spans="1:24" ht="12.75" customHeight="1" x14ac:dyDescent="0.2">
      <c r="A668" s="1"/>
      <c r="B668" s="1"/>
      <c r="C668" s="89"/>
      <c r="D668" s="89"/>
      <c r="E668" s="93"/>
      <c r="F668" s="93"/>
      <c r="G668" s="1"/>
      <c r="H668" s="1"/>
      <c r="I668" s="1"/>
      <c r="J668" s="1"/>
      <c r="K668" s="1"/>
      <c r="L668" s="1"/>
      <c r="M668" s="1"/>
      <c r="N668" s="1"/>
      <c r="O668" s="1"/>
      <c r="P668" s="1"/>
      <c r="Q668" s="1"/>
      <c r="R668" s="1"/>
      <c r="S668" s="1"/>
      <c r="T668" s="1"/>
      <c r="U668" s="1"/>
      <c r="V668" s="1"/>
      <c r="W668" s="1"/>
      <c r="X668" s="1"/>
    </row>
    <row r="669" spans="1:24" ht="12.75" customHeight="1" x14ac:dyDescent="0.2">
      <c r="A669" s="1"/>
      <c r="B669" s="1"/>
      <c r="C669" s="89"/>
      <c r="D669" s="89"/>
      <c r="E669" s="93"/>
      <c r="F669" s="93"/>
      <c r="G669" s="1"/>
      <c r="H669" s="1"/>
      <c r="I669" s="1"/>
      <c r="J669" s="1"/>
      <c r="K669" s="1"/>
      <c r="L669" s="1"/>
      <c r="M669" s="1"/>
      <c r="N669" s="1"/>
      <c r="O669" s="1"/>
      <c r="P669" s="1"/>
      <c r="Q669" s="1"/>
      <c r="R669" s="1"/>
      <c r="S669" s="1"/>
      <c r="T669" s="1"/>
      <c r="U669" s="1"/>
      <c r="V669" s="1"/>
      <c r="W669" s="1"/>
      <c r="X669" s="1"/>
    </row>
    <row r="670" spans="1:24" ht="12.75" customHeight="1" x14ac:dyDescent="0.2">
      <c r="A670" s="1"/>
      <c r="B670" s="1"/>
      <c r="C670" s="89"/>
      <c r="D670" s="89"/>
      <c r="E670" s="93"/>
      <c r="F670" s="93"/>
      <c r="G670" s="1"/>
      <c r="H670" s="1"/>
      <c r="I670" s="1"/>
      <c r="J670" s="1"/>
      <c r="K670" s="1"/>
      <c r="L670" s="1"/>
      <c r="M670" s="1"/>
      <c r="N670" s="1"/>
      <c r="O670" s="1"/>
      <c r="P670" s="1"/>
      <c r="Q670" s="1"/>
      <c r="R670" s="1"/>
      <c r="S670" s="1"/>
      <c r="T670" s="1"/>
      <c r="U670" s="1"/>
      <c r="V670" s="1"/>
      <c r="W670" s="1"/>
      <c r="X670" s="1"/>
    </row>
    <row r="671" spans="1:24" ht="12.75" customHeight="1" x14ac:dyDescent="0.2">
      <c r="A671" s="1"/>
      <c r="B671" s="1"/>
      <c r="C671" s="89"/>
      <c r="D671" s="89"/>
      <c r="E671" s="93"/>
      <c r="F671" s="93"/>
      <c r="G671" s="1"/>
      <c r="H671" s="1"/>
      <c r="I671" s="1"/>
      <c r="J671" s="1"/>
      <c r="K671" s="1"/>
      <c r="L671" s="1"/>
      <c r="M671" s="1"/>
      <c r="N671" s="1"/>
      <c r="O671" s="1"/>
      <c r="P671" s="1"/>
      <c r="Q671" s="1"/>
      <c r="R671" s="1"/>
      <c r="S671" s="1"/>
      <c r="T671" s="1"/>
      <c r="U671" s="1"/>
      <c r="V671" s="1"/>
      <c r="W671" s="1"/>
      <c r="X671" s="1"/>
    </row>
    <row r="672" spans="1:24" ht="12.75" customHeight="1" x14ac:dyDescent="0.2">
      <c r="A672" s="1"/>
      <c r="B672" s="1"/>
      <c r="C672" s="89"/>
      <c r="D672" s="89"/>
      <c r="E672" s="93"/>
      <c r="F672" s="93"/>
      <c r="G672" s="1"/>
      <c r="H672" s="1"/>
      <c r="I672" s="1"/>
      <c r="J672" s="1"/>
      <c r="K672" s="1"/>
      <c r="L672" s="1"/>
      <c r="M672" s="1"/>
      <c r="N672" s="1"/>
      <c r="O672" s="1"/>
      <c r="P672" s="1"/>
      <c r="Q672" s="1"/>
      <c r="R672" s="1"/>
      <c r="S672" s="1"/>
      <c r="T672" s="1"/>
      <c r="U672" s="1"/>
      <c r="V672" s="1"/>
      <c r="W672" s="1"/>
      <c r="X672" s="1"/>
    </row>
    <row r="673" spans="1:24" ht="12.75" customHeight="1" x14ac:dyDescent="0.2">
      <c r="A673" s="1"/>
      <c r="B673" s="1"/>
      <c r="C673" s="89"/>
      <c r="D673" s="89"/>
      <c r="E673" s="93"/>
      <c r="F673" s="93"/>
      <c r="G673" s="1"/>
      <c r="H673" s="1"/>
      <c r="I673" s="1"/>
      <c r="J673" s="1"/>
      <c r="K673" s="1"/>
      <c r="L673" s="1"/>
      <c r="M673" s="1"/>
      <c r="N673" s="1"/>
      <c r="O673" s="1"/>
      <c r="P673" s="1"/>
      <c r="Q673" s="1"/>
      <c r="R673" s="1"/>
      <c r="S673" s="1"/>
      <c r="T673" s="1"/>
      <c r="U673" s="1"/>
      <c r="V673" s="1"/>
      <c r="W673" s="1"/>
      <c r="X673" s="1"/>
    </row>
    <row r="674" spans="1:24" ht="12.75" customHeight="1" x14ac:dyDescent="0.2">
      <c r="A674" s="1"/>
      <c r="B674" s="1"/>
      <c r="C674" s="89"/>
      <c r="D674" s="89"/>
      <c r="E674" s="93"/>
      <c r="F674" s="93"/>
      <c r="G674" s="1"/>
      <c r="H674" s="1"/>
      <c r="I674" s="1"/>
      <c r="J674" s="1"/>
      <c r="K674" s="1"/>
      <c r="L674" s="1"/>
      <c r="M674" s="1"/>
      <c r="N674" s="1"/>
      <c r="O674" s="1"/>
      <c r="P674" s="1"/>
      <c r="Q674" s="1"/>
      <c r="R674" s="1"/>
      <c r="S674" s="1"/>
      <c r="T674" s="1"/>
      <c r="U674" s="1"/>
      <c r="V674" s="1"/>
      <c r="W674" s="1"/>
      <c r="X674" s="1"/>
    </row>
    <row r="675" spans="1:24" ht="12.75" customHeight="1" x14ac:dyDescent="0.2">
      <c r="A675" s="1"/>
      <c r="B675" s="1"/>
      <c r="C675" s="89"/>
      <c r="D675" s="89"/>
      <c r="E675" s="93"/>
      <c r="F675" s="93"/>
      <c r="G675" s="1"/>
      <c r="H675" s="1"/>
      <c r="I675" s="1"/>
      <c r="J675" s="1"/>
      <c r="K675" s="1"/>
      <c r="L675" s="1"/>
      <c r="M675" s="1"/>
      <c r="N675" s="1"/>
      <c r="O675" s="1"/>
      <c r="P675" s="1"/>
      <c r="Q675" s="1"/>
      <c r="R675" s="1"/>
      <c r="S675" s="1"/>
      <c r="T675" s="1"/>
      <c r="U675" s="1"/>
      <c r="V675" s="1"/>
      <c r="W675" s="1"/>
      <c r="X675" s="1"/>
    </row>
    <row r="676" spans="1:24" ht="12.75" customHeight="1" x14ac:dyDescent="0.2">
      <c r="A676" s="1"/>
      <c r="B676" s="1"/>
      <c r="C676" s="89"/>
      <c r="D676" s="89"/>
      <c r="E676" s="93"/>
      <c r="F676" s="93"/>
      <c r="G676" s="1"/>
      <c r="H676" s="1"/>
      <c r="I676" s="1"/>
      <c r="J676" s="1"/>
      <c r="K676" s="1"/>
      <c r="L676" s="1"/>
      <c r="M676" s="1"/>
      <c r="N676" s="1"/>
      <c r="O676" s="1"/>
      <c r="P676" s="1"/>
      <c r="Q676" s="1"/>
      <c r="R676" s="1"/>
      <c r="S676" s="1"/>
      <c r="T676" s="1"/>
      <c r="U676" s="1"/>
      <c r="V676" s="1"/>
      <c r="W676" s="1"/>
      <c r="X676" s="1"/>
    </row>
    <row r="677" spans="1:24" ht="12.75" customHeight="1" x14ac:dyDescent="0.2">
      <c r="A677" s="1"/>
      <c r="B677" s="1"/>
      <c r="C677" s="89"/>
      <c r="D677" s="89"/>
      <c r="E677" s="93"/>
      <c r="F677" s="93"/>
      <c r="G677" s="1"/>
      <c r="H677" s="1"/>
      <c r="I677" s="1"/>
      <c r="J677" s="1"/>
      <c r="K677" s="1"/>
      <c r="L677" s="1"/>
      <c r="M677" s="1"/>
      <c r="N677" s="1"/>
      <c r="O677" s="1"/>
      <c r="P677" s="1"/>
      <c r="Q677" s="1"/>
      <c r="R677" s="1"/>
      <c r="S677" s="1"/>
      <c r="T677" s="1"/>
      <c r="U677" s="1"/>
      <c r="V677" s="1"/>
      <c r="W677" s="1"/>
      <c r="X677" s="1"/>
    </row>
    <row r="678" spans="1:24" ht="12.75" customHeight="1" x14ac:dyDescent="0.2">
      <c r="A678" s="1"/>
      <c r="B678" s="1"/>
      <c r="C678" s="89"/>
      <c r="D678" s="89"/>
      <c r="E678" s="93"/>
      <c r="F678" s="93"/>
      <c r="G678" s="1"/>
      <c r="H678" s="1"/>
      <c r="I678" s="1"/>
      <c r="J678" s="1"/>
      <c r="K678" s="1"/>
      <c r="L678" s="1"/>
      <c r="M678" s="1"/>
      <c r="N678" s="1"/>
      <c r="O678" s="1"/>
      <c r="P678" s="1"/>
      <c r="Q678" s="1"/>
      <c r="R678" s="1"/>
      <c r="S678" s="1"/>
      <c r="T678" s="1"/>
      <c r="U678" s="1"/>
      <c r="V678" s="1"/>
      <c r="W678" s="1"/>
      <c r="X678" s="1"/>
    </row>
    <row r="679" spans="1:24" ht="12.75" customHeight="1" x14ac:dyDescent="0.2">
      <c r="A679" s="1"/>
      <c r="B679" s="1"/>
      <c r="C679" s="89"/>
      <c r="D679" s="89"/>
      <c r="E679" s="93"/>
      <c r="F679" s="93"/>
      <c r="G679" s="1"/>
      <c r="H679" s="1"/>
      <c r="I679" s="1"/>
      <c r="J679" s="1"/>
      <c r="K679" s="1"/>
      <c r="L679" s="1"/>
      <c r="M679" s="1"/>
      <c r="N679" s="1"/>
      <c r="O679" s="1"/>
      <c r="P679" s="1"/>
      <c r="Q679" s="1"/>
      <c r="R679" s="1"/>
      <c r="S679" s="1"/>
      <c r="T679" s="1"/>
      <c r="U679" s="1"/>
      <c r="V679" s="1"/>
      <c r="W679" s="1"/>
      <c r="X679" s="1"/>
    </row>
    <row r="680" spans="1:24" ht="12.75" customHeight="1" x14ac:dyDescent="0.2">
      <c r="A680" s="1"/>
      <c r="B680" s="1"/>
      <c r="C680" s="89"/>
      <c r="D680" s="89"/>
      <c r="E680" s="93"/>
      <c r="F680" s="93"/>
      <c r="G680" s="1"/>
      <c r="H680" s="1"/>
      <c r="I680" s="1"/>
      <c r="J680" s="1"/>
      <c r="K680" s="1"/>
      <c r="L680" s="1"/>
      <c r="M680" s="1"/>
      <c r="N680" s="1"/>
      <c r="O680" s="1"/>
      <c r="P680" s="1"/>
      <c r="Q680" s="1"/>
      <c r="R680" s="1"/>
      <c r="S680" s="1"/>
      <c r="T680" s="1"/>
      <c r="U680" s="1"/>
      <c r="V680" s="1"/>
      <c r="W680" s="1"/>
      <c r="X680" s="1"/>
    </row>
    <row r="681" spans="1:24" ht="12.75" customHeight="1" x14ac:dyDescent="0.2">
      <c r="A681" s="1"/>
      <c r="B681" s="1"/>
      <c r="C681" s="89"/>
      <c r="D681" s="89"/>
      <c r="E681" s="93"/>
      <c r="F681" s="93"/>
      <c r="G681" s="1"/>
      <c r="H681" s="1"/>
      <c r="I681" s="1"/>
      <c r="J681" s="1"/>
      <c r="K681" s="1"/>
      <c r="L681" s="1"/>
      <c r="M681" s="1"/>
      <c r="N681" s="1"/>
      <c r="O681" s="1"/>
      <c r="P681" s="1"/>
      <c r="Q681" s="1"/>
      <c r="R681" s="1"/>
      <c r="S681" s="1"/>
      <c r="T681" s="1"/>
      <c r="U681" s="1"/>
      <c r="V681" s="1"/>
      <c r="W681" s="1"/>
      <c r="X681" s="1"/>
    </row>
    <row r="682" spans="1:24" ht="12.75" customHeight="1" x14ac:dyDescent="0.2">
      <c r="A682" s="1"/>
      <c r="B682" s="1"/>
      <c r="C682" s="89"/>
      <c r="D682" s="89"/>
      <c r="E682" s="93"/>
      <c r="F682" s="93"/>
      <c r="G682" s="1"/>
      <c r="H682" s="1"/>
      <c r="I682" s="1"/>
      <c r="J682" s="1"/>
      <c r="K682" s="1"/>
      <c r="L682" s="1"/>
      <c r="M682" s="1"/>
      <c r="N682" s="1"/>
      <c r="O682" s="1"/>
      <c r="P682" s="1"/>
      <c r="Q682" s="1"/>
      <c r="R682" s="1"/>
      <c r="S682" s="1"/>
      <c r="T682" s="1"/>
      <c r="U682" s="1"/>
      <c r="V682" s="1"/>
      <c r="W682" s="1"/>
      <c r="X682" s="1"/>
    </row>
    <row r="683" spans="1:24" ht="12.75" customHeight="1" x14ac:dyDescent="0.2">
      <c r="A683" s="1"/>
      <c r="B683" s="1"/>
      <c r="C683" s="89"/>
      <c r="D683" s="89"/>
      <c r="E683" s="93"/>
      <c r="F683" s="93"/>
      <c r="G683" s="1"/>
      <c r="H683" s="1"/>
      <c r="I683" s="1"/>
      <c r="J683" s="1"/>
      <c r="K683" s="1"/>
      <c r="L683" s="1"/>
      <c r="M683" s="1"/>
      <c r="N683" s="1"/>
      <c r="O683" s="1"/>
      <c r="P683" s="1"/>
      <c r="Q683" s="1"/>
      <c r="R683" s="1"/>
      <c r="S683" s="1"/>
      <c r="T683" s="1"/>
      <c r="U683" s="1"/>
      <c r="V683" s="1"/>
      <c r="W683" s="1"/>
      <c r="X683" s="1"/>
    </row>
    <row r="684" spans="1:24" ht="12.75" customHeight="1" x14ac:dyDescent="0.2">
      <c r="A684" s="1"/>
      <c r="B684" s="1"/>
      <c r="C684" s="89"/>
      <c r="D684" s="89"/>
      <c r="E684" s="93"/>
      <c r="F684" s="93"/>
      <c r="G684" s="1"/>
      <c r="H684" s="1"/>
      <c r="I684" s="1"/>
      <c r="J684" s="1"/>
      <c r="K684" s="1"/>
      <c r="L684" s="1"/>
      <c r="M684" s="1"/>
      <c r="N684" s="1"/>
      <c r="O684" s="1"/>
      <c r="P684" s="1"/>
      <c r="Q684" s="1"/>
      <c r="R684" s="1"/>
      <c r="S684" s="1"/>
      <c r="T684" s="1"/>
      <c r="U684" s="1"/>
      <c r="V684" s="1"/>
      <c r="W684" s="1"/>
      <c r="X684" s="1"/>
    </row>
    <row r="685" spans="1:24" ht="12.75" customHeight="1" x14ac:dyDescent="0.2">
      <c r="A685" s="1"/>
      <c r="B685" s="1"/>
      <c r="C685" s="89"/>
      <c r="D685" s="89"/>
      <c r="E685" s="93"/>
      <c r="F685" s="93"/>
      <c r="G685" s="1"/>
      <c r="H685" s="1"/>
      <c r="I685" s="1"/>
      <c r="J685" s="1"/>
      <c r="K685" s="1"/>
      <c r="L685" s="1"/>
      <c r="M685" s="1"/>
      <c r="N685" s="1"/>
      <c r="O685" s="1"/>
      <c r="P685" s="1"/>
      <c r="Q685" s="1"/>
      <c r="R685" s="1"/>
      <c r="S685" s="1"/>
      <c r="T685" s="1"/>
      <c r="U685" s="1"/>
      <c r="V685" s="1"/>
      <c r="W685" s="1"/>
      <c r="X685" s="1"/>
    </row>
    <row r="686" spans="1:24" ht="12.75" customHeight="1" x14ac:dyDescent="0.2">
      <c r="A686" s="1"/>
      <c r="B686" s="1"/>
      <c r="C686" s="89"/>
      <c r="D686" s="89"/>
      <c r="E686" s="93"/>
      <c r="F686" s="93"/>
      <c r="G686" s="1"/>
      <c r="H686" s="1"/>
      <c r="I686" s="1"/>
      <c r="J686" s="1"/>
      <c r="K686" s="1"/>
      <c r="L686" s="1"/>
      <c r="M686" s="1"/>
      <c r="N686" s="1"/>
      <c r="O686" s="1"/>
      <c r="P686" s="1"/>
      <c r="Q686" s="1"/>
      <c r="R686" s="1"/>
      <c r="S686" s="1"/>
      <c r="T686" s="1"/>
      <c r="U686" s="1"/>
      <c r="V686" s="1"/>
      <c r="W686" s="1"/>
      <c r="X686" s="1"/>
    </row>
    <row r="687" spans="1:24" ht="12.75" customHeight="1" x14ac:dyDescent="0.2">
      <c r="A687" s="1"/>
      <c r="B687" s="1"/>
      <c r="C687" s="89"/>
      <c r="D687" s="89"/>
      <c r="E687" s="93"/>
      <c r="F687" s="93"/>
      <c r="G687" s="1"/>
      <c r="H687" s="1"/>
      <c r="I687" s="1"/>
      <c r="J687" s="1"/>
      <c r="K687" s="1"/>
      <c r="L687" s="1"/>
      <c r="M687" s="1"/>
      <c r="N687" s="1"/>
      <c r="O687" s="1"/>
      <c r="P687" s="1"/>
      <c r="Q687" s="1"/>
      <c r="R687" s="1"/>
      <c r="S687" s="1"/>
      <c r="T687" s="1"/>
      <c r="U687" s="1"/>
      <c r="V687" s="1"/>
      <c r="W687" s="1"/>
      <c r="X687" s="1"/>
    </row>
    <row r="688" spans="1:24" ht="12.75" customHeight="1" x14ac:dyDescent="0.2">
      <c r="A688" s="1"/>
      <c r="B688" s="1"/>
      <c r="C688" s="89"/>
      <c r="D688" s="89"/>
      <c r="E688" s="93"/>
      <c r="F688" s="93"/>
      <c r="G688" s="1"/>
      <c r="H688" s="1"/>
      <c r="I688" s="1"/>
      <c r="J688" s="1"/>
      <c r="K688" s="1"/>
      <c r="L688" s="1"/>
      <c r="M688" s="1"/>
      <c r="N688" s="1"/>
      <c r="O688" s="1"/>
      <c r="P688" s="1"/>
      <c r="Q688" s="1"/>
      <c r="R688" s="1"/>
      <c r="S688" s="1"/>
      <c r="T688" s="1"/>
      <c r="U688" s="1"/>
      <c r="V688" s="1"/>
      <c r="W688" s="1"/>
      <c r="X688" s="1"/>
    </row>
    <row r="689" spans="1:24" ht="12.75" customHeight="1" x14ac:dyDescent="0.2">
      <c r="A689" s="1"/>
      <c r="B689" s="1"/>
      <c r="C689" s="89"/>
      <c r="D689" s="89"/>
      <c r="E689" s="93"/>
      <c r="F689" s="93"/>
      <c r="G689" s="1"/>
      <c r="H689" s="1"/>
      <c r="I689" s="1"/>
      <c r="J689" s="1"/>
      <c r="K689" s="1"/>
      <c r="L689" s="1"/>
      <c r="M689" s="1"/>
      <c r="N689" s="1"/>
      <c r="O689" s="1"/>
      <c r="P689" s="1"/>
      <c r="Q689" s="1"/>
      <c r="R689" s="1"/>
      <c r="S689" s="1"/>
      <c r="T689" s="1"/>
      <c r="U689" s="1"/>
      <c r="V689" s="1"/>
      <c r="W689" s="1"/>
      <c r="X689" s="1"/>
    </row>
    <row r="690" spans="1:24" ht="12.75" customHeight="1" x14ac:dyDescent="0.2">
      <c r="A690" s="1"/>
      <c r="B690" s="1"/>
      <c r="C690" s="89"/>
      <c r="D690" s="89"/>
      <c r="E690" s="93"/>
      <c r="F690" s="93"/>
      <c r="G690" s="1"/>
      <c r="H690" s="1"/>
      <c r="I690" s="1"/>
      <c r="J690" s="1"/>
      <c r="K690" s="1"/>
      <c r="L690" s="1"/>
      <c r="M690" s="1"/>
      <c r="N690" s="1"/>
      <c r="O690" s="1"/>
      <c r="P690" s="1"/>
      <c r="Q690" s="1"/>
      <c r="R690" s="1"/>
      <c r="S690" s="1"/>
      <c r="T690" s="1"/>
      <c r="U690" s="1"/>
      <c r="V690" s="1"/>
      <c r="W690" s="1"/>
      <c r="X690" s="1"/>
    </row>
    <row r="691" spans="1:24" ht="12.75" customHeight="1" x14ac:dyDescent="0.2">
      <c r="A691" s="1"/>
      <c r="B691" s="1"/>
      <c r="C691" s="89"/>
      <c r="D691" s="89"/>
      <c r="E691" s="93"/>
      <c r="F691" s="93"/>
      <c r="G691" s="1"/>
      <c r="H691" s="1"/>
      <c r="I691" s="1"/>
      <c r="J691" s="1"/>
      <c r="K691" s="1"/>
      <c r="L691" s="1"/>
      <c r="M691" s="1"/>
      <c r="N691" s="1"/>
      <c r="O691" s="1"/>
      <c r="P691" s="1"/>
      <c r="Q691" s="1"/>
      <c r="R691" s="1"/>
      <c r="S691" s="1"/>
      <c r="T691" s="1"/>
      <c r="U691" s="1"/>
      <c r="V691" s="1"/>
      <c r="W691" s="1"/>
      <c r="X691" s="1"/>
    </row>
    <row r="692" spans="1:24" ht="12.75" customHeight="1" x14ac:dyDescent="0.2">
      <c r="A692" s="1"/>
      <c r="B692" s="1"/>
      <c r="C692" s="89"/>
      <c r="D692" s="89"/>
      <c r="E692" s="93"/>
      <c r="F692" s="93"/>
      <c r="G692" s="1"/>
      <c r="H692" s="1"/>
      <c r="I692" s="1"/>
      <c r="J692" s="1"/>
      <c r="K692" s="1"/>
      <c r="L692" s="1"/>
      <c r="M692" s="1"/>
      <c r="N692" s="1"/>
      <c r="O692" s="1"/>
      <c r="P692" s="1"/>
      <c r="Q692" s="1"/>
      <c r="R692" s="1"/>
      <c r="S692" s="1"/>
      <c r="T692" s="1"/>
      <c r="U692" s="1"/>
      <c r="V692" s="1"/>
      <c r="W692" s="1"/>
      <c r="X692" s="1"/>
    </row>
    <row r="693" spans="1:24" ht="12.75" customHeight="1" x14ac:dyDescent="0.2">
      <c r="A693" s="1"/>
      <c r="B693" s="1"/>
      <c r="C693" s="89"/>
      <c r="D693" s="89"/>
      <c r="E693" s="93"/>
      <c r="F693" s="93"/>
      <c r="G693" s="1"/>
      <c r="H693" s="1"/>
      <c r="I693" s="1"/>
      <c r="J693" s="1"/>
      <c r="K693" s="1"/>
      <c r="L693" s="1"/>
      <c r="M693" s="1"/>
      <c r="N693" s="1"/>
      <c r="O693" s="1"/>
      <c r="P693" s="1"/>
      <c r="Q693" s="1"/>
      <c r="R693" s="1"/>
      <c r="S693" s="1"/>
      <c r="T693" s="1"/>
      <c r="U693" s="1"/>
      <c r="V693" s="1"/>
      <c r="W693" s="1"/>
      <c r="X693" s="1"/>
    </row>
    <row r="694" spans="1:24" ht="12.75" customHeight="1" x14ac:dyDescent="0.2">
      <c r="A694" s="1"/>
      <c r="B694" s="1"/>
      <c r="C694" s="89"/>
      <c r="D694" s="89"/>
      <c r="E694" s="93"/>
      <c r="F694" s="93"/>
      <c r="G694" s="1"/>
      <c r="H694" s="1"/>
      <c r="I694" s="1"/>
      <c r="J694" s="1"/>
      <c r="K694" s="1"/>
      <c r="L694" s="1"/>
      <c r="M694" s="1"/>
      <c r="N694" s="1"/>
      <c r="O694" s="1"/>
      <c r="P694" s="1"/>
      <c r="Q694" s="1"/>
      <c r="R694" s="1"/>
      <c r="S694" s="1"/>
      <c r="T694" s="1"/>
      <c r="U694" s="1"/>
      <c r="V694" s="1"/>
      <c r="W694" s="1"/>
      <c r="X694" s="1"/>
    </row>
    <row r="695" spans="1:24" ht="12.75" customHeight="1" x14ac:dyDescent="0.2">
      <c r="A695" s="1"/>
      <c r="B695" s="1"/>
      <c r="C695" s="89"/>
      <c r="D695" s="89"/>
      <c r="E695" s="93"/>
      <c r="F695" s="93"/>
      <c r="G695" s="1"/>
      <c r="H695" s="1"/>
      <c r="I695" s="1"/>
      <c r="J695" s="1"/>
      <c r="K695" s="1"/>
      <c r="L695" s="1"/>
      <c r="M695" s="1"/>
      <c r="N695" s="1"/>
      <c r="O695" s="1"/>
      <c r="P695" s="1"/>
      <c r="Q695" s="1"/>
      <c r="R695" s="1"/>
      <c r="S695" s="1"/>
      <c r="T695" s="1"/>
      <c r="U695" s="1"/>
      <c r="V695" s="1"/>
      <c r="W695" s="1"/>
      <c r="X695" s="1"/>
    </row>
    <row r="696" spans="1:24" ht="12.75" customHeight="1" x14ac:dyDescent="0.2">
      <c r="A696" s="1"/>
      <c r="B696" s="1"/>
      <c r="C696" s="89"/>
      <c r="D696" s="89"/>
      <c r="E696" s="93"/>
      <c r="F696" s="93"/>
      <c r="G696" s="1"/>
      <c r="H696" s="1"/>
      <c r="I696" s="1"/>
      <c r="J696" s="1"/>
      <c r="K696" s="1"/>
      <c r="L696" s="1"/>
      <c r="M696" s="1"/>
      <c r="N696" s="1"/>
      <c r="O696" s="1"/>
      <c r="P696" s="1"/>
      <c r="Q696" s="1"/>
      <c r="R696" s="1"/>
      <c r="S696" s="1"/>
      <c r="T696" s="1"/>
      <c r="U696" s="1"/>
      <c r="V696" s="1"/>
      <c r="W696" s="1"/>
      <c r="X696" s="1"/>
    </row>
    <row r="697" spans="1:24" ht="12.75" customHeight="1" x14ac:dyDescent="0.2">
      <c r="A697" s="1"/>
      <c r="B697" s="1"/>
      <c r="C697" s="89"/>
      <c r="D697" s="89"/>
      <c r="E697" s="93"/>
      <c r="F697" s="93"/>
      <c r="G697" s="1"/>
      <c r="H697" s="1"/>
      <c r="I697" s="1"/>
      <c r="J697" s="1"/>
      <c r="K697" s="1"/>
      <c r="L697" s="1"/>
      <c r="M697" s="1"/>
      <c r="N697" s="1"/>
      <c r="O697" s="1"/>
      <c r="P697" s="1"/>
      <c r="Q697" s="1"/>
      <c r="R697" s="1"/>
      <c r="S697" s="1"/>
      <c r="T697" s="1"/>
      <c r="U697" s="1"/>
      <c r="V697" s="1"/>
      <c r="W697" s="1"/>
      <c r="X697" s="1"/>
    </row>
    <row r="698" spans="1:24" ht="12.75" customHeight="1" x14ac:dyDescent="0.2">
      <c r="A698" s="1"/>
      <c r="B698" s="1"/>
      <c r="C698" s="89"/>
      <c r="D698" s="89"/>
      <c r="E698" s="93"/>
      <c r="F698" s="93"/>
      <c r="G698" s="1"/>
      <c r="H698" s="1"/>
      <c r="I698" s="1"/>
      <c r="J698" s="1"/>
      <c r="K698" s="1"/>
      <c r="L698" s="1"/>
      <c r="M698" s="1"/>
      <c r="N698" s="1"/>
      <c r="O698" s="1"/>
      <c r="P698" s="1"/>
      <c r="Q698" s="1"/>
      <c r="R698" s="1"/>
      <c r="S698" s="1"/>
      <c r="T698" s="1"/>
      <c r="U698" s="1"/>
      <c r="V698" s="1"/>
      <c r="W698" s="1"/>
      <c r="X698" s="1"/>
    </row>
    <row r="699" spans="1:24" ht="12.75" customHeight="1" x14ac:dyDescent="0.2">
      <c r="A699" s="1"/>
      <c r="B699" s="1"/>
      <c r="C699" s="89"/>
      <c r="D699" s="89"/>
      <c r="E699" s="93"/>
      <c r="F699" s="93"/>
      <c r="G699" s="1"/>
      <c r="H699" s="1"/>
      <c r="I699" s="1"/>
      <c r="J699" s="1"/>
      <c r="K699" s="1"/>
      <c r="L699" s="1"/>
      <c r="M699" s="1"/>
      <c r="N699" s="1"/>
      <c r="O699" s="1"/>
      <c r="P699" s="1"/>
      <c r="Q699" s="1"/>
      <c r="R699" s="1"/>
      <c r="S699" s="1"/>
      <c r="T699" s="1"/>
      <c r="U699" s="1"/>
      <c r="V699" s="1"/>
      <c r="W699" s="1"/>
      <c r="X699" s="1"/>
    </row>
    <row r="700" spans="1:24" ht="12.75" customHeight="1" x14ac:dyDescent="0.2">
      <c r="A700" s="1"/>
      <c r="B700" s="1"/>
      <c r="C700" s="89"/>
      <c r="D700" s="89"/>
      <c r="E700" s="93"/>
      <c r="F700" s="93"/>
      <c r="G700" s="1"/>
      <c r="H700" s="1"/>
      <c r="I700" s="1"/>
      <c r="J700" s="1"/>
      <c r="K700" s="1"/>
      <c r="L700" s="1"/>
      <c r="M700" s="1"/>
      <c r="N700" s="1"/>
      <c r="O700" s="1"/>
      <c r="P700" s="1"/>
      <c r="Q700" s="1"/>
      <c r="R700" s="1"/>
      <c r="S700" s="1"/>
      <c r="T700" s="1"/>
      <c r="U700" s="1"/>
      <c r="V700" s="1"/>
      <c r="W700" s="1"/>
      <c r="X700" s="1"/>
    </row>
    <row r="701" spans="1:24" ht="12.75" customHeight="1" x14ac:dyDescent="0.2">
      <c r="A701" s="1"/>
      <c r="B701" s="1"/>
      <c r="C701" s="89"/>
      <c r="D701" s="89"/>
      <c r="E701" s="93"/>
      <c r="F701" s="93"/>
      <c r="G701" s="1"/>
      <c r="H701" s="1"/>
      <c r="I701" s="1"/>
      <c r="J701" s="1"/>
      <c r="K701" s="1"/>
      <c r="L701" s="1"/>
      <c r="M701" s="1"/>
      <c r="N701" s="1"/>
      <c r="O701" s="1"/>
      <c r="P701" s="1"/>
      <c r="Q701" s="1"/>
      <c r="R701" s="1"/>
      <c r="S701" s="1"/>
      <c r="T701" s="1"/>
      <c r="U701" s="1"/>
      <c r="V701" s="1"/>
      <c r="W701" s="1"/>
      <c r="X701" s="1"/>
    </row>
    <row r="702" spans="1:24" ht="12.75" customHeight="1" x14ac:dyDescent="0.2">
      <c r="A702" s="1"/>
      <c r="B702" s="1"/>
      <c r="C702" s="89"/>
      <c r="D702" s="89"/>
      <c r="E702" s="93"/>
      <c r="F702" s="93"/>
      <c r="G702" s="1"/>
      <c r="H702" s="1"/>
      <c r="I702" s="1"/>
      <c r="J702" s="1"/>
      <c r="K702" s="1"/>
      <c r="L702" s="1"/>
      <c r="M702" s="1"/>
      <c r="N702" s="1"/>
      <c r="O702" s="1"/>
      <c r="P702" s="1"/>
      <c r="Q702" s="1"/>
      <c r="R702" s="1"/>
      <c r="S702" s="1"/>
      <c r="T702" s="1"/>
      <c r="U702" s="1"/>
      <c r="V702" s="1"/>
      <c r="W702" s="1"/>
      <c r="X702" s="1"/>
    </row>
    <row r="703" spans="1:24" ht="12.75" customHeight="1" x14ac:dyDescent="0.2">
      <c r="A703" s="1"/>
      <c r="B703" s="1"/>
      <c r="C703" s="89"/>
      <c r="D703" s="89"/>
      <c r="E703" s="93"/>
      <c r="F703" s="93"/>
      <c r="G703" s="1"/>
      <c r="H703" s="1"/>
      <c r="I703" s="1"/>
      <c r="J703" s="1"/>
      <c r="K703" s="1"/>
      <c r="L703" s="1"/>
      <c r="M703" s="1"/>
      <c r="N703" s="1"/>
      <c r="O703" s="1"/>
      <c r="P703" s="1"/>
      <c r="Q703" s="1"/>
      <c r="R703" s="1"/>
      <c r="S703" s="1"/>
      <c r="T703" s="1"/>
      <c r="U703" s="1"/>
      <c r="V703" s="1"/>
      <c r="W703" s="1"/>
      <c r="X703" s="1"/>
    </row>
    <row r="704" spans="1:24" ht="12.75" customHeight="1" x14ac:dyDescent="0.2">
      <c r="A704" s="1"/>
      <c r="B704" s="1"/>
      <c r="C704" s="89"/>
      <c r="D704" s="89"/>
      <c r="E704" s="93"/>
      <c r="F704" s="93"/>
      <c r="G704" s="1"/>
      <c r="H704" s="1"/>
      <c r="I704" s="1"/>
      <c r="J704" s="1"/>
      <c r="K704" s="1"/>
      <c r="L704" s="1"/>
      <c r="M704" s="1"/>
      <c r="N704" s="1"/>
      <c r="O704" s="1"/>
      <c r="P704" s="1"/>
      <c r="Q704" s="1"/>
      <c r="R704" s="1"/>
      <c r="S704" s="1"/>
      <c r="T704" s="1"/>
      <c r="U704" s="1"/>
      <c r="V704" s="1"/>
      <c r="W704" s="1"/>
      <c r="X704" s="1"/>
    </row>
    <row r="705" spans="1:24" ht="12.75" customHeight="1" x14ac:dyDescent="0.2">
      <c r="A705" s="1"/>
      <c r="B705" s="1"/>
      <c r="C705" s="89"/>
      <c r="D705" s="89"/>
      <c r="E705" s="93"/>
      <c r="F705" s="93"/>
      <c r="G705" s="1"/>
      <c r="H705" s="1"/>
      <c r="I705" s="1"/>
      <c r="J705" s="1"/>
      <c r="K705" s="1"/>
      <c r="L705" s="1"/>
      <c r="M705" s="1"/>
      <c r="N705" s="1"/>
      <c r="O705" s="1"/>
      <c r="P705" s="1"/>
      <c r="Q705" s="1"/>
      <c r="R705" s="1"/>
      <c r="S705" s="1"/>
      <c r="T705" s="1"/>
      <c r="U705" s="1"/>
      <c r="V705" s="1"/>
      <c r="W705" s="1"/>
      <c r="X705" s="1"/>
    </row>
    <row r="706" spans="1:24" ht="12.75" customHeight="1" x14ac:dyDescent="0.2">
      <c r="A706" s="1"/>
      <c r="B706" s="1"/>
      <c r="C706" s="89"/>
      <c r="D706" s="89"/>
      <c r="E706" s="93"/>
      <c r="F706" s="93"/>
      <c r="G706" s="1"/>
      <c r="H706" s="1"/>
      <c r="I706" s="1"/>
      <c r="J706" s="1"/>
      <c r="K706" s="1"/>
      <c r="L706" s="1"/>
      <c r="M706" s="1"/>
      <c r="N706" s="1"/>
      <c r="O706" s="1"/>
      <c r="P706" s="1"/>
      <c r="Q706" s="1"/>
      <c r="R706" s="1"/>
      <c r="S706" s="1"/>
      <c r="T706" s="1"/>
      <c r="U706" s="1"/>
      <c r="V706" s="1"/>
      <c r="W706" s="1"/>
      <c r="X706" s="1"/>
    </row>
    <row r="707" spans="1:24" ht="12.75" customHeight="1" x14ac:dyDescent="0.2">
      <c r="A707" s="1"/>
      <c r="B707" s="1"/>
      <c r="C707" s="89"/>
      <c r="D707" s="89"/>
      <c r="E707" s="93"/>
      <c r="F707" s="93"/>
      <c r="G707" s="1"/>
      <c r="H707" s="1"/>
      <c r="I707" s="1"/>
      <c r="J707" s="1"/>
      <c r="K707" s="1"/>
      <c r="L707" s="1"/>
      <c r="M707" s="1"/>
      <c r="N707" s="1"/>
      <c r="O707" s="1"/>
      <c r="P707" s="1"/>
      <c r="Q707" s="1"/>
      <c r="R707" s="1"/>
      <c r="S707" s="1"/>
      <c r="T707" s="1"/>
      <c r="U707" s="1"/>
      <c r="V707" s="1"/>
      <c r="W707" s="1"/>
      <c r="X707" s="1"/>
    </row>
    <row r="708" spans="1:24" ht="12.75" customHeight="1" x14ac:dyDescent="0.2">
      <c r="A708" s="1"/>
      <c r="B708" s="1"/>
      <c r="C708" s="89"/>
      <c r="D708" s="89"/>
      <c r="E708" s="93"/>
      <c r="F708" s="93"/>
      <c r="G708" s="1"/>
      <c r="H708" s="1"/>
      <c r="I708" s="1"/>
      <c r="J708" s="1"/>
      <c r="K708" s="1"/>
      <c r="L708" s="1"/>
      <c r="M708" s="1"/>
      <c r="N708" s="1"/>
      <c r="O708" s="1"/>
      <c r="P708" s="1"/>
      <c r="Q708" s="1"/>
      <c r="R708" s="1"/>
      <c r="S708" s="1"/>
      <c r="T708" s="1"/>
      <c r="U708" s="1"/>
      <c r="V708" s="1"/>
      <c r="W708" s="1"/>
      <c r="X708" s="1"/>
    </row>
    <row r="709" spans="1:24" ht="12.75" customHeight="1" x14ac:dyDescent="0.2">
      <c r="A709" s="1"/>
      <c r="B709" s="1"/>
      <c r="C709" s="89"/>
      <c r="D709" s="89"/>
      <c r="E709" s="93"/>
      <c r="F709" s="93"/>
      <c r="G709" s="1"/>
      <c r="H709" s="1"/>
      <c r="I709" s="1"/>
      <c r="J709" s="1"/>
      <c r="K709" s="1"/>
      <c r="L709" s="1"/>
      <c r="M709" s="1"/>
      <c r="N709" s="1"/>
      <c r="O709" s="1"/>
      <c r="P709" s="1"/>
      <c r="Q709" s="1"/>
      <c r="R709" s="1"/>
      <c r="S709" s="1"/>
      <c r="T709" s="1"/>
      <c r="U709" s="1"/>
      <c r="V709" s="1"/>
      <c r="W709" s="1"/>
      <c r="X709" s="1"/>
    </row>
    <row r="710" spans="1:24" ht="12.75" customHeight="1" x14ac:dyDescent="0.2">
      <c r="A710" s="1"/>
      <c r="B710" s="1"/>
      <c r="C710" s="89"/>
      <c r="D710" s="89"/>
      <c r="E710" s="93"/>
      <c r="F710" s="93"/>
      <c r="G710" s="1"/>
      <c r="H710" s="1"/>
      <c r="I710" s="1"/>
      <c r="J710" s="1"/>
      <c r="K710" s="1"/>
      <c r="L710" s="1"/>
      <c r="M710" s="1"/>
      <c r="N710" s="1"/>
      <c r="O710" s="1"/>
      <c r="P710" s="1"/>
      <c r="Q710" s="1"/>
      <c r="R710" s="1"/>
      <c r="S710" s="1"/>
      <c r="T710" s="1"/>
      <c r="U710" s="1"/>
      <c r="V710" s="1"/>
      <c r="W710" s="1"/>
      <c r="X710" s="1"/>
    </row>
    <row r="711" spans="1:24" ht="12.75" customHeight="1" x14ac:dyDescent="0.2">
      <c r="A711" s="1"/>
      <c r="B711" s="1"/>
      <c r="C711" s="89"/>
      <c r="D711" s="89"/>
      <c r="E711" s="93"/>
      <c r="F711" s="93"/>
      <c r="G711" s="1"/>
      <c r="H711" s="1"/>
      <c r="I711" s="1"/>
      <c r="J711" s="1"/>
      <c r="K711" s="1"/>
      <c r="L711" s="1"/>
      <c r="M711" s="1"/>
      <c r="N711" s="1"/>
      <c r="O711" s="1"/>
      <c r="P711" s="1"/>
      <c r="Q711" s="1"/>
      <c r="R711" s="1"/>
      <c r="S711" s="1"/>
      <c r="T711" s="1"/>
      <c r="U711" s="1"/>
      <c r="V711" s="1"/>
      <c r="W711" s="1"/>
      <c r="X711" s="1"/>
    </row>
    <row r="712" spans="1:24" ht="12.75" customHeight="1" x14ac:dyDescent="0.2">
      <c r="A712" s="1"/>
      <c r="B712" s="1"/>
      <c r="C712" s="89"/>
      <c r="D712" s="89"/>
      <c r="E712" s="93"/>
      <c r="F712" s="93"/>
      <c r="G712" s="1"/>
      <c r="H712" s="1"/>
      <c r="I712" s="1"/>
      <c r="J712" s="1"/>
      <c r="K712" s="1"/>
      <c r="L712" s="1"/>
      <c r="M712" s="1"/>
      <c r="N712" s="1"/>
      <c r="O712" s="1"/>
      <c r="P712" s="1"/>
      <c r="Q712" s="1"/>
      <c r="R712" s="1"/>
      <c r="S712" s="1"/>
      <c r="T712" s="1"/>
      <c r="U712" s="1"/>
      <c r="V712" s="1"/>
      <c r="W712" s="1"/>
      <c r="X712" s="1"/>
    </row>
    <row r="713" spans="1:24" ht="12.75" customHeight="1" x14ac:dyDescent="0.2">
      <c r="A713" s="1"/>
      <c r="B713" s="1"/>
      <c r="C713" s="89"/>
      <c r="D713" s="89"/>
      <c r="E713" s="93"/>
      <c r="F713" s="93"/>
      <c r="G713" s="1"/>
      <c r="H713" s="1"/>
      <c r="I713" s="1"/>
      <c r="J713" s="1"/>
      <c r="K713" s="1"/>
      <c r="L713" s="1"/>
      <c r="M713" s="1"/>
      <c r="N713" s="1"/>
      <c r="O713" s="1"/>
      <c r="P713" s="1"/>
      <c r="Q713" s="1"/>
      <c r="R713" s="1"/>
      <c r="S713" s="1"/>
      <c r="T713" s="1"/>
      <c r="U713" s="1"/>
      <c r="V713" s="1"/>
      <c r="W713" s="1"/>
      <c r="X713" s="1"/>
    </row>
    <row r="714" spans="1:24" ht="12.75" customHeight="1" x14ac:dyDescent="0.2">
      <c r="A714" s="1"/>
      <c r="B714" s="1"/>
      <c r="C714" s="89"/>
      <c r="D714" s="89"/>
      <c r="E714" s="93"/>
      <c r="F714" s="93"/>
      <c r="G714" s="1"/>
      <c r="H714" s="1"/>
      <c r="I714" s="1"/>
      <c r="J714" s="1"/>
      <c r="K714" s="1"/>
      <c r="L714" s="1"/>
      <c r="M714" s="1"/>
      <c r="N714" s="1"/>
      <c r="O714" s="1"/>
      <c r="P714" s="1"/>
      <c r="Q714" s="1"/>
      <c r="R714" s="1"/>
      <c r="S714" s="1"/>
      <c r="T714" s="1"/>
      <c r="U714" s="1"/>
      <c r="V714" s="1"/>
      <c r="W714" s="1"/>
      <c r="X714" s="1"/>
    </row>
    <row r="715" spans="1:24" ht="12.75" customHeight="1" x14ac:dyDescent="0.2">
      <c r="A715" s="1"/>
      <c r="B715" s="1"/>
      <c r="C715" s="89"/>
      <c r="D715" s="89"/>
      <c r="E715" s="93"/>
      <c r="F715" s="93"/>
      <c r="G715" s="1"/>
      <c r="H715" s="1"/>
      <c r="I715" s="1"/>
      <c r="J715" s="1"/>
      <c r="K715" s="1"/>
      <c r="L715" s="1"/>
      <c r="M715" s="1"/>
      <c r="N715" s="1"/>
      <c r="O715" s="1"/>
      <c r="P715" s="1"/>
      <c r="Q715" s="1"/>
      <c r="R715" s="1"/>
      <c r="S715" s="1"/>
      <c r="T715" s="1"/>
      <c r="U715" s="1"/>
      <c r="V715" s="1"/>
      <c r="W715" s="1"/>
      <c r="X715" s="1"/>
    </row>
    <row r="716" spans="1:24" ht="12.75" customHeight="1" x14ac:dyDescent="0.2">
      <c r="A716" s="1"/>
      <c r="B716" s="1"/>
      <c r="C716" s="89"/>
      <c r="D716" s="89"/>
      <c r="E716" s="93"/>
      <c r="F716" s="93"/>
      <c r="G716" s="1"/>
      <c r="H716" s="1"/>
      <c r="I716" s="1"/>
      <c r="J716" s="1"/>
      <c r="K716" s="1"/>
      <c r="L716" s="1"/>
      <c r="M716" s="1"/>
      <c r="N716" s="1"/>
      <c r="O716" s="1"/>
      <c r="P716" s="1"/>
      <c r="Q716" s="1"/>
      <c r="R716" s="1"/>
      <c r="S716" s="1"/>
      <c r="T716" s="1"/>
      <c r="U716" s="1"/>
      <c r="V716" s="1"/>
      <c r="W716" s="1"/>
      <c r="X716" s="1"/>
    </row>
    <row r="717" spans="1:24" ht="12.75" customHeight="1" x14ac:dyDescent="0.2">
      <c r="A717" s="1"/>
      <c r="B717" s="1"/>
      <c r="C717" s="89"/>
      <c r="D717" s="89"/>
      <c r="E717" s="93"/>
      <c r="F717" s="93"/>
      <c r="G717" s="1"/>
      <c r="H717" s="1"/>
      <c r="I717" s="1"/>
      <c r="J717" s="1"/>
      <c r="K717" s="1"/>
      <c r="L717" s="1"/>
      <c r="M717" s="1"/>
      <c r="N717" s="1"/>
      <c r="O717" s="1"/>
      <c r="P717" s="1"/>
      <c r="Q717" s="1"/>
      <c r="R717" s="1"/>
      <c r="S717" s="1"/>
      <c r="T717" s="1"/>
      <c r="U717" s="1"/>
      <c r="V717" s="1"/>
      <c r="W717" s="1"/>
      <c r="X717" s="1"/>
    </row>
    <row r="718" spans="1:24" ht="12.75" customHeight="1" x14ac:dyDescent="0.2">
      <c r="A718" s="1"/>
      <c r="B718" s="1"/>
      <c r="C718" s="89"/>
      <c r="D718" s="89"/>
      <c r="E718" s="93"/>
      <c r="F718" s="93"/>
      <c r="G718" s="1"/>
      <c r="H718" s="1"/>
      <c r="I718" s="1"/>
      <c r="J718" s="1"/>
      <c r="K718" s="1"/>
      <c r="L718" s="1"/>
      <c r="M718" s="1"/>
      <c r="N718" s="1"/>
      <c r="O718" s="1"/>
      <c r="P718" s="1"/>
      <c r="Q718" s="1"/>
      <c r="R718" s="1"/>
      <c r="S718" s="1"/>
      <c r="T718" s="1"/>
      <c r="U718" s="1"/>
      <c r="V718" s="1"/>
      <c r="W718" s="1"/>
      <c r="X718" s="1"/>
    </row>
    <row r="719" spans="1:24" ht="12.75" customHeight="1" x14ac:dyDescent="0.2">
      <c r="A719" s="1"/>
      <c r="B719" s="1"/>
      <c r="C719" s="89"/>
      <c r="D719" s="89"/>
      <c r="E719" s="93"/>
      <c r="F719" s="93"/>
      <c r="G719" s="1"/>
      <c r="H719" s="1"/>
      <c r="I719" s="1"/>
      <c r="J719" s="1"/>
      <c r="K719" s="1"/>
      <c r="L719" s="1"/>
      <c r="M719" s="1"/>
      <c r="N719" s="1"/>
      <c r="O719" s="1"/>
      <c r="P719" s="1"/>
      <c r="Q719" s="1"/>
      <c r="R719" s="1"/>
      <c r="S719" s="1"/>
      <c r="T719" s="1"/>
      <c r="U719" s="1"/>
      <c r="V719" s="1"/>
      <c r="W719" s="1"/>
      <c r="X719" s="1"/>
    </row>
    <row r="720" spans="1:24" ht="12.75" customHeight="1" x14ac:dyDescent="0.2">
      <c r="A720" s="1"/>
      <c r="B720" s="1"/>
      <c r="C720" s="89"/>
      <c r="D720" s="89"/>
      <c r="E720" s="93"/>
      <c r="F720" s="93"/>
      <c r="G720" s="1"/>
      <c r="H720" s="1"/>
      <c r="I720" s="1"/>
      <c r="J720" s="1"/>
      <c r="K720" s="1"/>
      <c r="L720" s="1"/>
      <c r="M720" s="1"/>
      <c r="N720" s="1"/>
      <c r="O720" s="1"/>
      <c r="P720" s="1"/>
      <c r="Q720" s="1"/>
      <c r="R720" s="1"/>
      <c r="S720" s="1"/>
      <c r="T720" s="1"/>
      <c r="U720" s="1"/>
      <c r="V720" s="1"/>
      <c r="W720" s="1"/>
      <c r="X720" s="1"/>
    </row>
    <row r="721" spans="1:24" ht="12.75" customHeight="1" x14ac:dyDescent="0.2">
      <c r="A721" s="1"/>
      <c r="B721" s="1"/>
      <c r="C721" s="89"/>
      <c r="D721" s="89"/>
      <c r="E721" s="93"/>
      <c r="F721" s="93"/>
      <c r="G721" s="1"/>
      <c r="H721" s="1"/>
      <c r="I721" s="1"/>
      <c r="J721" s="1"/>
      <c r="K721" s="1"/>
      <c r="L721" s="1"/>
      <c r="M721" s="1"/>
      <c r="N721" s="1"/>
      <c r="O721" s="1"/>
      <c r="P721" s="1"/>
      <c r="Q721" s="1"/>
      <c r="R721" s="1"/>
      <c r="S721" s="1"/>
      <c r="T721" s="1"/>
      <c r="U721" s="1"/>
      <c r="V721" s="1"/>
      <c r="W721" s="1"/>
      <c r="X721" s="1"/>
    </row>
    <row r="722" spans="1:24" ht="12.75" customHeight="1" x14ac:dyDescent="0.2">
      <c r="A722" s="1"/>
      <c r="B722" s="1"/>
      <c r="C722" s="89"/>
      <c r="D722" s="89"/>
      <c r="E722" s="93"/>
      <c r="F722" s="93"/>
      <c r="G722" s="1"/>
      <c r="H722" s="1"/>
      <c r="I722" s="1"/>
      <c r="J722" s="1"/>
      <c r="K722" s="1"/>
      <c r="L722" s="1"/>
      <c r="M722" s="1"/>
      <c r="N722" s="1"/>
      <c r="O722" s="1"/>
      <c r="P722" s="1"/>
      <c r="Q722" s="1"/>
      <c r="R722" s="1"/>
      <c r="S722" s="1"/>
      <c r="T722" s="1"/>
      <c r="U722" s="1"/>
      <c r="V722" s="1"/>
      <c r="W722" s="1"/>
      <c r="X722" s="1"/>
    </row>
    <row r="723" spans="1:24" ht="12.75" customHeight="1" x14ac:dyDescent="0.2">
      <c r="A723" s="1"/>
      <c r="B723" s="1"/>
      <c r="C723" s="89"/>
      <c r="D723" s="89"/>
      <c r="E723" s="93"/>
      <c r="F723" s="93"/>
      <c r="G723" s="1"/>
      <c r="H723" s="1"/>
      <c r="I723" s="1"/>
      <c r="J723" s="1"/>
      <c r="K723" s="1"/>
      <c r="L723" s="1"/>
      <c r="M723" s="1"/>
      <c r="N723" s="1"/>
      <c r="O723" s="1"/>
      <c r="P723" s="1"/>
      <c r="Q723" s="1"/>
      <c r="R723" s="1"/>
      <c r="S723" s="1"/>
      <c r="T723" s="1"/>
      <c r="U723" s="1"/>
      <c r="V723" s="1"/>
      <c r="W723" s="1"/>
      <c r="X723" s="1"/>
    </row>
    <row r="724" spans="1:24" ht="12.75" customHeight="1" x14ac:dyDescent="0.2">
      <c r="A724" s="1"/>
      <c r="B724" s="1"/>
      <c r="C724" s="89"/>
      <c r="D724" s="89"/>
      <c r="E724" s="93"/>
      <c r="F724" s="93"/>
      <c r="G724" s="1"/>
      <c r="H724" s="1"/>
      <c r="I724" s="1"/>
      <c r="J724" s="1"/>
      <c r="K724" s="1"/>
      <c r="L724" s="1"/>
      <c r="M724" s="1"/>
      <c r="N724" s="1"/>
      <c r="O724" s="1"/>
      <c r="P724" s="1"/>
      <c r="Q724" s="1"/>
      <c r="R724" s="1"/>
      <c r="S724" s="1"/>
      <c r="T724" s="1"/>
      <c r="U724" s="1"/>
      <c r="V724" s="1"/>
      <c r="W724" s="1"/>
      <c r="X724" s="1"/>
    </row>
    <row r="725" spans="1:24" ht="12.75" customHeight="1" x14ac:dyDescent="0.2">
      <c r="A725" s="1"/>
      <c r="B725" s="1"/>
      <c r="C725" s="89"/>
      <c r="D725" s="89"/>
      <c r="E725" s="93"/>
      <c r="F725" s="93"/>
      <c r="G725" s="1"/>
      <c r="H725" s="1"/>
      <c r="I725" s="1"/>
      <c r="J725" s="1"/>
      <c r="K725" s="1"/>
      <c r="L725" s="1"/>
      <c r="M725" s="1"/>
      <c r="N725" s="1"/>
      <c r="O725" s="1"/>
      <c r="P725" s="1"/>
      <c r="Q725" s="1"/>
      <c r="R725" s="1"/>
      <c r="S725" s="1"/>
      <c r="T725" s="1"/>
      <c r="U725" s="1"/>
      <c r="V725" s="1"/>
      <c r="W725" s="1"/>
      <c r="X725" s="1"/>
    </row>
    <row r="726" spans="1:24" ht="12.75" customHeight="1" x14ac:dyDescent="0.2">
      <c r="A726" s="1"/>
      <c r="B726" s="1"/>
      <c r="C726" s="89"/>
      <c r="D726" s="89"/>
      <c r="E726" s="93"/>
      <c r="F726" s="93"/>
      <c r="G726" s="1"/>
      <c r="H726" s="1"/>
      <c r="I726" s="1"/>
      <c r="J726" s="1"/>
      <c r="K726" s="1"/>
      <c r="L726" s="1"/>
      <c r="M726" s="1"/>
      <c r="N726" s="1"/>
      <c r="O726" s="1"/>
      <c r="P726" s="1"/>
      <c r="Q726" s="1"/>
      <c r="R726" s="1"/>
      <c r="S726" s="1"/>
      <c r="T726" s="1"/>
      <c r="U726" s="1"/>
      <c r="V726" s="1"/>
      <c r="W726" s="1"/>
      <c r="X726" s="1"/>
    </row>
    <row r="727" spans="1:24" ht="12.75" customHeight="1" x14ac:dyDescent="0.2">
      <c r="A727" s="1"/>
      <c r="B727" s="1"/>
      <c r="C727" s="89"/>
      <c r="D727" s="89"/>
      <c r="E727" s="93"/>
      <c r="F727" s="93"/>
      <c r="G727" s="1"/>
      <c r="H727" s="1"/>
      <c r="I727" s="1"/>
      <c r="J727" s="1"/>
      <c r="K727" s="1"/>
      <c r="L727" s="1"/>
      <c r="M727" s="1"/>
      <c r="N727" s="1"/>
      <c r="O727" s="1"/>
      <c r="P727" s="1"/>
      <c r="Q727" s="1"/>
      <c r="R727" s="1"/>
      <c r="S727" s="1"/>
      <c r="T727" s="1"/>
      <c r="U727" s="1"/>
      <c r="V727" s="1"/>
      <c r="W727" s="1"/>
      <c r="X727" s="1"/>
    </row>
    <row r="728" spans="1:24" ht="12.75" customHeight="1" x14ac:dyDescent="0.2">
      <c r="A728" s="1"/>
      <c r="B728" s="1"/>
      <c r="C728" s="89"/>
      <c r="D728" s="89"/>
      <c r="E728" s="93"/>
      <c r="F728" s="93"/>
      <c r="G728" s="1"/>
      <c r="H728" s="1"/>
      <c r="I728" s="1"/>
      <c r="J728" s="1"/>
      <c r="K728" s="1"/>
      <c r="L728" s="1"/>
      <c r="M728" s="1"/>
      <c r="N728" s="1"/>
      <c r="O728" s="1"/>
      <c r="P728" s="1"/>
      <c r="Q728" s="1"/>
      <c r="R728" s="1"/>
      <c r="S728" s="1"/>
      <c r="T728" s="1"/>
      <c r="U728" s="1"/>
      <c r="V728" s="1"/>
      <c r="W728" s="1"/>
      <c r="X728" s="1"/>
    </row>
    <row r="729" spans="1:24" ht="12.75" customHeight="1" x14ac:dyDescent="0.2">
      <c r="A729" s="1"/>
      <c r="B729" s="1"/>
      <c r="C729" s="89"/>
      <c r="D729" s="89"/>
      <c r="E729" s="93"/>
      <c r="F729" s="93"/>
      <c r="G729" s="1"/>
      <c r="H729" s="1"/>
      <c r="I729" s="1"/>
      <c r="J729" s="1"/>
      <c r="K729" s="1"/>
      <c r="L729" s="1"/>
      <c r="M729" s="1"/>
      <c r="N729" s="1"/>
      <c r="O729" s="1"/>
      <c r="P729" s="1"/>
      <c r="Q729" s="1"/>
      <c r="R729" s="1"/>
      <c r="S729" s="1"/>
      <c r="T729" s="1"/>
      <c r="U729" s="1"/>
      <c r="V729" s="1"/>
      <c r="W729" s="1"/>
      <c r="X729" s="1"/>
    </row>
    <row r="730" spans="1:24" ht="12.75" customHeight="1" x14ac:dyDescent="0.2">
      <c r="A730" s="1"/>
      <c r="B730" s="1"/>
      <c r="C730" s="89"/>
      <c r="D730" s="89"/>
      <c r="E730" s="93"/>
      <c r="F730" s="93"/>
      <c r="G730" s="1"/>
      <c r="H730" s="1"/>
      <c r="I730" s="1"/>
      <c r="J730" s="1"/>
      <c r="K730" s="1"/>
      <c r="L730" s="1"/>
      <c r="M730" s="1"/>
      <c r="N730" s="1"/>
      <c r="O730" s="1"/>
      <c r="P730" s="1"/>
      <c r="Q730" s="1"/>
      <c r="R730" s="1"/>
      <c r="S730" s="1"/>
      <c r="T730" s="1"/>
      <c r="U730" s="1"/>
      <c r="V730" s="1"/>
      <c r="W730" s="1"/>
      <c r="X730" s="1"/>
    </row>
    <row r="731" spans="1:24" ht="12.75" customHeight="1" x14ac:dyDescent="0.2">
      <c r="A731" s="1"/>
      <c r="B731" s="1"/>
      <c r="C731" s="89"/>
      <c r="D731" s="89"/>
      <c r="E731" s="93"/>
      <c r="F731" s="93"/>
      <c r="G731" s="1"/>
      <c r="H731" s="1"/>
      <c r="I731" s="1"/>
      <c r="J731" s="1"/>
      <c r="K731" s="1"/>
      <c r="L731" s="1"/>
      <c r="M731" s="1"/>
      <c r="N731" s="1"/>
      <c r="O731" s="1"/>
      <c r="P731" s="1"/>
      <c r="Q731" s="1"/>
      <c r="R731" s="1"/>
      <c r="S731" s="1"/>
      <c r="T731" s="1"/>
      <c r="U731" s="1"/>
      <c r="V731" s="1"/>
      <c r="W731" s="1"/>
      <c r="X731" s="1"/>
    </row>
    <row r="732" spans="1:24" ht="12.75" customHeight="1" x14ac:dyDescent="0.2">
      <c r="A732" s="1"/>
      <c r="B732" s="1"/>
      <c r="C732" s="89"/>
      <c r="D732" s="89"/>
      <c r="E732" s="93"/>
      <c r="F732" s="93"/>
      <c r="G732" s="1"/>
      <c r="H732" s="1"/>
      <c r="I732" s="1"/>
      <c r="J732" s="1"/>
      <c r="K732" s="1"/>
      <c r="L732" s="1"/>
      <c r="M732" s="1"/>
      <c r="N732" s="1"/>
      <c r="O732" s="1"/>
      <c r="P732" s="1"/>
      <c r="Q732" s="1"/>
      <c r="R732" s="1"/>
      <c r="S732" s="1"/>
      <c r="T732" s="1"/>
      <c r="U732" s="1"/>
      <c r="V732" s="1"/>
      <c r="W732" s="1"/>
      <c r="X732" s="1"/>
    </row>
    <row r="733" spans="1:24" ht="12.75" customHeight="1" x14ac:dyDescent="0.2">
      <c r="A733" s="1"/>
      <c r="B733" s="1"/>
      <c r="C733" s="89"/>
      <c r="D733" s="89"/>
      <c r="E733" s="93"/>
      <c r="F733" s="93"/>
      <c r="G733" s="1"/>
      <c r="H733" s="1"/>
      <c r="I733" s="1"/>
      <c r="J733" s="1"/>
      <c r="K733" s="1"/>
      <c r="L733" s="1"/>
      <c r="M733" s="1"/>
      <c r="N733" s="1"/>
      <c r="O733" s="1"/>
      <c r="P733" s="1"/>
      <c r="Q733" s="1"/>
      <c r="R733" s="1"/>
      <c r="S733" s="1"/>
      <c r="T733" s="1"/>
      <c r="U733" s="1"/>
      <c r="V733" s="1"/>
      <c r="W733" s="1"/>
      <c r="X733" s="1"/>
    </row>
    <row r="734" spans="1:24" ht="12.75" customHeight="1" x14ac:dyDescent="0.2">
      <c r="A734" s="1"/>
      <c r="B734" s="1"/>
      <c r="C734" s="89"/>
      <c r="D734" s="89"/>
      <c r="E734" s="93"/>
      <c r="F734" s="93"/>
      <c r="G734" s="1"/>
      <c r="H734" s="1"/>
      <c r="I734" s="1"/>
      <c r="J734" s="1"/>
      <c r="K734" s="1"/>
      <c r="L734" s="1"/>
      <c r="M734" s="1"/>
      <c r="N734" s="1"/>
      <c r="O734" s="1"/>
      <c r="P734" s="1"/>
      <c r="Q734" s="1"/>
      <c r="R734" s="1"/>
      <c r="S734" s="1"/>
      <c r="T734" s="1"/>
      <c r="U734" s="1"/>
      <c r="V734" s="1"/>
      <c r="W734" s="1"/>
      <c r="X734" s="1"/>
    </row>
    <row r="735" spans="1:24" ht="12.75" customHeight="1" x14ac:dyDescent="0.2">
      <c r="A735" s="1"/>
      <c r="B735" s="1"/>
      <c r="C735" s="89"/>
      <c r="D735" s="89"/>
      <c r="E735" s="93"/>
      <c r="F735" s="93"/>
      <c r="G735" s="1"/>
      <c r="H735" s="1"/>
      <c r="I735" s="1"/>
      <c r="J735" s="1"/>
      <c r="K735" s="1"/>
      <c r="L735" s="1"/>
      <c r="M735" s="1"/>
      <c r="N735" s="1"/>
      <c r="O735" s="1"/>
      <c r="P735" s="1"/>
      <c r="Q735" s="1"/>
      <c r="R735" s="1"/>
      <c r="S735" s="1"/>
      <c r="T735" s="1"/>
      <c r="U735" s="1"/>
      <c r="V735" s="1"/>
      <c r="W735" s="1"/>
      <c r="X735" s="1"/>
    </row>
    <row r="736" spans="1:24" ht="12.75" customHeight="1" x14ac:dyDescent="0.2">
      <c r="A736" s="1"/>
      <c r="B736" s="1"/>
      <c r="C736" s="89"/>
      <c r="D736" s="89"/>
      <c r="E736" s="93"/>
      <c r="F736" s="93"/>
      <c r="G736" s="1"/>
      <c r="H736" s="1"/>
      <c r="I736" s="1"/>
      <c r="J736" s="1"/>
      <c r="K736" s="1"/>
      <c r="L736" s="1"/>
      <c r="M736" s="1"/>
      <c r="N736" s="1"/>
      <c r="O736" s="1"/>
      <c r="P736" s="1"/>
      <c r="Q736" s="1"/>
      <c r="R736" s="1"/>
      <c r="S736" s="1"/>
      <c r="T736" s="1"/>
      <c r="U736" s="1"/>
      <c r="V736" s="1"/>
      <c r="W736" s="1"/>
      <c r="X736" s="1"/>
    </row>
    <row r="737" spans="1:24" ht="12.75" customHeight="1" x14ac:dyDescent="0.2">
      <c r="A737" s="1"/>
      <c r="B737" s="1"/>
      <c r="C737" s="89"/>
      <c r="D737" s="89"/>
      <c r="E737" s="93"/>
      <c r="F737" s="93"/>
      <c r="G737" s="1"/>
      <c r="H737" s="1"/>
      <c r="I737" s="1"/>
      <c r="J737" s="1"/>
      <c r="K737" s="1"/>
      <c r="L737" s="1"/>
      <c r="M737" s="1"/>
      <c r="N737" s="1"/>
      <c r="O737" s="1"/>
      <c r="P737" s="1"/>
      <c r="Q737" s="1"/>
      <c r="R737" s="1"/>
      <c r="S737" s="1"/>
      <c r="T737" s="1"/>
      <c r="U737" s="1"/>
      <c r="V737" s="1"/>
      <c r="W737" s="1"/>
      <c r="X737" s="1"/>
    </row>
    <row r="738" spans="1:24" ht="12.75" customHeight="1" x14ac:dyDescent="0.2">
      <c r="A738" s="1"/>
      <c r="B738" s="1"/>
      <c r="C738" s="89"/>
      <c r="D738" s="89"/>
      <c r="E738" s="93"/>
      <c r="F738" s="93"/>
      <c r="G738" s="1"/>
      <c r="H738" s="1"/>
      <c r="I738" s="1"/>
      <c r="J738" s="1"/>
      <c r="K738" s="1"/>
      <c r="L738" s="1"/>
      <c r="M738" s="1"/>
      <c r="N738" s="1"/>
      <c r="O738" s="1"/>
      <c r="P738" s="1"/>
      <c r="Q738" s="1"/>
      <c r="R738" s="1"/>
      <c r="S738" s="1"/>
      <c r="T738" s="1"/>
      <c r="U738" s="1"/>
      <c r="V738" s="1"/>
      <c r="W738" s="1"/>
      <c r="X738" s="1"/>
    </row>
    <row r="739" spans="1:24" ht="12.75" customHeight="1" x14ac:dyDescent="0.2">
      <c r="A739" s="1"/>
      <c r="B739" s="1"/>
      <c r="C739" s="89"/>
      <c r="D739" s="89"/>
      <c r="E739" s="93"/>
      <c r="F739" s="93"/>
      <c r="G739" s="1"/>
      <c r="H739" s="1"/>
      <c r="I739" s="1"/>
      <c r="J739" s="1"/>
      <c r="K739" s="1"/>
      <c r="L739" s="1"/>
      <c r="M739" s="1"/>
      <c r="N739" s="1"/>
      <c r="O739" s="1"/>
      <c r="P739" s="1"/>
      <c r="Q739" s="1"/>
      <c r="R739" s="1"/>
      <c r="S739" s="1"/>
      <c r="T739" s="1"/>
      <c r="U739" s="1"/>
      <c r="V739" s="1"/>
      <c r="W739" s="1"/>
      <c r="X739" s="1"/>
    </row>
    <row r="740" spans="1:24" ht="12.75" customHeight="1" x14ac:dyDescent="0.2">
      <c r="A740" s="1"/>
      <c r="B740" s="1"/>
      <c r="C740" s="89"/>
      <c r="D740" s="89"/>
      <c r="E740" s="93"/>
      <c r="F740" s="93"/>
      <c r="G740" s="1"/>
      <c r="H740" s="1"/>
      <c r="I740" s="1"/>
      <c r="J740" s="1"/>
      <c r="K740" s="1"/>
      <c r="L740" s="1"/>
      <c r="M740" s="1"/>
      <c r="N740" s="1"/>
      <c r="O740" s="1"/>
      <c r="P740" s="1"/>
      <c r="Q740" s="1"/>
      <c r="R740" s="1"/>
      <c r="S740" s="1"/>
      <c r="T740" s="1"/>
      <c r="U740" s="1"/>
      <c r="V740" s="1"/>
      <c r="W740" s="1"/>
      <c r="X740" s="1"/>
    </row>
    <row r="741" spans="1:24" ht="12.75" customHeight="1" x14ac:dyDescent="0.2">
      <c r="A741" s="1"/>
      <c r="B741" s="1"/>
      <c r="C741" s="89"/>
      <c r="D741" s="89"/>
      <c r="E741" s="93"/>
      <c r="F741" s="93"/>
      <c r="G741" s="1"/>
      <c r="H741" s="1"/>
      <c r="I741" s="1"/>
      <c r="J741" s="1"/>
      <c r="K741" s="1"/>
      <c r="L741" s="1"/>
      <c r="M741" s="1"/>
      <c r="N741" s="1"/>
      <c r="O741" s="1"/>
      <c r="P741" s="1"/>
      <c r="Q741" s="1"/>
      <c r="R741" s="1"/>
      <c r="S741" s="1"/>
      <c r="T741" s="1"/>
      <c r="U741" s="1"/>
      <c r="V741" s="1"/>
      <c r="W741" s="1"/>
      <c r="X741" s="1"/>
    </row>
    <row r="742" spans="1:24" ht="12.75" customHeight="1" x14ac:dyDescent="0.2">
      <c r="A742" s="1"/>
      <c r="B742" s="1"/>
      <c r="C742" s="89"/>
      <c r="D742" s="89"/>
      <c r="E742" s="93"/>
      <c r="F742" s="93"/>
      <c r="G742" s="1"/>
      <c r="H742" s="1"/>
      <c r="I742" s="1"/>
      <c r="J742" s="1"/>
      <c r="K742" s="1"/>
      <c r="L742" s="1"/>
      <c r="M742" s="1"/>
      <c r="N742" s="1"/>
      <c r="O742" s="1"/>
      <c r="P742" s="1"/>
      <c r="Q742" s="1"/>
      <c r="R742" s="1"/>
      <c r="S742" s="1"/>
      <c r="T742" s="1"/>
      <c r="U742" s="1"/>
      <c r="V742" s="1"/>
      <c r="W742" s="1"/>
      <c r="X742" s="1"/>
    </row>
    <row r="743" spans="1:24" ht="12.75" customHeight="1" x14ac:dyDescent="0.2">
      <c r="A743" s="1"/>
      <c r="B743" s="1"/>
      <c r="C743" s="89"/>
      <c r="D743" s="89"/>
      <c r="E743" s="93"/>
      <c r="F743" s="93"/>
      <c r="G743" s="1"/>
      <c r="H743" s="1"/>
      <c r="I743" s="1"/>
      <c r="J743" s="1"/>
      <c r="K743" s="1"/>
      <c r="L743" s="1"/>
      <c r="M743" s="1"/>
      <c r="N743" s="1"/>
      <c r="O743" s="1"/>
      <c r="P743" s="1"/>
      <c r="Q743" s="1"/>
      <c r="R743" s="1"/>
      <c r="S743" s="1"/>
      <c r="T743" s="1"/>
      <c r="U743" s="1"/>
      <c r="V743" s="1"/>
      <c r="W743" s="1"/>
      <c r="X743" s="1"/>
    </row>
    <row r="744" spans="1:24" ht="12.75" customHeight="1" x14ac:dyDescent="0.2">
      <c r="A744" s="1"/>
      <c r="B744" s="1"/>
      <c r="C744" s="89"/>
      <c r="D744" s="89"/>
      <c r="E744" s="93"/>
      <c r="F744" s="93"/>
      <c r="G744" s="1"/>
      <c r="H744" s="1"/>
      <c r="I744" s="1"/>
      <c r="J744" s="1"/>
      <c r="K744" s="1"/>
      <c r="L744" s="1"/>
      <c r="M744" s="1"/>
      <c r="N744" s="1"/>
      <c r="O744" s="1"/>
      <c r="P744" s="1"/>
      <c r="Q744" s="1"/>
      <c r="R744" s="1"/>
      <c r="S744" s="1"/>
      <c r="T744" s="1"/>
      <c r="U744" s="1"/>
      <c r="V744" s="1"/>
      <c r="W744" s="1"/>
      <c r="X744" s="1"/>
    </row>
    <row r="745" spans="1:24" ht="12.75" customHeight="1" x14ac:dyDescent="0.2">
      <c r="A745" s="1"/>
      <c r="B745" s="1"/>
      <c r="C745" s="89"/>
      <c r="D745" s="89"/>
      <c r="E745" s="93"/>
      <c r="F745" s="93"/>
      <c r="G745" s="1"/>
      <c r="H745" s="1"/>
      <c r="I745" s="1"/>
      <c r="J745" s="1"/>
      <c r="K745" s="1"/>
      <c r="L745" s="1"/>
      <c r="M745" s="1"/>
      <c r="N745" s="1"/>
      <c r="O745" s="1"/>
      <c r="P745" s="1"/>
      <c r="Q745" s="1"/>
      <c r="R745" s="1"/>
      <c r="S745" s="1"/>
      <c r="T745" s="1"/>
      <c r="U745" s="1"/>
      <c r="V745" s="1"/>
      <c r="W745" s="1"/>
      <c r="X745" s="1"/>
    </row>
    <row r="746" spans="1:24" ht="12.75" customHeight="1" x14ac:dyDescent="0.2">
      <c r="A746" s="1"/>
      <c r="B746" s="1"/>
      <c r="C746" s="89"/>
      <c r="D746" s="89"/>
      <c r="E746" s="93"/>
      <c r="F746" s="93"/>
      <c r="G746" s="1"/>
      <c r="H746" s="1"/>
      <c r="I746" s="1"/>
      <c r="J746" s="1"/>
      <c r="K746" s="1"/>
      <c r="L746" s="1"/>
      <c r="M746" s="1"/>
      <c r="N746" s="1"/>
      <c r="O746" s="1"/>
      <c r="P746" s="1"/>
      <c r="Q746" s="1"/>
      <c r="R746" s="1"/>
      <c r="S746" s="1"/>
      <c r="T746" s="1"/>
      <c r="U746" s="1"/>
      <c r="V746" s="1"/>
      <c r="W746" s="1"/>
      <c r="X746" s="1"/>
    </row>
    <row r="747" spans="1:24" ht="12.75" customHeight="1" x14ac:dyDescent="0.2">
      <c r="A747" s="1"/>
      <c r="B747" s="1"/>
      <c r="C747" s="89"/>
      <c r="D747" s="89"/>
      <c r="E747" s="93"/>
      <c r="F747" s="93"/>
      <c r="G747" s="1"/>
      <c r="H747" s="1"/>
      <c r="I747" s="1"/>
      <c r="J747" s="1"/>
      <c r="K747" s="1"/>
      <c r="L747" s="1"/>
      <c r="M747" s="1"/>
      <c r="N747" s="1"/>
      <c r="O747" s="1"/>
      <c r="P747" s="1"/>
      <c r="Q747" s="1"/>
      <c r="R747" s="1"/>
      <c r="S747" s="1"/>
      <c r="T747" s="1"/>
      <c r="U747" s="1"/>
      <c r="V747" s="1"/>
      <c r="W747" s="1"/>
      <c r="X747" s="1"/>
    </row>
    <row r="748" spans="1:24" ht="12.75" customHeight="1" x14ac:dyDescent="0.2">
      <c r="A748" s="1"/>
      <c r="B748" s="1"/>
      <c r="C748" s="89"/>
      <c r="D748" s="89"/>
      <c r="E748" s="93"/>
      <c r="F748" s="93"/>
      <c r="G748" s="1"/>
      <c r="H748" s="1"/>
      <c r="I748" s="1"/>
      <c r="J748" s="1"/>
      <c r="K748" s="1"/>
      <c r="L748" s="1"/>
      <c r="M748" s="1"/>
      <c r="N748" s="1"/>
      <c r="O748" s="1"/>
      <c r="P748" s="1"/>
      <c r="Q748" s="1"/>
      <c r="R748" s="1"/>
      <c r="S748" s="1"/>
      <c r="T748" s="1"/>
      <c r="U748" s="1"/>
      <c r="V748" s="1"/>
      <c r="W748" s="1"/>
      <c r="X748" s="1"/>
    </row>
    <row r="749" spans="1:24" ht="12.75" customHeight="1" x14ac:dyDescent="0.2">
      <c r="A749" s="1"/>
      <c r="B749" s="1"/>
      <c r="C749" s="89"/>
      <c r="D749" s="89"/>
      <c r="E749" s="93"/>
      <c r="F749" s="93"/>
      <c r="G749" s="1"/>
      <c r="H749" s="1"/>
      <c r="I749" s="1"/>
      <c r="J749" s="1"/>
      <c r="K749" s="1"/>
      <c r="L749" s="1"/>
      <c r="M749" s="1"/>
      <c r="N749" s="1"/>
      <c r="O749" s="1"/>
      <c r="P749" s="1"/>
      <c r="Q749" s="1"/>
      <c r="R749" s="1"/>
      <c r="S749" s="1"/>
      <c r="T749" s="1"/>
      <c r="U749" s="1"/>
      <c r="V749" s="1"/>
      <c r="W749" s="1"/>
      <c r="X749" s="1"/>
    </row>
    <row r="750" spans="1:24" ht="12.75" customHeight="1" x14ac:dyDescent="0.2">
      <c r="A750" s="1"/>
      <c r="B750" s="1"/>
      <c r="C750" s="89"/>
      <c r="D750" s="89"/>
      <c r="E750" s="93"/>
      <c r="F750" s="93"/>
      <c r="G750" s="1"/>
      <c r="H750" s="1"/>
      <c r="I750" s="1"/>
      <c r="J750" s="1"/>
      <c r="K750" s="1"/>
      <c r="L750" s="1"/>
      <c r="M750" s="1"/>
      <c r="N750" s="1"/>
      <c r="O750" s="1"/>
      <c r="P750" s="1"/>
      <c r="Q750" s="1"/>
      <c r="R750" s="1"/>
      <c r="S750" s="1"/>
      <c r="T750" s="1"/>
      <c r="U750" s="1"/>
      <c r="V750" s="1"/>
      <c r="W750" s="1"/>
      <c r="X750" s="1"/>
    </row>
    <row r="751" spans="1:24" ht="12.75" customHeight="1" x14ac:dyDescent="0.2">
      <c r="A751" s="1"/>
      <c r="B751" s="1"/>
      <c r="C751" s="89"/>
      <c r="D751" s="89"/>
      <c r="E751" s="93"/>
      <c r="F751" s="93"/>
      <c r="G751" s="1"/>
      <c r="H751" s="1"/>
      <c r="I751" s="1"/>
      <c r="J751" s="1"/>
      <c r="K751" s="1"/>
      <c r="L751" s="1"/>
      <c r="M751" s="1"/>
      <c r="N751" s="1"/>
      <c r="O751" s="1"/>
      <c r="P751" s="1"/>
      <c r="Q751" s="1"/>
      <c r="R751" s="1"/>
      <c r="S751" s="1"/>
      <c r="T751" s="1"/>
      <c r="U751" s="1"/>
      <c r="V751" s="1"/>
      <c r="W751" s="1"/>
      <c r="X751" s="1"/>
    </row>
    <row r="752" spans="1:24" ht="12.75" customHeight="1" x14ac:dyDescent="0.2">
      <c r="A752" s="1"/>
      <c r="B752" s="1"/>
      <c r="C752" s="89"/>
      <c r="D752" s="89"/>
      <c r="E752" s="93"/>
      <c r="F752" s="93"/>
      <c r="G752" s="1"/>
      <c r="H752" s="1"/>
      <c r="I752" s="1"/>
      <c r="J752" s="1"/>
      <c r="K752" s="1"/>
      <c r="L752" s="1"/>
      <c r="M752" s="1"/>
      <c r="N752" s="1"/>
      <c r="O752" s="1"/>
      <c r="P752" s="1"/>
      <c r="Q752" s="1"/>
      <c r="R752" s="1"/>
      <c r="S752" s="1"/>
      <c r="T752" s="1"/>
      <c r="U752" s="1"/>
      <c r="V752" s="1"/>
      <c r="W752" s="1"/>
      <c r="X752" s="1"/>
    </row>
    <row r="753" spans="1:24" ht="12.75" customHeight="1" x14ac:dyDescent="0.2">
      <c r="A753" s="1"/>
      <c r="B753" s="1"/>
      <c r="C753" s="89"/>
      <c r="D753" s="89"/>
      <c r="E753" s="93"/>
      <c r="F753" s="93"/>
      <c r="G753" s="1"/>
      <c r="H753" s="1"/>
      <c r="I753" s="1"/>
      <c r="J753" s="1"/>
      <c r="K753" s="1"/>
      <c r="L753" s="1"/>
      <c r="M753" s="1"/>
      <c r="N753" s="1"/>
      <c r="O753" s="1"/>
      <c r="P753" s="1"/>
      <c r="Q753" s="1"/>
      <c r="R753" s="1"/>
      <c r="S753" s="1"/>
      <c r="T753" s="1"/>
      <c r="U753" s="1"/>
      <c r="V753" s="1"/>
      <c r="W753" s="1"/>
      <c r="X753" s="1"/>
    </row>
    <row r="754" spans="1:24" ht="12.75" customHeight="1" x14ac:dyDescent="0.2">
      <c r="A754" s="1"/>
      <c r="B754" s="1"/>
      <c r="C754" s="89"/>
      <c r="D754" s="89"/>
      <c r="E754" s="93"/>
      <c r="F754" s="93"/>
      <c r="G754" s="1"/>
      <c r="H754" s="1"/>
      <c r="I754" s="1"/>
      <c r="J754" s="1"/>
      <c r="K754" s="1"/>
      <c r="L754" s="1"/>
      <c r="M754" s="1"/>
      <c r="N754" s="1"/>
      <c r="O754" s="1"/>
      <c r="P754" s="1"/>
      <c r="Q754" s="1"/>
      <c r="R754" s="1"/>
      <c r="S754" s="1"/>
      <c r="T754" s="1"/>
      <c r="U754" s="1"/>
      <c r="V754" s="1"/>
      <c r="W754" s="1"/>
      <c r="X754" s="1"/>
    </row>
    <row r="755" spans="1:24" ht="12.75" customHeight="1" x14ac:dyDescent="0.2">
      <c r="A755" s="1"/>
      <c r="B755" s="1"/>
      <c r="C755" s="89"/>
      <c r="D755" s="89"/>
      <c r="E755" s="93"/>
      <c r="F755" s="93"/>
      <c r="G755" s="1"/>
      <c r="H755" s="1"/>
      <c r="I755" s="1"/>
      <c r="J755" s="1"/>
      <c r="K755" s="1"/>
      <c r="L755" s="1"/>
      <c r="M755" s="1"/>
      <c r="N755" s="1"/>
      <c r="O755" s="1"/>
      <c r="P755" s="1"/>
      <c r="Q755" s="1"/>
      <c r="R755" s="1"/>
      <c r="S755" s="1"/>
      <c r="T755" s="1"/>
      <c r="U755" s="1"/>
      <c r="V755" s="1"/>
      <c r="W755" s="1"/>
      <c r="X755" s="1"/>
    </row>
    <row r="756" spans="1:24" ht="12.75" customHeight="1" x14ac:dyDescent="0.2">
      <c r="A756" s="1"/>
      <c r="B756" s="1"/>
      <c r="C756" s="89"/>
      <c r="D756" s="89"/>
      <c r="E756" s="93"/>
      <c r="F756" s="93"/>
      <c r="G756" s="1"/>
      <c r="H756" s="1"/>
      <c r="I756" s="1"/>
      <c r="J756" s="1"/>
      <c r="K756" s="1"/>
      <c r="L756" s="1"/>
      <c r="M756" s="1"/>
      <c r="N756" s="1"/>
      <c r="O756" s="1"/>
      <c r="P756" s="1"/>
      <c r="Q756" s="1"/>
      <c r="R756" s="1"/>
      <c r="S756" s="1"/>
      <c r="T756" s="1"/>
      <c r="U756" s="1"/>
      <c r="V756" s="1"/>
      <c r="W756" s="1"/>
      <c r="X756" s="1"/>
    </row>
    <row r="757" spans="1:24" ht="12.75" customHeight="1" x14ac:dyDescent="0.2">
      <c r="A757" s="1"/>
      <c r="B757" s="1"/>
      <c r="C757" s="89"/>
      <c r="D757" s="89"/>
      <c r="E757" s="93"/>
      <c r="F757" s="93"/>
      <c r="G757" s="1"/>
      <c r="H757" s="1"/>
      <c r="I757" s="1"/>
      <c r="J757" s="1"/>
      <c r="K757" s="1"/>
      <c r="L757" s="1"/>
      <c r="M757" s="1"/>
      <c r="N757" s="1"/>
      <c r="O757" s="1"/>
      <c r="P757" s="1"/>
      <c r="Q757" s="1"/>
      <c r="R757" s="1"/>
      <c r="S757" s="1"/>
      <c r="T757" s="1"/>
      <c r="U757" s="1"/>
      <c r="V757" s="1"/>
      <c r="W757" s="1"/>
      <c r="X757" s="1"/>
    </row>
    <row r="758" spans="1:24" ht="12.75" customHeight="1" x14ac:dyDescent="0.2">
      <c r="A758" s="1"/>
      <c r="B758" s="1"/>
      <c r="C758" s="89"/>
      <c r="D758" s="89"/>
      <c r="E758" s="93"/>
      <c r="F758" s="93"/>
      <c r="G758" s="1"/>
      <c r="H758" s="1"/>
      <c r="I758" s="1"/>
      <c r="J758" s="1"/>
      <c r="K758" s="1"/>
      <c r="L758" s="1"/>
      <c r="M758" s="1"/>
      <c r="N758" s="1"/>
      <c r="O758" s="1"/>
      <c r="P758" s="1"/>
      <c r="Q758" s="1"/>
      <c r="R758" s="1"/>
      <c r="S758" s="1"/>
      <c r="T758" s="1"/>
      <c r="U758" s="1"/>
      <c r="V758" s="1"/>
      <c r="W758" s="1"/>
      <c r="X758" s="1"/>
    </row>
    <row r="759" spans="1:24" ht="12.75" customHeight="1" x14ac:dyDescent="0.2">
      <c r="A759" s="1"/>
      <c r="B759" s="1"/>
      <c r="C759" s="89"/>
      <c r="D759" s="89"/>
      <c r="E759" s="93"/>
      <c r="F759" s="93"/>
      <c r="G759" s="1"/>
      <c r="H759" s="1"/>
      <c r="I759" s="1"/>
      <c r="J759" s="1"/>
      <c r="K759" s="1"/>
      <c r="L759" s="1"/>
      <c r="M759" s="1"/>
      <c r="N759" s="1"/>
      <c r="O759" s="1"/>
      <c r="P759" s="1"/>
      <c r="Q759" s="1"/>
      <c r="R759" s="1"/>
      <c r="S759" s="1"/>
      <c r="T759" s="1"/>
      <c r="U759" s="1"/>
      <c r="V759" s="1"/>
      <c r="W759" s="1"/>
      <c r="X759" s="1"/>
    </row>
    <row r="760" spans="1:24" ht="12.75" customHeight="1" x14ac:dyDescent="0.2">
      <c r="A760" s="1"/>
      <c r="B760" s="1"/>
      <c r="C760" s="89"/>
      <c r="D760" s="89"/>
      <c r="E760" s="93"/>
      <c r="F760" s="93"/>
      <c r="G760" s="1"/>
      <c r="H760" s="1"/>
      <c r="I760" s="1"/>
      <c r="J760" s="1"/>
      <c r="K760" s="1"/>
      <c r="L760" s="1"/>
      <c r="M760" s="1"/>
      <c r="N760" s="1"/>
      <c r="O760" s="1"/>
      <c r="P760" s="1"/>
      <c r="Q760" s="1"/>
      <c r="R760" s="1"/>
      <c r="S760" s="1"/>
      <c r="T760" s="1"/>
      <c r="U760" s="1"/>
      <c r="V760" s="1"/>
      <c r="W760" s="1"/>
      <c r="X760" s="1"/>
    </row>
    <row r="761" spans="1:24" ht="12.75" customHeight="1" x14ac:dyDescent="0.2">
      <c r="A761" s="1"/>
      <c r="B761" s="1"/>
      <c r="C761" s="89"/>
      <c r="D761" s="89"/>
      <c r="E761" s="93"/>
      <c r="F761" s="93"/>
      <c r="G761" s="1"/>
      <c r="H761" s="1"/>
      <c r="I761" s="1"/>
      <c r="J761" s="1"/>
      <c r="K761" s="1"/>
      <c r="L761" s="1"/>
      <c r="M761" s="1"/>
      <c r="N761" s="1"/>
      <c r="O761" s="1"/>
      <c r="P761" s="1"/>
      <c r="Q761" s="1"/>
      <c r="R761" s="1"/>
      <c r="S761" s="1"/>
      <c r="T761" s="1"/>
      <c r="U761" s="1"/>
      <c r="V761" s="1"/>
      <c r="W761" s="1"/>
      <c r="X761" s="1"/>
    </row>
    <row r="762" spans="1:24" ht="12.75" customHeight="1" x14ac:dyDescent="0.2">
      <c r="A762" s="1"/>
      <c r="B762" s="1"/>
      <c r="C762" s="89"/>
      <c r="D762" s="89"/>
      <c r="E762" s="93"/>
      <c r="F762" s="93"/>
      <c r="G762" s="1"/>
      <c r="H762" s="1"/>
      <c r="I762" s="1"/>
      <c r="J762" s="1"/>
      <c r="K762" s="1"/>
      <c r="L762" s="1"/>
      <c r="M762" s="1"/>
      <c r="N762" s="1"/>
      <c r="O762" s="1"/>
      <c r="P762" s="1"/>
      <c r="Q762" s="1"/>
      <c r="R762" s="1"/>
      <c r="S762" s="1"/>
      <c r="T762" s="1"/>
      <c r="U762" s="1"/>
      <c r="V762" s="1"/>
      <c r="W762" s="1"/>
      <c r="X762" s="1"/>
    </row>
    <row r="763" spans="1:24" ht="12.75" customHeight="1" x14ac:dyDescent="0.2">
      <c r="A763" s="1"/>
      <c r="B763" s="1"/>
      <c r="C763" s="89"/>
      <c r="D763" s="89"/>
      <c r="E763" s="93"/>
      <c r="F763" s="93"/>
      <c r="G763" s="1"/>
      <c r="H763" s="1"/>
      <c r="I763" s="1"/>
      <c r="J763" s="1"/>
      <c r="K763" s="1"/>
      <c r="L763" s="1"/>
      <c r="M763" s="1"/>
      <c r="N763" s="1"/>
      <c r="O763" s="1"/>
      <c r="P763" s="1"/>
      <c r="Q763" s="1"/>
      <c r="R763" s="1"/>
      <c r="S763" s="1"/>
      <c r="T763" s="1"/>
      <c r="U763" s="1"/>
      <c r="V763" s="1"/>
      <c r="W763" s="1"/>
      <c r="X763" s="1"/>
    </row>
    <row r="764" spans="1:24" ht="12.75" customHeight="1" x14ac:dyDescent="0.2">
      <c r="A764" s="1"/>
      <c r="B764" s="1"/>
      <c r="C764" s="89"/>
      <c r="D764" s="89"/>
      <c r="E764" s="93"/>
      <c r="F764" s="93"/>
      <c r="G764" s="1"/>
      <c r="H764" s="1"/>
      <c r="I764" s="1"/>
      <c r="J764" s="1"/>
      <c r="K764" s="1"/>
      <c r="L764" s="1"/>
      <c r="M764" s="1"/>
      <c r="N764" s="1"/>
      <c r="O764" s="1"/>
      <c r="P764" s="1"/>
      <c r="Q764" s="1"/>
      <c r="R764" s="1"/>
      <c r="S764" s="1"/>
      <c r="T764" s="1"/>
      <c r="U764" s="1"/>
      <c r="V764" s="1"/>
      <c r="W764" s="1"/>
      <c r="X764" s="1"/>
    </row>
    <row r="765" spans="1:24" ht="12.75" customHeight="1" x14ac:dyDescent="0.2">
      <c r="A765" s="1"/>
      <c r="B765" s="1"/>
      <c r="C765" s="89"/>
      <c r="D765" s="89"/>
      <c r="E765" s="93"/>
      <c r="F765" s="93"/>
      <c r="G765" s="1"/>
      <c r="H765" s="1"/>
      <c r="I765" s="1"/>
      <c r="J765" s="1"/>
      <c r="K765" s="1"/>
      <c r="L765" s="1"/>
      <c r="M765" s="1"/>
      <c r="N765" s="1"/>
      <c r="O765" s="1"/>
      <c r="P765" s="1"/>
      <c r="Q765" s="1"/>
      <c r="R765" s="1"/>
      <c r="S765" s="1"/>
      <c r="T765" s="1"/>
      <c r="U765" s="1"/>
      <c r="V765" s="1"/>
      <c r="W765" s="1"/>
      <c r="X765" s="1"/>
    </row>
    <row r="766" spans="1:24" ht="12.75" customHeight="1" x14ac:dyDescent="0.2">
      <c r="A766" s="1"/>
      <c r="B766" s="1"/>
      <c r="C766" s="89"/>
      <c r="D766" s="89"/>
      <c r="E766" s="93"/>
      <c r="F766" s="93"/>
      <c r="G766" s="1"/>
      <c r="H766" s="1"/>
      <c r="I766" s="1"/>
      <c r="J766" s="1"/>
      <c r="K766" s="1"/>
      <c r="L766" s="1"/>
      <c r="M766" s="1"/>
      <c r="N766" s="1"/>
      <c r="O766" s="1"/>
      <c r="P766" s="1"/>
      <c r="Q766" s="1"/>
      <c r="R766" s="1"/>
      <c r="S766" s="1"/>
      <c r="T766" s="1"/>
      <c r="U766" s="1"/>
      <c r="V766" s="1"/>
      <c r="W766" s="1"/>
      <c r="X766" s="1"/>
    </row>
    <row r="767" spans="1:24" ht="12.75" customHeight="1" x14ac:dyDescent="0.2">
      <c r="A767" s="1"/>
      <c r="B767" s="1"/>
      <c r="C767" s="89"/>
      <c r="D767" s="89"/>
      <c r="E767" s="93"/>
      <c r="F767" s="93"/>
      <c r="G767" s="1"/>
      <c r="H767" s="1"/>
      <c r="I767" s="1"/>
      <c r="J767" s="1"/>
      <c r="K767" s="1"/>
      <c r="L767" s="1"/>
      <c r="M767" s="1"/>
      <c r="N767" s="1"/>
      <c r="O767" s="1"/>
      <c r="P767" s="1"/>
      <c r="Q767" s="1"/>
      <c r="R767" s="1"/>
      <c r="S767" s="1"/>
      <c r="T767" s="1"/>
      <c r="U767" s="1"/>
      <c r="V767" s="1"/>
      <c r="W767" s="1"/>
      <c r="X767" s="1"/>
    </row>
    <row r="768" spans="1:24" ht="12.75" customHeight="1" x14ac:dyDescent="0.2">
      <c r="A768" s="1"/>
      <c r="B768" s="1"/>
      <c r="C768" s="89"/>
      <c r="D768" s="89"/>
      <c r="E768" s="93"/>
      <c r="F768" s="93"/>
      <c r="G768" s="1"/>
      <c r="H768" s="1"/>
      <c r="I768" s="1"/>
      <c r="J768" s="1"/>
      <c r="K768" s="1"/>
      <c r="L768" s="1"/>
      <c r="M768" s="1"/>
      <c r="N768" s="1"/>
      <c r="O768" s="1"/>
      <c r="P768" s="1"/>
      <c r="Q768" s="1"/>
      <c r="R768" s="1"/>
      <c r="S768" s="1"/>
      <c r="T768" s="1"/>
      <c r="U768" s="1"/>
      <c r="V768" s="1"/>
      <c r="W768" s="1"/>
      <c r="X768" s="1"/>
    </row>
    <row r="769" spans="1:24" ht="12.75" customHeight="1" x14ac:dyDescent="0.2">
      <c r="A769" s="1"/>
      <c r="B769" s="1"/>
      <c r="C769" s="89"/>
      <c r="D769" s="89"/>
      <c r="E769" s="93"/>
      <c r="F769" s="93"/>
      <c r="G769" s="1"/>
      <c r="H769" s="1"/>
      <c r="I769" s="1"/>
      <c r="J769" s="1"/>
      <c r="K769" s="1"/>
      <c r="L769" s="1"/>
      <c r="M769" s="1"/>
      <c r="N769" s="1"/>
      <c r="O769" s="1"/>
      <c r="P769" s="1"/>
      <c r="Q769" s="1"/>
      <c r="R769" s="1"/>
      <c r="S769" s="1"/>
      <c r="T769" s="1"/>
      <c r="U769" s="1"/>
      <c r="V769" s="1"/>
      <c r="W769" s="1"/>
      <c r="X769" s="1"/>
    </row>
    <row r="770" spans="1:24" ht="12.75" customHeight="1" x14ac:dyDescent="0.2">
      <c r="A770" s="1"/>
      <c r="B770" s="1"/>
      <c r="C770" s="89"/>
      <c r="D770" s="89"/>
      <c r="E770" s="93"/>
      <c r="F770" s="93"/>
      <c r="G770" s="1"/>
      <c r="H770" s="1"/>
      <c r="I770" s="1"/>
      <c r="J770" s="1"/>
      <c r="K770" s="1"/>
      <c r="L770" s="1"/>
      <c r="M770" s="1"/>
      <c r="N770" s="1"/>
      <c r="O770" s="1"/>
      <c r="P770" s="1"/>
      <c r="Q770" s="1"/>
      <c r="R770" s="1"/>
      <c r="S770" s="1"/>
      <c r="T770" s="1"/>
      <c r="U770" s="1"/>
      <c r="V770" s="1"/>
      <c r="W770" s="1"/>
      <c r="X770" s="1"/>
    </row>
    <row r="771" spans="1:24" ht="12.75" customHeight="1" x14ac:dyDescent="0.2">
      <c r="A771" s="1"/>
      <c r="B771" s="1"/>
      <c r="C771" s="89"/>
      <c r="D771" s="89"/>
      <c r="E771" s="93"/>
      <c r="F771" s="93"/>
      <c r="G771" s="1"/>
      <c r="H771" s="1"/>
      <c r="I771" s="1"/>
      <c r="J771" s="1"/>
      <c r="K771" s="1"/>
      <c r="L771" s="1"/>
      <c r="M771" s="1"/>
      <c r="N771" s="1"/>
      <c r="O771" s="1"/>
      <c r="P771" s="1"/>
      <c r="Q771" s="1"/>
      <c r="R771" s="1"/>
      <c r="S771" s="1"/>
      <c r="T771" s="1"/>
      <c r="U771" s="1"/>
      <c r="V771" s="1"/>
      <c r="W771" s="1"/>
      <c r="X771" s="1"/>
    </row>
    <row r="772" spans="1:24" ht="12.75" customHeight="1" x14ac:dyDescent="0.2">
      <c r="A772" s="1"/>
      <c r="B772" s="1"/>
      <c r="C772" s="89"/>
      <c r="D772" s="89"/>
      <c r="E772" s="93"/>
      <c r="F772" s="93"/>
      <c r="G772" s="1"/>
      <c r="H772" s="1"/>
      <c r="I772" s="1"/>
      <c r="J772" s="1"/>
      <c r="K772" s="1"/>
      <c r="L772" s="1"/>
      <c r="M772" s="1"/>
      <c r="N772" s="1"/>
      <c r="O772" s="1"/>
      <c r="P772" s="1"/>
      <c r="Q772" s="1"/>
      <c r="R772" s="1"/>
      <c r="S772" s="1"/>
      <c r="T772" s="1"/>
      <c r="U772" s="1"/>
      <c r="V772" s="1"/>
      <c r="W772" s="1"/>
      <c r="X772" s="1"/>
    </row>
    <row r="773" spans="1:24" ht="12.75" customHeight="1" x14ac:dyDescent="0.2">
      <c r="A773" s="1"/>
      <c r="B773" s="1"/>
      <c r="C773" s="89"/>
      <c r="D773" s="89"/>
      <c r="E773" s="93"/>
      <c r="F773" s="93"/>
      <c r="G773" s="1"/>
      <c r="H773" s="1"/>
      <c r="I773" s="1"/>
      <c r="J773" s="1"/>
      <c r="K773" s="1"/>
      <c r="L773" s="1"/>
      <c r="M773" s="1"/>
      <c r="N773" s="1"/>
      <c r="O773" s="1"/>
      <c r="P773" s="1"/>
      <c r="Q773" s="1"/>
      <c r="R773" s="1"/>
      <c r="S773" s="1"/>
      <c r="T773" s="1"/>
      <c r="U773" s="1"/>
      <c r="V773" s="1"/>
      <c r="W773" s="1"/>
      <c r="X773" s="1"/>
    </row>
    <row r="774" spans="1:24" ht="12.75" customHeight="1" x14ac:dyDescent="0.2">
      <c r="A774" s="1"/>
      <c r="B774" s="1"/>
      <c r="C774" s="89"/>
      <c r="D774" s="89"/>
      <c r="E774" s="93"/>
      <c r="F774" s="93"/>
      <c r="G774" s="1"/>
      <c r="H774" s="1"/>
      <c r="I774" s="1"/>
      <c r="J774" s="1"/>
      <c r="K774" s="1"/>
      <c r="L774" s="1"/>
      <c r="M774" s="1"/>
      <c r="N774" s="1"/>
      <c r="O774" s="1"/>
      <c r="P774" s="1"/>
      <c r="Q774" s="1"/>
      <c r="R774" s="1"/>
      <c r="S774" s="1"/>
      <c r="T774" s="1"/>
      <c r="U774" s="1"/>
      <c r="V774" s="1"/>
      <c r="W774" s="1"/>
      <c r="X774" s="1"/>
    </row>
    <row r="775" spans="1:24" ht="12.75" customHeight="1" x14ac:dyDescent="0.2">
      <c r="A775" s="1"/>
      <c r="B775" s="1"/>
      <c r="C775" s="89"/>
      <c r="D775" s="89"/>
      <c r="E775" s="93"/>
      <c r="F775" s="93"/>
      <c r="G775" s="1"/>
      <c r="H775" s="1"/>
      <c r="I775" s="1"/>
      <c r="J775" s="1"/>
      <c r="K775" s="1"/>
      <c r="L775" s="1"/>
      <c r="M775" s="1"/>
      <c r="N775" s="1"/>
      <c r="O775" s="1"/>
      <c r="P775" s="1"/>
      <c r="Q775" s="1"/>
      <c r="R775" s="1"/>
      <c r="S775" s="1"/>
      <c r="T775" s="1"/>
      <c r="U775" s="1"/>
      <c r="V775" s="1"/>
      <c r="W775" s="1"/>
      <c r="X775" s="1"/>
    </row>
    <row r="776" spans="1:24" ht="12.75" customHeight="1" x14ac:dyDescent="0.2">
      <c r="A776" s="1"/>
      <c r="B776" s="1"/>
      <c r="C776" s="89"/>
      <c r="D776" s="89"/>
      <c r="E776" s="93"/>
      <c r="F776" s="93"/>
      <c r="G776" s="1"/>
      <c r="H776" s="1"/>
      <c r="I776" s="1"/>
      <c r="J776" s="1"/>
      <c r="K776" s="1"/>
      <c r="L776" s="1"/>
      <c r="M776" s="1"/>
      <c r="N776" s="1"/>
      <c r="O776" s="1"/>
      <c r="P776" s="1"/>
      <c r="Q776" s="1"/>
      <c r="R776" s="1"/>
      <c r="S776" s="1"/>
      <c r="T776" s="1"/>
      <c r="U776" s="1"/>
      <c r="V776" s="1"/>
      <c r="W776" s="1"/>
      <c r="X776" s="1"/>
    </row>
    <row r="777" spans="1:24" ht="12.75" customHeight="1" x14ac:dyDescent="0.2">
      <c r="A777" s="1"/>
      <c r="B777" s="1"/>
      <c r="C777" s="89"/>
      <c r="D777" s="89"/>
      <c r="E777" s="93"/>
      <c r="F777" s="93"/>
      <c r="G777" s="1"/>
      <c r="H777" s="1"/>
      <c r="I777" s="1"/>
      <c r="J777" s="1"/>
      <c r="K777" s="1"/>
      <c r="L777" s="1"/>
      <c r="M777" s="1"/>
      <c r="N777" s="1"/>
      <c r="O777" s="1"/>
      <c r="P777" s="1"/>
      <c r="Q777" s="1"/>
      <c r="R777" s="1"/>
      <c r="S777" s="1"/>
      <c r="T777" s="1"/>
      <c r="U777" s="1"/>
      <c r="V777" s="1"/>
      <c r="W777" s="1"/>
      <c r="X777" s="1"/>
    </row>
    <row r="778" spans="1:24" ht="12.75" customHeight="1" x14ac:dyDescent="0.2">
      <c r="A778" s="1"/>
      <c r="B778" s="1"/>
      <c r="C778" s="89"/>
      <c r="D778" s="89"/>
      <c r="E778" s="93"/>
      <c r="F778" s="93"/>
      <c r="G778" s="1"/>
      <c r="H778" s="1"/>
      <c r="I778" s="1"/>
      <c r="J778" s="1"/>
      <c r="K778" s="1"/>
      <c r="L778" s="1"/>
      <c r="M778" s="1"/>
      <c r="N778" s="1"/>
      <c r="O778" s="1"/>
      <c r="P778" s="1"/>
      <c r="Q778" s="1"/>
      <c r="R778" s="1"/>
      <c r="S778" s="1"/>
      <c r="T778" s="1"/>
      <c r="U778" s="1"/>
      <c r="V778" s="1"/>
      <c r="W778" s="1"/>
      <c r="X778" s="1"/>
    </row>
    <row r="779" spans="1:24" ht="12.75" customHeight="1" x14ac:dyDescent="0.2">
      <c r="A779" s="1"/>
      <c r="B779" s="1"/>
      <c r="C779" s="89"/>
      <c r="D779" s="89"/>
      <c r="E779" s="93"/>
      <c r="F779" s="93"/>
      <c r="G779" s="1"/>
      <c r="H779" s="1"/>
      <c r="I779" s="1"/>
      <c r="J779" s="1"/>
      <c r="K779" s="1"/>
      <c r="L779" s="1"/>
      <c r="M779" s="1"/>
      <c r="N779" s="1"/>
      <c r="O779" s="1"/>
      <c r="P779" s="1"/>
      <c r="Q779" s="1"/>
      <c r="R779" s="1"/>
      <c r="S779" s="1"/>
      <c r="T779" s="1"/>
      <c r="U779" s="1"/>
      <c r="V779" s="1"/>
      <c r="W779" s="1"/>
      <c r="X779" s="1"/>
    </row>
    <row r="780" spans="1:24" ht="12.75" customHeight="1" x14ac:dyDescent="0.2">
      <c r="A780" s="1"/>
      <c r="B780" s="1"/>
      <c r="C780" s="89"/>
      <c r="D780" s="89"/>
      <c r="E780" s="93"/>
      <c r="F780" s="93"/>
      <c r="G780" s="1"/>
      <c r="H780" s="1"/>
      <c r="I780" s="1"/>
      <c r="J780" s="1"/>
      <c r="K780" s="1"/>
      <c r="L780" s="1"/>
      <c r="M780" s="1"/>
      <c r="N780" s="1"/>
      <c r="O780" s="1"/>
      <c r="P780" s="1"/>
      <c r="Q780" s="1"/>
      <c r="R780" s="1"/>
      <c r="S780" s="1"/>
      <c r="T780" s="1"/>
      <c r="U780" s="1"/>
      <c r="V780" s="1"/>
      <c r="W780" s="1"/>
      <c r="X780" s="1"/>
    </row>
    <row r="781" spans="1:24" ht="12.75" customHeight="1" x14ac:dyDescent="0.2">
      <c r="A781" s="1"/>
      <c r="B781" s="1"/>
      <c r="C781" s="89"/>
      <c r="D781" s="89"/>
      <c r="E781" s="93"/>
      <c r="F781" s="93"/>
      <c r="G781" s="1"/>
      <c r="H781" s="1"/>
      <c r="I781" s="1"/>
      <c r="J781" s="1"/>
      <c r="K781" s="1"/>
      <c r="L781" s="1"/>
      <c r="M781" s="1"/>
      <c r="N781" s="1"/>
      <c r="O781" s="1"/>
      <c r="P781" s="1"/>
      <c r="Q781" s="1"/>
      <c r="R781" s="1"/>
      <c r="S781" s="1"/>
      <c r="T781" s="1"/>
      <c r="U781" s="1"/>
      <c r="V781" s="1"/>
      <c r="W781" s="1"/>
      <c r="X781" s="1"/>
    </row>
    <row r="782" spans="1:24" ht="12.75" customHeight="1" x14ac:dyDescent="0.2">
      <c r="A782" s="1"/>
      <c r="B782" s="1"/>
      <c r="C782" s="89"/>
      <c r="D782" s="89"/>
      <c r="E782" s="93"/>
      <c r="F782" s="93"/>
      <c r="G782" s="1"/>
      <c r="H782" s="1"/>
      <c r="I782" s="1"/>
      <c r="J782" s="1"/>
      <c r="K782" s="1"/>
      <c r="L782" s="1"/>
      <c r="M782" s="1"/>
      <c r="N782" s="1"/>
      <c r="O782" s="1"/>
      <c r="P782" s="1"/>
      <c r="Q782" s="1"/>
      <c r="R782" s="1"/>
      <c r="S782" s="1"/>
      <c r="T782" s="1"/>
      <c r="U782" s="1"/>
      <c r="V782" s="1"/>
      <c r="W782" s="1"/>
      <c r="X782" s="1"/>
    </row>
    <row r="783" spans="1:24" ht="12.75" customHeight="1" x14ac:dyDescent="0.2">
      <c r="A783" s="1"/>
      <c r="B783" s="1"/>
      <c r="C783" s="89"/>
      <c r="D783" s="89"/>
      <c r="E783" s="93"/>
      <c r="F783" s="93"/>
      <c r="G783" s="1"/>
      <c r="H783" s="1"/>
      <c r="I783" s="1"/>
      <c r="J783" s="1"/>
      <c r="K783" s="1"/>
      <c r="L783" s="1"/>
      <c r="M783" s="1"/>
      <c r="N783" s="1"/>
      <c r="O783" s="1"/>
      <c r="P783" s="1"/>
      <c r="Q783" s="1"/>
      <c r="R783" s="1"/>
      <c r="S783" s="1"/>
      <c r="T783" s="1"/>
      <c r="U783" s="1"/>
      <c r="V783" s="1"/>
      <c r="W783" s="1"/>
      <c r="X783" s="1"/>
    </row>
    <row r="784" spans="1:24" ht="12.75" customHeight="1" x14ac:dyDescent="0.2">
      <c r="A784" s="1"/>
      <c r="B784" s="1"/>
      <c r="C784" s="89"/>
      <c r="D784" s="89"/>
      <c r="E784" s="93"/>
      <c r="F784" s="93"/>
      <c r="G784" s="1"/>
      <c r="H784" s="1"/>
      <c r="I784" s="1"/>
      <c r="J784" s="1"/>
      <c r="K784" s="1"/>
      <c r="L784" s="1"/>
      <c r="M784" s="1"/>
      <c r="N784" s="1"/>
      <c r="O784" s="1"/>
      <c r="P784" s="1"/>
      <c r="Q784" s="1"/>
      <c r="R784" s="1"/>
      <c r="S784" s="1"/>
      <c r="T784" s="1"/>
      <c r="U784" s="1"/>
      <c r="V784" s="1"/>
      <c r="W784" s="1"/>
      <c r="X784" s="1"/>
    </row>
    <row r="785" spans="1:24" ht="12.75" customHeight="1" x14ac:dyDescent="0.2">
      <c r="A785" s="1"/>
      <c r="B785" s="1"/>
      <c r="C785" s="89"/>
      <c r="D785" s="89"/>
      <c r="E785" s="93"/>
      <c r="F785" s="93"/>
      <c r="G785" s="1"/>
      <c r="H785" s="1"/>
      <c r="I785" s="1"/>
      <c r="J785" s="1"/>
      <c r="K785" s="1"/>
      <c r="L785" s="1"/>
      <c r="M785" s="1"/>
      <c r="N785" s="1"/>
      <c r="O785" s="1"/>
      <c r="P785" s="1"/>
      <c r="Q785" s="1"/>
      <c r="R785" s="1"/>
      <c r="S785" s="1"/>
      <c r="T785" s="1"/>
      <c r="U785" s="1"/>
      <c r="V785" s="1"/>
      <c r="W785" s="1"/>
      <c r="X785" s="1"/>
    </row>
    <row r="786" spans="1:24" ht="12.75" customHeight="1" x14ac:dyDescent="0.2">
      <c r="A786" s="1"/>
      <c r="B786" s="1"/>
      <c r="C786" s="89"/>
      <c r="D786" s="89"/>
      <c r="E786" s="93"/>
      <c r="F786" s="93"/>
      <c r="G786" s="1"/>
      <c r="H786" s="1"/>
      <c r="I786" s="1"/>
      <c r="J786" s="1"/>
      <c r="K786" s="1"/>
      <c r="L786" s="1"/>
      <c r="M786" s="1"/>
      <c r="N786" s="1"/>
      <c r="O786" s="1"/>
      <c r="P786" s="1"/>
      <c r="Q786" s="1"/>
      <c r="R786" s="1"/>
      <c r="S786" s="1"/>
      <c r="T786" s="1"/>
      <c r="U786" s="1"/>
      <c r="V786" s="1"/>
      <c r="W786" s="1"/>
      <c r="X786" s="1"/>
    </row>
    <row r="787" spans="1:24" ht="12.75" customHeight="1" x14ac:dyDescent="0.2">
      <c r="A787" s="1"/>
      <c r="B787" s="1"/>
      <c r="C787" s="89"/>
      <c r="D787" s="89"/>
      <c r="E787" s="93"/>
      <c r="F787" s="93"/>
      <c r="G787" s="1"/>
      <c r="H787" s="1"/>
      <c r="I787" s="1"/>
      <c r="J787" s="1"/>
      <c r="K787" s="1"/>
      <c r="L787" s="1"/>
      <c r="M787" s="1"/>
      <c r="N787" s="1"/>
      <c r="O787" s="1"/>
      <c r="P787" s="1"/>
      <c r="Q787" s="1"/>
      <c r="R787" s="1"/>
      <c r="S787" s="1"/>
      <c r="T787" s="1"/>
      <c r="U787" s="1"/>
      <c r="V787" s="1"/>
      <c r="W787" s="1"/>
      <c r="X787" s="1"/>
    </row>
    <row r="788" spans="1:24" ht="12.75" customHeight="1" x14ac:dyDescent="0.2">
      <c r="A788" s="1"/>
      <c r="B788" s="1"/>
      <c r="C788" s="89"/>
      <c r="D788" s="89"/>
      <c r="E788" s="93"/>
      <c r="F788" s="93"/>
      <c r="G788" s="1"/>
      <c r="H788" s="1"/>
      <c r="I788" s="1"/>
      <c r="J788" s="1"/>
      <c r="K788" s="1"/>
      <c r="L788" s="1"/>
      <c r="M788" s="1"/>
      <c r="N788" s="1"/>
      <c r="O788" s="1"/>
      <c r="P788" s="1"/>
      <c r="Q788" s="1"/>
      <c r="R788" s="1"/>
      <c r="S788" s="1"/>
      <c r="T788" s="1"/>
      <c r="U788" s="1"/>
      <c r="V788" s="1"/>
      <c r="W788" s="1"/>
      <c r="X788" s="1"/>
    </row>
    <row r="789" spans="1:24" ht="12.75" customHeight="1" x14ac:dyDescent="0.2">
      <c r="A789" s="1"/>
      <c r="B789" s="1"/>
      <c r="C789" s="89"/>
      <c r="D789" s="89"/>
      <c r="E789" s="93"/>
      <c r="F789" s="93"/>
      <c r="G789" s="1"/>
      <c r="H789" s="1"/>
      <c r="I789" s="1"/>
      <c r="J789" s="1"/>
      <c r="K789" s="1"/>
      <c r="L789" s="1"/>
      <c r="M789" s="1"/>
      <c r="N789" s="1"/>
      <c r="O789" s="1"/>
      <c r="P789" s="1"/>
      <c r="Q789" s="1"/>
      <c r="R789" s="1"/>
      <c r="S789" s="1"/>
      <c r="T789" s="1"/>
      <c r="U789" s="1"/>
      <c r="V789" s="1"/>
      <c r="W789" s="1"/>
      <c r="X789" s="1"/>
    </row>
    <row r="790" spans="1:24" ht="12.75" customHeight="1" x14ac:dyDescent="0.2">
      <c r="A790" s="1"/>
      <c r="B790" s="1"/>
      <c r="C790" s="89"/>
      <c r="D790" s="89"/>
      <c r="E790" s="93"/>
      <c r="F790" s="93"/>
      <c r="G790" s="1"/>
      <c r="H790" s="1"/>
      <c r="I790" s="1"/>
      <c r="J790" s="1"/>
      <c r="K790" s="1"/>
      <c r="L790" s="1"/>
      <c r="M790" s="1"/>
      <c r="N790" s="1"/>
      <c r="O790" s="1"/>
      <c r="P790" s="1"/>
      <c r="Q790" s="1"/>
      <c r="R790" s="1"/>
      <c r="S790" s="1"/>
      <c r="T790" s="1"/>
      <c r="U790" s="1"/>
      <c r="V790" s="1"/>
      <c r="W790" s="1"/>
      <c r="X790" s="1"/>
    </row>
    <row r="791" spans="1:24" ht="12.75" customHeight="1" x14ac:dyDescent="0.2">
      <c r="A791" s="1"/>
      <c r="B791" s="1"/>
      <c r="C791" s="89"/>
      <c r="D791" s="89"/>
      <c r="E791" s="93"/>
      <c r="F791" s="93"/>
      <c r="G791" s="1"/>
      <c r="H791" s="1"/>
      <c r="I791" s="1"/>
      <c r="J791" s="1"/>
      <c r="K791" s="1"/>
      <c r="L791" s="1"/>
      <c r="M791" s="1"/>
      <c r="N791" s="1"/>
      <c r="O791" s="1"/>
      <c r="P791" s="1"/>
      <c r="Q791" s="1"/>
      <c r="R791" s="1"/>
      <c r="S791" s="1"/>
      <c r="T791" s="1"/>
      <c r="U791" s="1"/>
      <c r="V791" s="1"/>
      <c r="W791" s="1"/>
      <c r="X791" s="1"/>
    </row>
    <row r="792" spans="1:24" ht="12.75" customHeight="1" x14ac:dyDescent="0.2">
      <c r="A792" s="1"/>
      <c r="B792" s="1"/>
      <c r="C792" s="89"/>
      <c r="D792" s="89"/>
      <c r="E792" s="93"/>
      <c r="F792" s="93"/>
      <c r="G792" s="1"/>
      <c r="H792" s="1"/>
      <c r="I792" s="1"/>
      <c r="J792" s="1"/>
      <c r="K792" s="1"/>
      <c r="L792" s="1"/>
      <c r="M792" s="1"/>
      <c r="N792" s="1"/>
      <c r="O792" s="1"/>
      <c r="P792" s="1"/>
      <c r="Q792" s="1"/>
      <c r="R792" s="1"/>
      <c r="S792" s="1"/>
      <c r="T792" s="1"/>
      <c r="U792" s="1"/>
      <c r="V792" s="1"/>
      <c r="W792" s="1"/>
      <c r="X792" s="1"/>
    </row>
    <row r="793" spans="1:24" ht="12.75" customHeight="1" x14ac:dyDescent="0.2">
      <c r="A793" s="1"/>
      <c r="B793" s="1"/>
      <c r="C793" s="89"/>
      <c r="D793" s="89"/>
      <c r="E793" s="93"/>
      <c r="F793" s="93"/>
      <c r="G793" s="1"/>
      <c r="H793" s="1"/>
      <c r="I793" s="1"/>
      <c r="J793" s="1"/>
      <c r="K793" s="1"/>
      <c r="L793" s="1"/>
      <c r="M793" s="1"/>
      <c r="N793" s="1"/>
      <c r="O793" s="1"/>
      <c r="P793" s="1"/>
      <c r="Q793" s="1"/>
      <c r="R793" s="1"/>
      <c r="S793" s="1"/>
      <c r="T793" s="1"/>
      <c r="U793" s="1"/>
      <c r="V793" s="1"/>
      <c r="W793" s="1"/>
      <c r="X793" s="1"/>
    </row>
    <row r="794" spans="1:24" ht="12.75" customHeight="1" x14ac:dyDescent="0.2">
      <c r="A794" s="1"/>
      <c r="B794" s="1"/>
      <c r="C794" s="89"/>
      <c r="D794" s="89"/>
      <c r="E794" s="93"/>
      <c r="F794" s="93"/>
      <c r="G794" s="1"/>
      <c r="H794" s="1"/>
      <c r="I794" s="1"/>
      <c r="J794" s="1"/>
      <c r="K794" s="1"/>
      <c r="L794" s="1"/>
      <c r="M794" s="1"/>
      <c r="N794" s="1"/>
      <c r="O794" s="1"/>
      <c r="P794" s="1"/>
      <c r="Q794" s="1"/>
      <c r="R794" s="1"/>
      <c r="S794" s="1"/>
      <c r="T794" s="1"/>
      <c r="U794" s="1"/>
      <c r="V794" s="1"/>
      <c r="W794" s="1"/>
      <c r="X794" s="1"/>
    </row>
    <row r="795" spans="1:24" ht="12.75" customHeight="1" x14ac:dyDescent="0.2">
      <c r="A795" s="1"/>
      <c r="B795" s="1"/>
      <c r="C795" s="89"/>
      <c r="D795" s="89"/>
      <c r="E795" s="93"/>
      <c r="F795" s="93"/>
      <c r="G795" s="1"/>
      <c r="H795" s="1"/>
      <c r="I795" s="1"/>
      <c r="J795" s="1"/>
      <c r="K795" s="1"/>
      <c r="L795" s="1"/>
      <c r="M795" s="1"/>
      <c r="N795" s="1"/>
      <c r="O795" s="1"/>
      <c r="P795" s="1"/>
      <c r="Q795" s="1"/>
      <c r="R795" s="1"/>
      <c r="S795" s="1"/>
      <c r="T795" s="1"/>
      <c r="U795" s="1"/>
      <c r="V795" s="1"/>
      <c r="W795" s="1"/>
      <c r="X795" s="1"/>
    </row>
    <row r="796" spans="1:24" ht="12.75" customHeight="1" x14ac:dyDescent="0.2">
      <c r="A796" s="1"/>
      <c r="B796" s="1"/>
      <c r="C796" s="89"/>
      <c r="D796" s="89"/>
      <c r="E796" s="93"/>
      <c r="F796" s="93"/>
      <c r="G796" s="1"/>
      <c r="H796" s="1"/>
      <c r="I796" s="1"/>
      <c r="J796" s="1"/>
      <c r="K796" s="1"/>
      <c r="L796" s="1"/>
      <c r="M796" s="1"/>
      <c r="N796" s="1"/>
      <c r="O796" s="1"/>
      <c r="P796" s="1"/>
      <c r="Q796" s="1"/>
      <c r="R796" s="1"/>
      <c r="S796" s="1"/>
      <c r="T796" s="1"/>
      <c r="U796" s="1"/>
      <c r="V796" s="1"/>
      <c r="W796" s="1"/>
      <c r="X796" s="1"/>
    </row>
    <row r="797" spans="1:24" ht="12.75" customHeight="1" x14ac:dyDescent="0.2">
      <c r="A797" s="1"/>
      <c r="B797" s="1"/>
      <c r="C797" s="89"/>
      <c r="D797" s="89"/>
      <c r="E797" s="93"/>
      <c r="F797" s="93"/>
      <c r="G797" s="1"/>
      <c r="H797" s="1"/>
      <c r="I797" s="1"/>
      <c r="J797" s="1"/>
      <c r="K797" s="1"/>
      <c r="L797" s="1"/>
      <c r="M797" s="1"/>
      <c r="N797" s="1"/>
      <c r="O797" s="1"/>
      <c r="P797" s="1"/>
      <c r="Q797" s="1"/>
      <c r="R797" s="1"/>
      <c r="S797" s="1"/>
      <c r="T797" s="1"/>
      <c r="U797" s="1"/>
      <c r="V797" s="1"/>
      <c r="W797" s="1"/>
      <c r="X797" s="1"/>
    </row>
    <row r="798" spans="1:24" ht="12.75" customHeight="1" x14ac:dyDescent="0.2">
      <c r="A798" s="1"/>
      <c r="B798" s="1"/>
      <c r="C798" s="89"/>
      <c r="D798" s="89"/>
      <c r="E798" s="93"/>
      <c r="F798" s="93"/>
      <c r="G798" s="1"/>
      <c r="H798" s="1"/>
      <c r="I798" s="1"/>
      <c r="J798" s="1"/>
      <c r="K798" s="1"/>
      <c r="L798" s="1"/>
      <c r="M798" s="1"/>
      <c r="N798" s="1"/>
      <c r="O798" s="1"/>
      <c r="P798" s="1"/>
      <c r="Q798" s="1"/>
      <c r="R798" s="1"/>
      <c r="S798" s="1"/>
      <c r="T798" s="1"/>
      <c r="U798" s="1"/>
      <c r="V798" s="1"/>
      <c r="W798" s="1"/>
      <c r="X798" s="1"/>
    </row>
    <row r="799" spans="1:24" ht="12.75" customHeight="1" x14ac:dyDescent="0.2">
      <c r="A799" s="1"/>
      <c r="B799" s="1"/>
      <c r="C799" s="89"/>
      <c r="D799" s="89"/>
      <c r="E799" s="93"/>
      <c r="F799" s="93"/>
      <c r="G799" s="1"/>
      <c r="H799" s="1"/>
      <c r="I799" s="1"/>
      <c r="J799" s="1"/>
      <c r="K799" s="1"/>
      <c r="L799" s="1"/>
      <c r="M799" s="1"/>
      <c r="N799" s="1"/>
      <c r="O799" s="1"/>
      <c r="P799" s="1"/>
      <c r="Q799" s="1"/>
      <c r="R799" s="1"/>
      <c r="S799" s="1"/>
      <c r="T799" s="1"/>
      <c r="U799" s="1"/>
      <c r="V799" s="1"/>
      <c r="W799" s="1"/>
      <c r="X799" s="1"/>
    </row>
    <row r="800" spans="1:24" ht="12.75" customHeight="1" x14ac:dyDescent="0.2">
      <c r="A800" s="1"/>
      <c r="B800" s="1"/>
      <c r="C800" s="89"/>
      <c r="D800" s="89"/>
      <c r="E800" s="93"/>
      <c r="F800" s="93"/>
      <c r="G800" s="1"/>
      <c r="H800" s="1"/>
      <c r="I800" s="1"/>
      <c r="J800" s="1"/>
      <c r="K800" s="1"/>
      <c r="L800" s="1"/>
      <c r="M800" s="1"/>
      <c r="N800" s="1"/>
      <c r="O800" s="1"/>
      <c r="P800" s="1"/>
      <c r="Q800" s="1"/>
      <c r="R800" s="1"/>
      <c r="S800" s="1"/>
      <c r="T800" s="1"/>
      <c r="U800" s="1"/>
      <c r="V800" s="1"/>
      <c r="W800" s="1"/>
      <c r="X800" s="1"/>
    </row>
    <row r="801" spans="1:24" ht="12.75" customHeight="1" x14ac:dyDescent="0.2">
      <c r="A801" s="1"/>
      <c r="B801" s="1"/>
      <c r="C801" s="89"/>
      <c r="D801" s="89"/>
      <c r="E801" s="93"/>
      <c r="F801" s="93"/>
      <c r="G801" s="1"/>
      <c r="H801" s="1"/>
      <c r="I801" s="1"/>
      <c r="J801" s="1"/>
      <c r="K801" s="1"/>
      <c r="L801" s="1"/>
      <c r="M801" s="1"/>
      <c r="N801" s="1"/>
      <c r="O801" s="1"/>
      <c r="P801" s="1"/>
      <c r="Q801" s="1"/>
      <c r="R801" s="1"/>
      <c r="S801" s="1"/>
      <c r="T801" s="1"/>
      <c r="U801" s="1"/>
      <c r="V801" s="1"/>
      <c r="W801" s="1"/>
      <c r="X801" s="1"/>
    </row>
    <row r="802" spans="1:24" ht="12.75" customHeight="1" x14ac:dyDescent="0.2">
      <c r="A802" s="1"/>
      <c r="B802" s="1"/>
      <c r="C802" s="89"/>
      <c r="D802" s="89"/>
      <c r="E802" s="93"/>
      <c r="F802" s="93"/>
      <c r="G802" s="1"/>
      <c r="H802" s="1"/>
      <c r="I802" s="1"/>
      <c r="J802" s="1"/>
      <c r="K802" s="1"/>
      <c r="L802" s="1"/>
      <c r="M802" s="1"/>
      <c r="N802" s="1"/>
      <c r="O802" s="1"/>
      <c r="P802" s="1"/>
      <c r="Q802" s="1"/>
      <c r="R802" s="1"/>
      <c r="S802" s="1"/>
      <c r="T802" s="1"/>
      <c r="U802" s="1"/>
      <c r="V802" s="1"/>
      <c r="W802" s="1"/>
      <c r="X802" s="1"/>
    </row>
    <row r="803" spans="1:24" ht="12.75" customHeight="1" x14ac:dyDescent="0.2">
      <c r="A803" s="1"/>
      <c r="B803" s="1"/>
      <c r="C803" s="89"/>
      <c r="D803" s="89"/>
      <c r="E803" s="93"/>
      <c r="F803" s="93"/>
      <c r="G803" s="1"/>
      <c r="H803" s="1"/>
      <c r="I803" s="1"/>
      <c r="J803" s="1"/>
      <c r="K803" s="1"/>
      <c r="L803" s="1"/>
      <c r="M803" s="1"/>
      <c r="N803" s="1"/>
      <c r="O803" s="1"/>
      <c r="P803" s="1"/>
      <c r="Q803" s="1"/>
      <c r="R803" s="1"/>
      <c r="S803" s="1"/>
      <c r="T803" s="1"/>
      <c r="U803" s="1"/>
      <c r="V803" s="1"/>
      <c r="W803" s="1"/>
      <c r="X803" s="1"/>
    </row>
    <row r="804" spans="1:24" ht="12.75" customHeight="1" x14ac:dyDescent="0.2">
      <c r="A804" s="1"/>
      <c r="B804" s="1"/>
      <c r="C804" s="89"/>
      <c r="D804" s="89"/>
      <c r="E804" s="93"/>
      <c r="F804" s="93"/>
      <c r="G804" s="1"/>
      <c r="H804" s="1"/>
      <c r="I804" s="1"/>
      <c r="J804" s="1"/>
      <c r="K804" s="1"/>
      <c r="L804" s="1"/>
      <c r="M804" s="1"/>
      <c r="N804" s="1"/>
      <c r="O804" s="1"/>
      <c r="P804" s="1"/>
      <c r="Q804" s="1"/>
      <c r="R804" s="1"/>
      <c r="S804" s="1"/>
      <c r="T804" s="1"/>
      <c r="U804" s="1"/>
      <c r="V804" s="1"/>
      <c r="W804" s="1"/>
      <c r="X804" s="1"/>
    </row>
    <row r="805" spans="1:24" ht="12.75" customHeight="1" x14ac:dyDescent="0.2">
      <c r="A805" s="1"/>
      <c r="B805" s="1"/>
      <c r="C805" s="89"/>
      <c r="D805" s="89"/>
      <c r="E805" s="93"/>
      <c r="F805" s="93"/>
      <c r="G805" s="1"/>
      <c r="H805" s="1"/>
      <c r="I805" s="1"/>
      <c r="J805" s="1"/>
      <c r="K805" s="1"/>
      <c r="L805" s="1"/>
      <c r="M805" s="1"/>
      <c r="N805" s="1"/>
      <c r="O805" s="1"/>
      <c r="P805" s="1"/>
      <c r="Q805" s="1"/>
      <c r="R805" s="1"/>
      <c r="S805" s="1"/>
      <c r="T805" s="1"/>
      <c r="U805" s="1"/>
      <c r="V805" s="1"/>
      <c r="W805" s="1"/>
      <c r="X805" s="1"/>
    </row>
    <row r="806" spans="1:24" ht="12.75" customHeight="1" x14ac:dyDescent="0.2">
      <c r="A806" s="1"/>
      <c r="B806" s="1"/>
      <c r="C806" s="89"/>
      <c r="D806" s="89"/>
      <c r="E806" s="93"/>
      <c r="F806" s="93"/>
      <c r="G806" s="1"/>
      <c r="H806" s="1"/>
      <c r="I806" s="1"/>
      <c r="J806" s="1"/>
      <c r="K806" s="1"/>
      <c r="L806" s="1"/>
      <c r="M806" s="1"/>
      <c r="N806" s="1"/>
      <c r="O806" s="1"/>
      <c r="P806" s="1"/>
      <c r="Q806" s="1"/>
      <c r="R806" s="1"/>
      <c r="S806" s="1"/>
      <c r="T806" s="1"/>
      <c r="U806" s="1"/>
      <c r="V806" s="1"/>
      <c r="W806" s="1"/>
      <c r="X806" s="1"/>
    </row>
    <row r="807" spans="1:24" ht="12.75" customHeight="1" x14ac:dyDescent="0.2">
      <c r="A807" s="1"/>
      <c r="B807" s="1"/>
      <c r="C807" s="89"/>
      <c r="D807" s="89"/>
      <c r="E807" s="93"/>
      <c r="F807" s="93"/>
      <c r="G807" s="1"/>
      <c r="H807" s="1"/>
      <c r="I807" s="1"/>
      <c r="J807" s="1"/>
      <c r="K807" s="1"/>
      <c r="L807" s="1"/>
      <c r="M807" s="1"/>
      <c r="N807" s="1"/>
      <c r="O807" s="1"/>
      <c r="P807" s="1"/>
      <c r="Q807" s="1"/>
      <c r="R807" s="1"/>
      <c r="S807" s="1"/>
      <c r="T807" s="1"/>
      <c r="U807" s="1"/>
      <c r="V807" s="1"/>
      <c r="W807" s="1"/>
      <c r="X807" s="1"/>
    </row>
    <row r="808" spans="1:24" ht="12.75" customHeight="1" x14ac:dyDescent="0.2">
      <c r="A808" s="1"/>
      <c r="B808" s="1"/>
      <c r="C808" s="89"/>
      <c r="D808" s="89"/>
      <c r="E808" s="93"/>
      <c r="F808" s="93"/>
      <c r="G808" s="1"/>
      <c r="H808" s="1"/>
      <c r="I808" s="1"/>
      <c r="J808" s="1"/>
      <c r="K808" s="1"/>
      <c r="L808" s="1"/>
      <c r="M808" s="1"/>
      <c r="N808" s="1"/>
      <c r="O808" s="1"/>
      <c r="P808" s="1"/>
      <c r="Q808" s="1"/>
      <c r="R808" s="1"/>
      <c r="S808" s="1"/>
      <c r="T808" s="1"/>
      <c r="U808" s="1"/>
      <c r="V808" s="1"/>
      <c r="W808" s="1"/>
      <c r="X808" s="1"/>
    </row>
    <row r="809" spans="1:24" ht="12.75" customHeight="1" x14ac:dyDescent="0.2">
      <c r="A809" s="1"/>
      <c r="B809" s="1"/>
      <c r="C809" s="89"/>
      <c r="D809" s="89"/>
      <c r="E809" s="93"/>
      <c r="F809" s="93"/>
      <c r="G809" s="1"/>
      <c r="H809" s="1"/>
      <c r="I809" s="1"/>
      <c r="J809" s="1"/>
      <c r="K809" s="1"/>
      <c r="L809" s="1"/>
      <c r="M809" s="1"/>
      <c r="N809" s="1"/>
      <c r="O809" s="1"/>
      <c r="P809" s="1"/>
      <c r="Q809" s="1"/>
      <c r="R809" s="1"/>
      <c r="S809" s="1"/>
      <c r="T809" s="1"/>
      <c r="U809" s="1"/>
      <c r="V809" s="1"/>
      <c r="W809" s="1"/>
      <c r="X809" s="1"/>
    </row>
    <row r="810" spans="1:24" ht="12.75" customHeight="1" x14ac:dyDescent="0.2">
      <c r="A810" s="1"/>
      <c r="B810" s="1"/>
      <c r="C810" s="89"/>
      <c r="D810" s="89"/>
      <c r="E810" s="93"/>
      <c r="F810" s="93"/>
      <c r="G810" s="1"/>
      <c r="H810" s="1"/>
      <c r="I810" s="1"/>
      <c r="J810" s="1"/>
      <c r="K810" s="1"/>
      <c r="L810" s="1"/>
      <c r="M810" s="1"/>
      <c r="N810" s="1"/>
      <c r="O810" s="1"/>
      <c r="P810" s="1"/>
      <c r="Q810" s="1"/>
      <c r="R810" s="1"/>
      <c r="S810" s="1"/>
      <c r="T810" s="1"/>
      <c r="U810" s="1"/>
      <c r="V810" s="1"/>
      <c r="W810" s="1"/>
      <c r="X810" s="1"/>
    </row>
    <row r="811" spans="1:24" ht="12.75" customHeight="1" x14ac:dyDescent="0.2">
      <c r="A811" s="1"/>
      <c r="B811" s="1"/>
      <c r="C811" s="89"/>
      <c r="D811" s="89"/>
      <c r="E811" s="93"/>
      <c r="F811" s="93"/>
      <c r="G811" s="1"/>
      <c r="H811" s="1"/>
      <c r="I811" s="1"/>
      <c r="J811" s="1"/>
      <c r="K811" s="1"/>
      <c r="L811" s="1"/>
      <c r="M811" s="1"/>
      <c r="N811" s="1"/>
      <c r="O811" s="1"/>
      <c r="P811" s="1"/>
      <c r="Q811" s="1"/>
      <c r="R811" s="1"/>
      <c r="S811" s="1"/>
      <c r="T811" s="1"/>
      <c r="U811" s="1"/>
      <c r="V811" s="1"/>
      <c r="W811" s="1"/>
      <c r="X811" s="1"/>
    </row>
    <row r="812" spans="1:24" ht="12.75" customHeight="1" x14ac:dyDescent="0.2">
      <c r="A812" s="1"/>
      <c r="B812" s="1"/>
      <c r="C812" s="89"/>
      <c r="D812" s="89"/>
      <c r="E812" s="93"/>
      <c r="F812" s="93"/>
      <c r="G812" s="1"/>
      <c r="H812" s="1"/>
      <c r="I812" s="1"/>
      <c r="J812" s="1"/>
      <c r="K812" s="1"/>
      <c r="L812" s="1"/>
      <c r="M812" s="1"/>
      <c r="N812" s="1"/>
      <c r="O812" s="1"/>
      <c r="P812" s="1"/>
      <c r="Q812" s="1"/>
      <c r="R812" s="1"/>
      <c r="S812" s="1"/>
      <c r="T812" s="1"/>
      <c r="U812" s="1"/>
      <c r="V812" s="1"/>
      <c r="W812" s="1"/>
      <c r="X812" s="1"/>
    </row>
    <row r="813" spans="1:24" ht="12.75" customHeight="1" x14ac:dyDescent="0.2">
      <c r="A813" s="1"/>
      <c r="B813" s="1"/>
      <c r="C813" s="89"/>
      <c r="D813" s="89"/>
      <c r="E813" s="93"/>
      <c r="F813" s="93"/>
      <c r="G813" s="1"/>
      <c r="H813" s="1"/>
      <c r="I813" s="1"/>
      <c r="J813" s="1"/>
      <c r="K813" s="1"/>
      <c r="L813" s="1"/>
      <c r="M813" s="1"/>
      <c r="N813" s="1"/>
      <c r="O813" s="1"/>
      <c r="P813" s="1"/>
      <c r="Q813" s="1"/>
      <c r="R813" s="1"/>
      <c r="S813" s="1"/>
      <c r="T813" s="1"/>
      <c r="U813" s="1"/>
      <c r="V813" s="1"/>
      <c r="W813" s="1"/>
      <c r="X813" s="1"/>
    </row>
    <row r="814" spans="1:24" ht="12.75" customHeight="1" x14ac:dyDescent="0.2">
      <c r="A814" s="1"/>
      <c r="B814" s="1"/>
      <c r="C814" s="89"/>
      <c r="D814" s="89"/>
      <c r="E814" s="93"/>
      <c r="F814" s="93"/>
      <c r="G814" s="1"/>
      <c r="H814" s="1"/>
      <c r="I814" s="1"/>
      <c r="J814" s="1"/>
      <c r="K814" s="1"/>
      <c r="L814" s="1"/>
      <c r="M814" s="1"/>
      <c r="N814" s="1"/>
      <c r="O814" s="1"/>
      <c r="P814" s="1"/>
      <c r="Q814" s="1"/>
      <c r="R814" s="1"/>
      <c r="S814" s="1"/>
      <c r="T814" s="1"/>
      <c r="U814" s="1"/>
      <c r="V814" s="1"/>
      <c r="W814" s="1"/>
      <c r="X814" s="1"/>
    </row>
    <row r="815" spans="1:24" ht="12.75" customHeight="1" x14ac:dyDescent="0.2">
      <c r="A815" s="1"/>
      <c r="B815" s="1"/>
      <c r="C815" s="89"/>
      <c r="D815" s="89"/>
      <c r="E815" s="93"/>
      <c r="F815" s="93"/>
      <c r="G815" s="1"/>
      <c r="H815" s="1"/>
      <c r="I815" s="1"/>
      <c r="J815" s="1"/>
      <c r="K815" s="1"/>
      <c r="L815" s="1"/>
      <c r="M815" s="1"/>
      <c r="N815" s="1"/>
      <c r="O815" s="1"/>
      <c r="P815" s="1"/>
      <c r="Q815" s="1"/>
      <c r="R815" s="1"/>
      <c r="S815" s="1"/>
      <c r="T815" s="1"/>
      <c r="U815" s="1"/>
      <c r="V815" s="1"/>
      <c r="W815" s="1"/>
      <c r="X815" s="1"/>
    </row>
    <row r="816" spans="1:24" ht="12.75" customHeight="1" x14ac:dyDescent="0.2">
      <c r="A816" s="1"/>
      <c r="B816" s="1"/>
      <c r="C816" s="89"/>
      <c r="D816" s="89"/>
      <c r="E816" s="93"/>
      <c r="F816" s="93"/>
      <c r="G816" s="1"/>
      <c r="H816" s="1"/>
      <c r="I816" s="1"/>
      <c r="J816" s="1"/>
      <c r="K816" s="1"/>
      <c r="L816" s="1"/>
      <c r="M816" s="1"/>
      <c r="N816" s="1"/>
      <c r="O816" s="1"/>
      <c r="P816" s="1"/>
      <c r="Q816" s="1"/>
      <c r="R816" s="1"/>
      <c r="S816" s="1"/>
      <c r="T816" s="1"/>
      <c r="U816" s="1"/>
      <c r="V816" s="1"/>
      <c r="W816" s="1"/>
      <c r="X816" s="1"/>
    </row>
    <row r="817" spans="1:24" ht="12.75" customHeight="1" x14ac:dyDescent="0.2">
      <c r="A817" s="1"/>
      <c r="B817" s="1"/>
      <c r="C817" s="89"/>
      <c r="D817" s="89"/>
      <c r="E817" s="93"/>
      <c r="F817" s="93"/>
      <c r="G817" s="1"/>
      <c r="H817" s="1"/>
      <c r="I817" s="1"/>
      <c r="J817" s="1"/>
      <c r="K817" s="1"/>
      <c r="L817" s="1"/>
      <c r="M817" s="1"/>
      <c r="N817" s="1"/>
      <c r="O817" s="1"/>
      <c r="P817" s="1"/>
      <c r="Q817" s="1"/>
      <c r="R817" s="1"/>
      <c r="S817" s="1"/>
      <c r="T817" s="1"/>
      <c r="U817" s="1"/>
      <c r="V817" s="1"/>
      <c r="W817" s="1"/>
      <c r="X817" s="1"/>
    </row>
    <row r="818" spans="1:24" ht="12.75" customHeight="1" x14ac:dyDescent="0.2">
      <c r="A818" s="1"/>
      <c r="B818" s="1"/>
      <c r="C818" s="89"/>
      <c r="D818" s="89"/>
      <c r="E818" s="93"/>
      <c r="F818" s="93"/>
      <c r="G818" s="1"/>
      <c r="H818" s="1"/>
      <c r="I818" s="1"/>
      <c r="J818" s="1"/>
      <c r="K818" s="1"/>
      <c r="L818" s="1"/>
      <c r="M818" s="1"/>
      <c r="N818" s="1"/>
      <c r="O818" s="1"/>
      <c r="P818" s="1"/>
      <c r="Q818" s="1"/>
      <c r="R818" s="1"/>
      <c r="S818" s="1"/>
      <c r="T818" s="1"/>
      <c r="U818" s="1"/>
      <c r="V818" s="1"/>
      <c r="W818" s="1"/>
      <c r="X818" s="1"/>
    </row>
    <row r="819" spans="1:24" ht="12.75" customHeight="1" x14ac:dyDescent="0.2">
      <c r="A819" s="1"/>
      <c r="B819" s="1"/>
      <c r="C819" s="89"/>
      <c r="D819" s="89"/>
      <c r="E819" s="93"/>
      <c r="F819" s="93"/>
      <c r="G819" s="1"/>
      <c r="H819" s="1"/>
      <c r="I819" s="1"/>
      <c r="J819" s="1"/>
      <c r="K819" s="1"/>
      <c r="L819" s="1"/>
      <c r="M819" s="1"/>
      <c r="N819" s="1"/>
      <c r="O819" s="1"/>
      <c r="P819" s="1"/>
      <c r="Q819" s="1"/>
      <c r="R819" s="1"/>
      <c r="S819" s="1"/>
      <c r="T819" s="1"/>
      <c r="U819" s="1"/>
      <c r="V819" s="1"/>
      <c r="W819" s="1"/>
      <c r="X819" s="1"/>
    </row>
    <row r="820" spans="1:24" ht="12.75" customHeight="1" x14ac:dyDescent="0.2">
      <c r="A820" s="1"/>
      <c r="B820" s="1"/>
      <c r="C820" s="89"/>
      <c r="D820" s="89"/>
      <c r="E820" s="93"/>
      <c r="F820" s="93"/>
      <c r="G820" s="1"/>
      <c r="H820" s="1"/>
      <c r="I820" s="1"/>
      <c r="J820" s="1"/>
      <c r="K820" s="1"/>
      <c r="L820" s="1"/>
      <c r="M820" s="1"/>
      <c r="N820" s="1"/>
      <c r="O820" s="1"/>
      <c r="P820" s="1"/>
      <c r="Q820" s="1"/>
      <c r="R820" s="1"/>
      <c r="S820" s="1"/>
      <c r="T820" s="1"/>
      <c r="U820" s="1"/>
      <c r="V820" s="1"/>
      <c r="W820" s="1"/>
      <c r="X820" s="1"/>
    </row>
    <row r="821" spans="1:24" ht="12.75" customHeight="1" x14ac:dyDescent="0.2">
      <c r="A821" s="1"/>
      <c r="B821" s="1"/>
      <c r="C821" s="89"/>
      <c r="D821" s="89"/>
      <c r="E821" s="93"/>
      <c r="F821" s="93"/>
      <c r="G821" s="1"/>
      <c r="H821" s="1"/>
      <c r="I821" s="1"/>
      <c r="J821" s="1"/>
      <c r="K821" s="1"/>
      <c r="L821" s="1"/>
      <c r="M821" s="1"/>
      <c r="N821" s="1"/>
      <c r="O821" s="1"/>
      <c r="P821" s="1"/>
      <c r="Q821" s="1"/>
      <c r="R821" s="1"/>
      <c r="S821" s="1"/>
      <c r="T821" s="1"/>
      <c r="U821" s="1"/>
      <c r="V821" s="1"/>
      <c r="W821" s="1"/>
      <c r="X821" s="1"/>
    </row>
    <row r="822" spans="1:24" ht="12.75" customHeight="1" x14ac:dyDescent="0.2">
      <c r="A822" s="1"/>
      <c r="B822" s="1"/>
      <c r="C822" s="89"/>
      <c r="D822" s="89"/>
      <c r="E822" s="93"/>
      <c r="F822" s="93"/>
      <c r="G822" s="1"/>
      <c r="H822" s="1"/>
      <c r="I822" s="1"/>
      <c r="J822" s="1"/>
      <c r="K822" s="1"/>
      <c r="L822" s="1"/>
      <c r="M822" s="1"/>
      <c r="N822" s="1"/>
      <c r="O822" s="1"/>
      <c r="P822" s="1"/>
      <c r="Q822" s="1"/>
      <c r="R822" s="1"/>
      <c r="S822" s="1"/>
      <c r="T822" s="1"/>
      <c r="U822" s="1"/>
      <c r="V822" s="1"/>
      <c r="W822" s="1"/>
      <c r="X822" s="1"/>
    </row>
    <row r="823" spans="1:24" ht="12.75" customHeight="1" x14ac:dyDescent="0.2">
      <c r="A823" s="1"/>
      <c r="B823" s="1"/>
      <c r="C823" s="89"/>
      <c r="D823" s="89"/>
      <c r="E823" s="93"/>
      <c r="F823" s="93"/>
      <c r="G823" s="1"/>
      <c r="H823" s="1"/>
      <c r="I823" s="1"/>
      <c r="J823" s="1"/>
      <c r="K823" s="1"/>
      <c r="L823" s="1"/>
      <c r="M823" s="1"/>
      <c r="N823" s="1"/>
      <c r="O823" s="1"/>
      <c r="P823" s="1"/>
      <c r="Q823" s="1"/>
      <c r="R823" s="1"/>
      <c r="S823" s="1"/>
      <c r="T823" s="1"/>
      <c r="U823" s="1"/>
      <c r="V823" s="1"/>
      <c r="W823" s="1"/>
      <c r="X823" s="1"/>
    </row>
    <row r="824" spans="1:24" ht="12.75" customHeight="1" x14ac:dyDescent="0.2">
      <c r="A824" s="1"/>
      <c r="B824" s="1"/>
      <c r="C824" s="89"/>
      <c r="D824" s="89"/>
      <c r="E824" s="93"/>
      <c r="F824" s="93"/>
      <c r="G824" s="1"/>
      <c r="H824" s="1"/>
      <c r="I824" s="1"/>
      <c r="J824" s="1"/>
      <c r="K824" s="1"/>
      <c r="L824" s="1"/>
      <c r="M824" s="1"/>
      <c r="N824" s="1"/>
      <c r="O824" s="1"/>
      <c r="P824" s="1"/>
      <c r="Q824" s="1"/>
      <c r="R824" s="1"/>
      <c r="S824" s="1"/>
      <c r="T824" s="1"/>
      <c r="U824" s="1"/>
      <c r="V824" s="1"/>
      <c r="W824" s="1"/>
      <c r="X824" s="1"/>
    </row>
    <row r="825" spans="1:24" ht="12.75" customHeight="1" x14ac:dyDescent="0.2">
      <c r="A825" s="1"/>
      <c r="B825" s="1"/>
      <c r="C825" s="89"/>
      <c r="D825" s="89"/>
      <c r="E825" s="93"/>
      <c r="F825" s="93"/>
      <c r="G825" s="1"/>
      <c r="H825" s="1"/>
      <c r="I825" s="1"/>
      <c r="J825" s="1"/>
      <c r="K825" s="1"/>
      <c r="L825" s="1"/>
      <c r="M825" s="1"/>
      <c r="N825" s="1"/>
      <c r="O825" s="1"/>
      <c r="P825" s="1"/>
      <c r="Q825" s="1"/>
      <c r="R825" s="1"/>
      <c r="S825" s="1"/>
      <c r="T825" s="1"/>
      <c r="U825" s="1"/>
      <c r="V825" s="1"/>
      <c r="W825" s="1"/>
      <c r="X825" s="1"/>
    </row>
    <row r="826" spans="1:24" ht="12.75" customHeight="1" x14ac:dyDescent="0.2">
      <c r="A826" s="1"/>
      <c r="B826" s="1"/>
      <c r="C826" s="89"/>
      <c r="D826" s="89"/>
      <c r="E826" s="93"/>
      <c r="F826" s="93"/>
      <c r="G826" s="1"/>
      <c r="H826" s="1"/>
      <c r="I826" s="1"/>
      <c r="J826" s="1"/>
      <c r="K826" s="1"/>
      <c r="L826" s="1"/>
      <c r="M826" s="1"/>
      <c r="N826" s="1"/>
      <c r="O826" s="1"/>
      <c r="P826" s="1"/>
      <c r="Q826" s="1"/>
      <c r="R826" s="1"/>
      <c r="S826" s="1"/>
      <c r="T826" s="1"/>
      <c r="U826" s="1"/>
      <c r="V826" s="1"/>
      <c r="W826" s="1"/>
      <c r="X826" s="1"/>
    </row>
    <row r="827" spans="1:24" ht="12.75" customHeight="1" x14ac:dyDescent="0.2">
      <c r="A827" s="1"/>
      <c r="B827" s="1"/>
      <c r="C827" s="89"/>
      <c r="D827" s="89"/>
      <c r="E827" s="93"/>
      <c r="F827" s="93"/>
      <c r="G827" s="1"/>
      <c r="H827" s="1"/>
      <c r="I827" s="1"/>
      <c r="J827" s="1"/>
      <c r="K827" s="1"/>
      <c r="L827" s="1"/>
      <c r="M827" s="1"/>
      <c r="N827" s="1"/>
      <c r="O827" s="1"/>
      <c r="P827" s="1"/>
      <c r="Q827" s="1"/>
      <c r="R827" s="1"/>
      <c r="S827" s="1"/>
      <c r="T827" s="1"/>
      <c r="U827" s="1"/>
      <c r="V827" s="1"/>
      <c r="W827" s="1"/>
      <c r="X827" s="1"/>
    </row>
    <row r="828" spans="1:24" ht="12.75" customHeight="1" x14ac:dyDescent="0.2">
      <c r="A828" s="1"/>
      <c r="B828" s="1"/>
      <c r="C828" s="89"/>
      <c r="D828" s="89"/>
      <c r="E828" s="93"/>
      <c r="F828" s="93"/>
      <c r="G828" s="1"/>
      <c r="H828" s="1"/>
      <c r="I828" s="1"/>
      <c r="J828" s="1"/>
      <c r="K828" s="1"/>
      <c r="L828" s="1"/>
      <c r="M828" s="1"/>
      <c r="N828" s="1"/>
      <c r="O828" s="1"/>
      <c r="P828" s="1"/>
      <c r="Q828" s="1"/>
      <c r="R828" s="1"/>
      <c r="S828" s="1"/>
      <c r="T828" s="1"/>
      <c r="U828" s="1"/>
      <c r="V828" s="1"/>
      <c r="W828" s="1"/>
      <c r="X828" s="1"/>
    </row>
    <row r="829" spans="1:24" ht="12.75" customHeight="1" x14ac:dyDescent="0.2">
      <c r="A829" s="1"/>
      <c r="B829" s="1"/>
      <c r="C829" s="89"/>
      <c r="D829" s="89"/>
      <c r="E829" s="93"/>
      <c r="F829" s="93"/>
      <c r="G829" s="1"/>
      <c r="H829" s="1"/>
      <c r="I829" s="1"/>
      <c r="J829" s="1"/>
      <c r="K829" s="1"/>
      <c r="L829" s="1"/>
      <c r="M829" s="1"/>
      <c r="N829" s="1"/>
      <c r="O829" s="1"/>
      <c r="P829" s="1"/>
      <c r="Q829" s="1"/>
      <c r="R829" s="1"/>
      <c r="S829" s="1"/>
      <c r="T829" s="1"/>
      <c r="U829" s="1"/>
      <c r="V829" s="1"/>
      <c r="W829" s="1"/>
      <c r="X829" s="1"/>
    </row>
    <row r="830" spans="1:24" ht="12.75" customHeight="1" x14ac:dyDescent="0.2">
      <c r="A830" s="1"/>
      <c r="B830" s="1"/>
      <c r="C830" s="89"/>
      <c r="D830" s="89"/>
      <c r="E830" s="93"/>
      <c r="F830" s="93"/>
      <c r="G830" s="1"/>
      <c r="H830" s="1"/>
      <c r="I830" s="1"/>
      <c r="J830" s="1"/>
      <c r="K830" s="1"/>
      <c r="L830" s="1"/>
      <c r="M830" s="1"/>
      <c r="N830" s="1"/>
      <c r="O830" s="1"/>
      <c r="P830" s="1"/>
      <c r="Q830" s="1"/>
      <c r="R830" s="1"/>
      <c r="S830" s="1"/>
      <c r="T830" s="1"/>
      <c r="U830" s="1"/>
      <c r="V830" s="1"/>
      <c r="W830" s="1"/>
      <c r="X830" s="1"/>
    </row>
    <row r="831" spans="1:24" ht="12.75" customHeight="1" x14ac:dyDescent="0.2">
      <c r="A831" s="1"/>
      <c r="B831" s="1"/>
      <c r="C831" s="89"/>
      <c r="D831" s="89"/>
      <c r="E831" s="93"/>
      <c r="F831" s="93"/>
      <c r="G831" s="1"/>
      <c r="H831" s="1"/>
      <c r="I831" s="1"/>
      <c r="J831" s="1"/>
      <c r="K831" s="1"/>
      <c r="L831" s="1"/>
      <c r="M831" s="1"/>
      <c r="N831" s="1"/>
      <c r="O831" s="1"/>
      <c r="P831" s="1"/>
      <c r="Q831" s="1"/>
      <c r="R831" s="1"/>
      <c r="S831" s="1"/>
      <c r="T831" s="1"/>
      <c r="U831" s="1"/>
      <c r="V831" s="1"/>
      <c r="W831" s="1"/>
      <c r="X831" s="1"/>
    </row>
    <row r="832" spans="1:24" ht="12.75" customHeight="1" x14ac:dyDescent="0.2">
      <c r="A832" s="1"/>
      <c r="B832" s="1"/>
      <c r="C832" s="89"/>
      <c r="D832" s="89"/>
      <c r="E832" s="93"/>
      <c r="F832" s="93"/>
      <c r="G832" s="1"/>
      <c r="H832" s="1"/>
      <c r="I832" s="1"/>
      <c r="J832" s="1"/>
      <c r="K832" s="1"/>
      <c r="L832" s="1"/>
      <c r="M832" s="1"/>
      <c r="N832" s="1"/>
      <c r="O832" s="1"/>
      <c r="P832" s="1"/>
      <c r="Q832" s="1"/>
      <c r="R832" s="1"/>
      <c r="S832" s="1"/>
      <c r="T832" s="1"/>
      <c r="U832" s="1"/>
      <c r="V832" s="1"/>
      <c r="W832" s="1"/>
      <c r="X832" s="1"/>
    </row>
    <row r="833" spans="1:24" ht="12.75" customHeight="1" x14ac:dyDescent="0.2">
      <c r="A833" s="1"/>
      <c r="B833" s="1"/>
      <c r="C833" s="89"/>
      <c r="D833" s="89"/>
      <c r="E833" s="93"/>
      <c r="F833" s="93"/>
      <c r="G833" s="1"/>
      <c r="H833" s="1"/>
      <c r="I833" s="1"/>
      <c r="J833" s="1"/>
      <c r="K833" s="1"/>
      <c r="L833" s="1"/>
      <c r="M833" s="1"/>
      <c r="N833" s="1"/>
      <c r="O833" s="1"/>
      <c r="P833" s="1"/>
      <c r="Q833" s="1"/>
      <c r="R833" s="1"/>
      <c r="S833" s="1"/>
      <c r="T833" s="1"/>
      <c r="U833" s="1"/>
      <c r="V833" s="1"/>
      <c r="W833" s="1"/>
      <c r="X833" s="1"/>
    </row>
    <row r="834" spans="1:24" ht="12.75" customHeight="1" x14ac:dyDescent="0.2">
      <c r="A834" s="1"/>
      <c r="B834" s="1"/>
      <c r="C834" s="89"/>
      <c r="D834" s="89"/>
      <c r="E834" s="93"/>
      <c r="F834" s="93"/>
      <c r="G834" s="1"/>
      <c r="H834" s="1"/>
      <c r="I834" s="1"/>
      <c r="J834" s="1"/>
      <c r="K834" s="1"/>
      <c r="L834" s="1"/>
      <c r="M834" s="1"/>
      <c r="N834" s="1"/>
      <c r="O834" s="1"/>
      <c r="P834" s="1"/>
      <c r="Q834" s="1"/>
      <c r="R834" s="1"/>
      <c r="S834" s="1"/>
      <c r="T834" s="1"/>
      <c r="U834" s="1"/>
      <c r="V834" s="1"/>
      <c r="W834" s="1"/>
      <c r="X834" s="1"/>
    </row>
    <row r="835" spans="1:24" ht="12.75" customHeight="1" x14ac:dyDescent="0.2">
      <c r="A835" s="1"/>
      <c r="B835" s="1"/>
      <c r="C835" s="89"/>
      <c r="D835" s="89"/>
      <c r="E835" s="93"/>
      <c r="F835" s="93"/>
      <c r="G835" s="1"/>
      <c r="H835" s="1"/>
      <c r="I835" s="1"/>
      <c r="J835" s="1"/>
      <c r="K835" s="1"/>
      <c r="L835" s="1"/>
      <c r="M835" s="1"/>
      <c r="N835" s="1"/>
      <c r="O835" s="1"/>
      <c r="P835" s="1"/>
      <c r="Q835" s="1"/>
      <c r="R835" s="1"/>
      <c r="S835" s="1"/>
      <c r="T835" s="1"/>
      <c r="U835" s="1"/>
      <c r="V835" s="1"/>
      <c r="W835" s="1"/>
      <c r="X835" s="1"/>
    </row>
    <row r="836" spans="1:24" ht="12.75" customHeight="1" x14ac:dyDescent="0.2">
      <c r="A836" s="1"/>
      <c r="B836" s="1"/>
      <c r="C836" s="89"/>
      <c r="D836" s="89"/>
      <c r="E836" s="93"/>
      <c r="F836" s="93"/>
      <c r="G836" s="1"/>
      <c r="H836" s="1"/>
      <c r="I836" s="1"/>
      <c r="J836" s="1"/>
      <c r="K836" s="1"/>
      <c r="L836" s="1"/>
      <c r="M836" s="1"/>
      <c r="N836" s="1"/>
      <c r="O836" s="1"/>
      <c r="P836" s="1"/>
      <c r="Q836" s="1"/>
      <c r="R836" s="1"/>
      <c r="S836" s="1"/>
      <c r="T836" s="1"/>
      <c r="U836" s="1"/>
      <c r="V836" s="1"/>
      <c r="W836" s="1"/>
      <c r="X836" s="1"/>
    </row>
    <row r="837" spans="1:24" ht="12.75" customHeight="1" x14ac:dyDescent="0.2">
      <c r="A837" s="1"/>
      <c r="B837" s="1"/>
      <c r="C837" s="89"/>
      <c r="D837" s="89"/>
      <c r="E837" s="93"/>
      <c r="F837" s="93"/>
      <c r="G837" s="1"/>
      <c r="H837" s="1"/>
      <c r="I837" s="1"/>
      <c r="J837" s="1"/>
      <c r="K837" s="1"/>
      <c r="L837" s="1"/>
      <c r="M837" s="1"/>
      <c r="N837" s="1"/>
      <c r="O837" s="1"/>
      <c r="P837" s="1"/>
      <c r="Q837" s="1"/>
      <c r="R837" s="1"/>
      <c r="S837" s="1"/>
      <c r="T837" s="1"/>
      <c r="U837" s="1"/>
      <c r="V837" s="1"/>
      <c r="W837" s="1"/>
      <c r="X837" s="1"/>
    </row>
    <row r="838" spans="1:24" ht="12.75" customHeight="1" x14ac:dyDescent="0.2">
      <c r="A838" s="1"/>
      <c r="B838" s="1"/>
      <c r="C838" s="89"/>
      <c r="D838" s="89"/>
      <c r="E838" s="93"/>
      <c r="F838" s="93"/>
      <c r="G838" s="1"/>
      <c r="H838" s="1"/>
      <c r="I838" s="1"/>
      <c r="J838" s="1"/>
      <c r="K838" s="1"/>
      <c r="L838" s="1"/>
      <c r="M838" s="1"/>
      <c r="N838" s="1"/>
      <c r="O838" s="1"/>
      <c r="P838" s="1"/>
      <c r="Q838" s="1"/>
      <c r="R838" s="1"/>
      <c r="S838" s="1"/>
      <c r="T838" s="1"/>
      <c r="U838" s="1"/>
      <c r="V838" s="1"/>
      <c r="W838" s="1"/>
      <c r="X838" s="1"/>
    </row>
    <row r="839" spans="1:24" ht="12.75" customHeight="1" x14ac:dyDescent="0.2">
      <c r="A839" s="1"/>
      <c r="B839" s="1"/>
      <c r="C839" s="89"/>
      <c r="D839" s="89"/>
      <c r="E839" s="93"/>
      <c r="F839" s="93"/>
      <c r="G839" s="1"/>
      <c r="H839" s="1"/>
      <c r="I839" s="1"/>
      <c r="J839" s="1"/>
      <c r="K839" s="1"/>
      <c r="L839" s="1"/>
      <c r="M839" s="1"/>
      <c r="N839" s="1"/>
      <c r="O839" s="1"/>
      <c r="P839" s="1"/>
      <c r="Q839" s="1"/>
      <c r="R839" s="1"/>
      <c r="S839" s="1"/>
      <c r="T839" s="1"/>
      <c r="U839" s="1"/>
      <c r="V839" s="1"/>
      <c r="W839" s="1"/>
      <c r="X839" s="1"/>
    </row>
    <row r="840" spans="1:24" ht="12.75" customHeight="1" x14ac:dyDescent="0.2">
      <c r="A840" s="1"/>
      <c r="B840" s="1"/>
      <c r="C840" s="89"/>
      <c r="D840" s="89"/>
      <c r="E840" s="93"/>
      <c r="F840" s="93"/>
      <c r="G840" s="1"/>
      <c r="H840" s="1"/>
      <c r="I840" s="1"/>
      <c r="J840" s="1"/>
      <c r="K840" s="1"/>
      <c r="L840" s="1"/>
      <c r="M840" s="1"/>
      <c r="N840" s="1"/>
      <c r="O840" s="1"/>
      <c r="P840" s="1"/>
      <c r="Q840" s="1"/>
      <c r="R840" s="1"/>
      <c r="S840" s="1"/>
      <c r="T840" s="1"/>
      <c r="U840" s="1"/>
      <c r="V840" s="1"/>
      <c r="W840" s="1"/>
      <c r="X840" s="1"/>
    </row>
    <row r="841" spans="1:24" ht="12.75" customHeight="1" x14ac:dyDescent="0.2">
      <c r="A841" s="1"/>
      <c r="B841" s="1"/>
      <c r="C841" s="89"/>
      <c r="D841" s="89"/>
      <c r="E841" s="93"/>
      <c r="F841" s="93"/>
      <c r="G841" s="1"/>
      <c r="H841" s="1"/>
      <c r="I841" s="1"/>
      <c r="J841" s="1"/>
      <c r="K841" s="1"/>
      <c r="L841" s="1"/>
      <c r="M841" s="1"/>
      <c r="N841" s="1"/>
      <c r="O841" s="1"/>
      <c r="P841" s="1"/>
      <c r="Q841" s="1"/>
      <c r="R841" s="1"/>
      <c r="S841" s="1"/>
      <c r="T841" s="1"/>
      <c r="U841" s="1"/>
      <c r="V841" s="1"/>
      <c r="W841" s="1"/>
      <c r="X841" s="1"/>
    </row>
    <row r="842" spans="1:24" ht="12.75" customHeight="1" x14ac:dyDescent="0.2">
      <c r="A842" s="1"/>
      <c r="B842" s="1"/>
      <c r="C842" s="89"/>
      <c r="D842" s="89"/>
      <c r="E842" s="93"/>
      <c r="F842" s="93"/>
      <c r="G842" s="1"/>
      <c r="H842" s="1"/>
      <c r="I842" s="1"/>
      <c r="J842" s="1"/>
      <c r="K842" s="1"/>
      <c r="L842" s="1"/>
      <c r="M842" s="1"/>
      <c r="N842" s="1"/>
      <c r="O842" s="1"/>
      <c r="P842" s="1"/>
      <c r="Q842" s="1"/>
      <c r="R842" s="1"/>
      <c r="S842" s="1"/>
      <c r="T842" s="1"/>
      <c r="U842" s="1"/>
      <c r="V842" s="1"/>
      <c r="W842" s="1"/>
      <c r="X842" s="1"/>
    </row>
    <row r="843" spans="1:24" ht="12.75" customHeight="1" x14ac:dyDescent="0.2">
      <c r="A843" s="1"/>
      <c r="B843" s="1"/>
      <c r="C843" s="89"/>
      <c r="D843" s="89"/>
      <c r="E843" s="93"/>
      <c r="F843" s="93"/>
      <c r="G843" s="1"/>
      <c r="H843" s="1"/>
      <c r="I843" s="1"/>
      <c r="J843" s="1"/>
      <c r="K843" s="1"/>
      <c r="L843" s="1"/>
      <c r="M843" s="1"/>
      <c r="N843" s="1"/>
      <c r="O843" s="1"/>
      <c r="P843" s="1"/>
      <c r="Q843" s="1"/>
      <c r="R843" s="1"/>
      <c r="S843" s="1"/>
      <c r="T843" s="1"/>
      <c r="U843" s="1"/>
      <c r="V843" s="1"/>
      <c r="W843" s="1"/>
      <c r="X843" s="1"/>
    </row>
    <row r="844" spans="1:24" ht="12.75" customHeight="1" x14ac:dyDescent="0.2">
      <c r="A844" s="1"/>
      <c r="B844" s="1"/>
      <c r="C844" s="89"/>
      <c r="D844" s="89"/>
      <c r="E844" s="93"/>
      <c r="F844" s="93"/>
      <c r="G844" s="1"/>
      <c r="H844" s="1"/>
      <c r="I844" s="1"/>
      <c r="J844" s="1"/>
      <c r="K844" s="1"/>
      <c r="L844" s="1"/>
      <c r="M844" s="1"/>
      <c r="N844" s="1"/>
      <c r="O844" s="1"/>
      <c r="P844" s="1"/>
      <c r="Q844" s="1"/>
      <c r="R844" s="1"/>
      <c r="S844" s="1"/>
      <c r="T844" s="1"/>
      <c r="U844" s="1"/>
      <c r="V844" s="1"/>
      <c r="W844" s="1"/>
      <c r="X844" s="1"/>
    </row>
    <row r="845" spans="1:24" ht="12.75" customHeight="1" x14ac:dyDescent="0.2">
      <c r="A845" s="1"/>
      <c r="B845" s="1"/>
      <c r="C845" s="89"/>
      <c r="D845" s="89"/>
      <c r="E845" s="93"/>
      <c r="F845" s="93"/>
      <c r="G845" s="1"/>
      <c r="H845" s="1"/>
      <c r="I845" s="1"/>
      <c r="J845" s="1"/>
      <c r="K845" s="1"/>
      <c r="L845" s="1"/>
      <c r="M845" s="1"/>
      <c r="N845" s="1"/>
      <c r="O845" s="1"/>
      <c r="P845" s="1"/>
      <c r="Q845" s="1"/>
      <c r="R845" s="1"/>
      <c r="S845" s="1"/>
      <c r="T845" s="1"/>
      <c r="U845" s="1"/>
      <c r="V845" s="1"/>
      <c r="W845" s="1"/>
      <c r="X845" s="1"/>
    </row>
    <row r="846" spans="1:24" ht="12.75" customHeight="1" x14ac:dyDescent="0.2">
      <c r="A846" s="1"/>
      <c r="B846" s="1"/>
      <c r="C846" s="89"/>
      <c r="D846" s="89"/>
      <c r="E846" s="93"/>
      <c r="F846" s="93"/>
      <c r="G846" s="1"/>
      <c r="H846" s="1"/>
      <c r="I846" s="1"/>
      <c r="J846" s="1"/>
      <c r="K846" s="1"/>
      <c r="L846" s="1"/>
      <c r="M846" s="1"/>
      <c r="N846" s="1"/>
      <c r="O846" s="1"/>
      <c r="P846" s="1"/>
      <c r="Q846" s="1"/>
      <c r="R846" s="1"/>
      <c r="S846" s="1"/>
      <c r="T846" s="1"/>
      <c r="U846" s="1"/>
      <c r="V846" s="1"/>
      <c r="W846" s="1"/>
      <c r="X846" s="1"/>
    </row>
    <row r="847" spans="1:24" ht="12.75" customHeight="1" x14ac:dyDescent="0.2">
      <c r="A847" s="1"/>
      <c r="B847" s="1"/>
      <c r="C847" s="89"/>
      <c r="D847" s="89"/>
      <c r="E847" s="93"/>
      <c r="F847" s="93"/>
      <c r="G847" s="1"/>
      <c r="H847" s="1"/>
      <c r="I847" s="1"/>
      <c r="J847" s="1"/>
      <c r="K847" s="1"/>
      <c r="L847" s="1"/>
      <c r="M847" s="1"/>
      <c r="N847" s="1"/>
      <c r="O847" s="1"/>
      <c r="P847" s="1"/>
      <c r="Q847" s="1"/>
      <c r="R847" s="1"/>
      <c r="S847" s="1"/>
      <c r="T847" s="1"/>
      <c r="U847" s="1"/>
      <c r="V847" s="1"/>
      <c r="W847" s="1"/>
      <c r="X847" s="1"/>
    </row>
    <row r="848" spans="1:24" ht="12.75" customHeight="1" x14ac:dyDescent="0.2">
      <c r="A848" s="1"/>
      <c r="B848" s="1"/>
      <c r="C848" s="89"/>
      <c r="D848" s="89"/>
      <c r="E848" s="93"/>
      <c r="F848" s="93"/>
      <c r="G848" s="1"/>
      <c r="H848" s="1"/>
      <c r="I848" s="1"/>
      <c r="J848" s="1"/>
      <c r="K848" s="1"/>
      <c r="L848" s="1"/>
      <c r="M848" s="1"/>
      <c r="N848" s="1"/>
      <c r="O848" s="1"/>
      <c r="P848" s="1"/>
      <c r="Q848" s="1"/>
      <c r="R848" s="1"/>
      <c r="S848" s="1"/>
      <c r="T848" s="1"/>
      <c r="U848" s="1"/>
      <c r="V848" s="1"/>
      <c r="W848" s="1"/>
      <c r="X848" s="1"/>
    </row>
    <row r="849" spans="1:24" ht="12.75" customHeight="1" x14ac:dyDescent="0.2">
      <c r="A849" s="1"/>
      <c r="B849" s="1"/>
      <c r="C849" s="89"/>
      <c r="D849" s="89"/>
      <c r="E849" s="93"/>
      <c r="F849" s="93"/>
      <c r="G849" s="1"/>
      <c r="H849" s="1"/>
      <c r="I849" s="1"/>
      <c r="J849" s="1"/>
      <c r="K849" s="1"/>
      <c r="L849" s="1"/>
      <c r="M849" s="1"/>
      <c r="N849" s="1"/>
      <c r="O849" s="1"/>
      <c r="P849" s="1"/>
      <c r="Q849" s="1"/>
      <c r="R849" s="1"/>
      <c r="S849" s="1"/>
      <c r="T849" s="1"/>
      <c r="U849" s="1"/>
      <c r="V849" s="1"/>
      <c r="W849" s="1"/>
      <c r="X849" s="1"/>
    </row>
    <row r="850" spans="1:24" ht="12.75" customHeight="1" x14ac:dyDescent="0.2">
      <c r="A850" s="1"/>
      <c r="B850" s="1"/>
      <c r="C850" s="89"/>
      <c r="D850" s="89"/>
      <c r="E850" s="93"/>
      <c r="F850" s="93"/>
      <c r="G850" s="1"/>
      <c r="H850" s="1"/>
      <c r="I850" s="1"/>
      <c r="J850" s="1"/>
      <c r="K850" s="1"/>
      <c r="L850" s="1"/>
      <c r="M850" s="1"/>
      <c r="N850" s="1"/>
      <c r="O850" s="1"/>
      <c r="P850" s="1"/>
      <c r="Q850" s="1"/>
      <c r="R850" s="1"/>
      <c r="S850" s="1"/>
      <c r="T850" s="1"/>
      <c r="U850" s="1"/>
      <c r="V850" s="1"/>
      <c r="W850" s="1"/>
      <c r="X850" s="1"/>
    </row>
    <row r="851" spans="1:24" ht="12.75" customHeight="1" x14ac:dyDescent="0.2">
      <c r="A851" s="1"/>
      <c r="B851" s="1"/>
      <c r="C851" s="89"/>
      <c r="D851" s="89"/>
      <c r="E851" s="93"/>
      <c r="F851" s="93"/>
      <c r="G851" s="1"/>
      <c r="H851" s="1"/>
      <c r="I851" s="1"/>
      <c r="J851" s="1"/>
      <c r="K851" s="1"/>
      <c r="L851" s="1"/>
      <c r="M851" s="1"/>
      <c r="N851" s="1"/>
      <c r="O851" s="1"/>
      <c r="P851" s="1"/>
      <c r="Q851" s="1"/>
      <c r="R851" s="1"/>
      <c r="S851" s="1"/>
      <c r="T851" s="1"/>
      <c r="U851" s="1"/>
      <c r="V851" s="1"/>
      <c r="W851" s="1"/>
      <c r="X851" s="1"/>
    </row>
    <row r="852" spans="1:24" ht="12.75" customHeight="1" x14ac:dyDescent="0.2">
      <c r="A852" s="1"/>
      <c r="B852" s="1"/>
      <c r="C852" s="89"/>
      <c r="D852" s="89"/>
      <c r="E852" s="93"/>
      <c r="F852" s="93"/>
      <c r="G852" s="1"/>
      <c r="H852" s="1"/>
      <c r="I852" s="1"/>
      <c r="J852" s="1"/>
      <c r="K852" s="1"/>
      <c r="L852" s="1"/>
      <c r="M852" s="1"/>
      <c r="N852" s="1"/>
      <c r="O852" s="1"/>
      <c r="P852" s="1"/>
      <c r="Q852" s="1"/>
      <c r="R852" s="1"/>
      <c r="S852" s="1"/>
      <c r="T852" s="1"/>
      <c r="U852" s="1"/>
      <c r="V852" s="1"/>
      <c r="W852" s="1"/>
      <c r="X852" s="1"/>
    </row>
    <row r="853" spans="1:24" ht="12.75" customHeight="1" x14ac:dyDescent="0.2">
      <c r="A853" s="1"/>
      <c r="B853" s="1"/>
      <c r="C853" s="89"/>
      <c r="D853" s="89"/>
      <c r="E853" s="93"/>
      <c r="F853" s="93"/>
      <c r="G853" s="1"/>
      <c r="H853" s="1"/>
      <c r="I853" s="1"/>
      <c r="J853" s="1"/>
      <c r="K853" s="1"/>
      <c r="L853" s="1"/>
      <c r="M853" s="1"/>
      <c r="N853" s="1"/>
      <c r="O853" s="1"/>
      <c r="P853" s="1"/>
      <c r="Q853" s="1"/>
      <c r="R853" s="1"/>
      <c r="S853" s="1"/>
      <c r="T853" s="1"/>
      <c r="U853" s="1"/>
      <c r="V853" s="1"/>
      <c r="W853" s="1"/>
      <c r="X853" s="1"/>
    </row>
    <row r="854" spans="1:24" ht="12.75" customHeight="1" x14ac:dyDescent="0.2">
      <c r="A854" s="1"/>
      <c r="B854" s="1"/>
      <c r="C854" s="89"/>
      <c r="D854" s="89"/>
      <c r="E854" s="93"/>
      <c r="F854" s="93"/>
      <c r="G854" s="1"/>
      <c r="H854" s="1"/>
      <c r="I854" s="1"/>
      <c r="J854" s="1"/>
      <c r="K854" s="1"/>
      <c r="L854" s="1"/>
      <c r="M854" s="1"/>
      <c r="N854" s="1"/>
      <c r="O854" s="1"/>
      <c r="P854" s="1"/>
      <c r="Q854" s="1"/>
      <c r="R854" s="1"/>
      <c r="S854" s="1"/>
      <c r="T854" s="1"/>
      <c r="U854" s="1"/>
      <c r="V854" s="1"/>
      <c r="W854" s="1"/>
      <c r="X854" s="1"/>
    </row>
    <row r="855" spans="1:24" ht="12.75" customHeight="1" x14ac:dyDescent="0.2">
      <c r="A855" s="1"/>
      <c r="B855" s="1"/>
      <c r="C855" s="89"/>
      <c r="D855" s="89"/>
      <c r="E855" s="93"/>
      <c r="F855" s="93"/>
      <c r="G855" s="1"/>
      <c r="H855" s="1"/>
      <c r="I855" s="1"/>
      <c r="J855" s="1"/>
      <c r="K855" s="1"/>
      <c r="L855" s="1"/>
      <c r="M855" s="1"/>
      <c r="N855" s="1"/>
      <c r="O855" s="1"/>
      <c r="P855" s="1"/>
      <c r="Q855" s="1"/>
      <c r="R855" s="1"/>
      <c r="S855" s="1"/>
      <c r="T855" s="1"/>
      <c r="U855" s="1"/>
      <c r="V855" s="1"/>
      <c r="W855" s="1"/>
      <c r="X855" s="1"/>
    </row>
    <row r="856" spans="1:24" ht="12.75" customHeight="1" x14ac:dyDescent="0.2">
      <c r="A856" s="1"/>
      <c r="B856" s="1"/>
      <c r="C856" s="89"/>
      <c r="D856" s="89"/>
      <c r="E856" s="93"/>
      <c r="F856" s="93"/>
      <c r="G856" s="1"/>
      <c r="H856" s="1"/>
      <c r="I856" s="1"/>
      <c r="J856" s="1"/>
      <c r="K856" s="1"/>
      <c r="L856" s="1"/>
      <c r="M856" s="1"/>
      <c r="N856" s="1"/>
      <c r="O856" s="1"/>
      <c r="P856" s="1"/>
      <c r="Q856" s="1"/>
      <c r="R856" s="1"/>
      <c r="S856" s="1"/>
      <c r="T856" s="1"/>
      <c r="U856" s="1"/>
      <c r="V856" s="1"/>
      <c r="W856" s="1"/>
      <c r="X856" s="1"/>
    </row>
    <row r="857" spans="1:24" ht="12.75" customHeight="1" x14ac:dyDescent="0.2">
      <c r="A857" s="1"/>
      <c r="B857" s="1"/>
      <c r="C857" s="89"/>
      <c r="D857" s="89"/>
      <c r="E857" s="93"/>
      <c r="F857" s="93"/>
      <c r="G857" s="1"/>
      <c r="H857" s="1"/>
      <c r="I857" s="1"/>
      <c r="J857" s="1"/>
      <c r="K857" s="1"/>
      <c r="L857" s="1"/>
      <c r="M857" s="1"/>
      <c r="N857" s="1"/>
      <c r="O857" s="1"/>
      <c r="P857" s="1"/>
      <c r="Q857" s="1"/>
      <c r="R857" s="1"/>
      <c r="S857" s="1"/>
      <c r="T857" s="1"/>
      <c r="U857" s="1"/>
      <c r="V857" s="1"/>
      <c r="W857" s="1"/>
      <c r="X857" s="1"/>
    </row>
    <row r="858" spans="1:24" ht="12.75" customHeight="1" x14ac:dyDescent="0.2">
      <c r="A858" s="1"/>
      <c r="B858" s="1"/>
      <c r="C858" s="89"/>
      <c r="D858" s="89"/>
      <c r="E858" s="93"/>
      <c r="F858" s="93"/>
      <c r="G858" s="1"/>
      <c r="H858" s="1"/>
      <c r="I858" s="1"/>
      <c r="J858" s="1"/>
      <c r="K858" s="1"/>
      <c r="L858" s="1"/>
      <c r="M858" s="1"/>
      <c r="N858" s="1"/>
      <c r="O858" s="1"/>
      <c r="P858" s="1"/>
      <c r="Q858" s="1"/>
      <c r="R858" s="1"/>
      <c r="S858" s="1"/>
      <c r="T858" s="1"/>
      <c r="U858" s="1"/>
      <c r="V858" s="1"/>
      <c r="W858" s="1"/>
      <c r="X858" s="1"/>
    </row>
    <row r="859" spans="1:24" ht="12.75" customHeight="1" x14ac:dyDescent="0.2">
      <c r="A859" s="1"/>
      <c r="B859" s="1"/>
      <c r="C859" s="89"/>
      <c r="D859" s="89"/>
      <c r="E859" s="93"/>
      <c r="F859" s="93"/>
      <c r="G859" s="1"/>
      <c r="H859" s="1"/>
      <c r="I859" s="1"/>
      <c r="J859" s="1"/>
      <c r="K859" s="1"/>
      <c r="L859" s="1"/>
      <c r="M859" s="1"/>
      <c r="N859" s="1"/>
      <c r="O859" s="1"/>
      <c r="P859" s="1"/>
      <c r="Q859" s="1"/>
      <c r="R859" s="1"/>
      <c r="S859" s="1"/>
      <c r="T859" s="1"/>
      <c r="U859" s="1"/>
      <c r="V859" s="1"/>
      <c r="W859" s="1"/>
      <c r="X859" s="1"/>
    </row>
    <row r="860" spans="1:24" ht="12.75" customHeight="1" x14ac:dyDescent="0.2">
      <c r="A860" s="1"/>
      <c r="B860" s="1"/>
      <c r="C860" s="89"/>
      <c r="D860" s="89"/>
      <c r="E860" s="93"/>
      <c r="F860" s="93"/>
      <c r="G860" s="1"/>
      <c r="H860" s="1"/>
      <c r="I860" s="1"/>
      <c r="J860" s="1"/>
      <c r="K860" s="1"/>
      <c r="L860" s="1"/>
      <c r="M860" s="1"/>
      <c r="N860" s="1"/>
      <c r="O860" s="1"/>
      <c r="P860" s="1"/>
      <c r="Q860" s="1"/>
      <c r="R860" s="1"/>
      <c r="S860" s="1"/>
      <c r="T860" s="1"/>
      <c r="U860" s="1"/>
      <c r="V860" s="1"/>
      <c r="W860" s="1"/>
      <c r="X860" s="1"/>
    </row>
    <row r="861" spans="1:24" ht="12.75" customHeight="1" x14ac:dyDescent="0.2">
      <c r="A861" s="1"/>
      <c r="B861" s="1"/>
      <c r="C861" s="89"/>
      <c r="D861" s="89"/>
      <c r="E861" s="93"/>
      <c r="F861" s="93"/>
      <c r="G861" s="1"/>
      <c r="H861" s="1"/>
      <c r="I861" s="1"/>
      <c r="J861" s="1"/>
      <c r="K861" s="1"/>
      <c r="L861" s="1"/>
      <c r="M861" s="1"/>
      <c r="N861" s="1"/>
      <c r="O861" s="1"/>
      <c r="P861" s="1"/>
      <c r="Q861" s="1"/>
      <c r="R861" s="1"/>
      <c r="S861" s="1"/>
      <c r="T861" s="1"/>
      <c r="U861" s="1"/>
      <c r="V861" s="1"/>
      <c r="W861" s="1"/>
      <c r="X861" s="1"/>
    </row>
    <row r="862" spans="1:24" ht="12.75" customHeight="1" x14ac:dyDescent="0.2">
      <c r="A862" s="1"/>
      <c r="B862" s="1"/>
      <c r="C862" s="89"/>
      <c r="D862" s="89"/>
      <c r="E862" s="93"/>
      <c r="F862" s="93"/>
      <c r="G862" s="1"/>
      <c r="H862" s="1"/>
      <c r="I862" s="1"/>
      <c r="J862" s="1"/>
      <c r="K862" s="1"/>
      <c r="L862" s="1"/>
      <c r="M862" s="1"/>
      <c r="N862" s="1"/>
      <c r="O862" s="1"/>
      <c r="P862" s="1"/>
      <c r="Q862" s="1"/>
      <c r="R862" s="1"/>
      <c r="S862" s="1"/>
      <c r="T862" s="1"/>
      <c r="U862" s="1"/>
      <c r="V862" s="1"/>
      <c r="W862" s="1"/>
      <c r="X862" s="1"/>
    </row>
    <row r="863" spans="1:24" ht="12.75" customHeight="1" x14ac:dyDescent="0.2">
      <c r="A863" s="1"/>
      <c r="B863" s="1"/>
      <c r="C863" s="89"/>
      <c r="D863" s="89"/>
      <c r="E863" s="93"/>
      <c r="F863" s="93"/>
      <c r="G863" s="1"/>
      <c r="H863" s="1"/>
      <c r="I863" s="1"/>
      <c r="J863" s="1"/>
      <c r="K863" s="1"/>
      <c r="L863" s="1"/>
      <c r="M863" s="1"/>
      <c r="N863" s="1"/>
      <c r="O863" s="1"/>
      <c r="P863" s="1"/>
      <c r="Q863" s="1"/>
      <c r="R863" s="1"/>
      <c r="S863" s="1"/>
      <c r="T863" s="1"/>
      <c r="U863" s="1"/>
      <c r="V863" s="1"/>
      <c r="W863" s="1"/>
      <c r="X863" s="1"/>
    </row>
    <row r="864" spans="1:24" ht="12.75" customHeight="1" x14ac:dyDescent="0.2">
      <c r="A864" s="1"/>
      <c r="B864" s="1"/>
      <c r="C864" s="89"/>
      <c r="D864" s="89"/>
      <c r="E864" s="93"/>
      <c r="F864" s="93"/>
      <c r="G864" s="1"/>
      <c r="H864" s="1"/>
      <c r="I864" s="1"/>
      <c r="J864" s="1"/>
      <c r="K864" s="1"/>
      <c r="L864" s="1"/>
      <c r="M864" s="1"/>
      <c r="N864" s="1"/>
      <c r="O864" s="1"/>
      <c r="P864" s="1"/>
      <c r="Q864" s="1"/>
      <c r="R864" s="1"/>
      <c r="S864" s="1"/>
      <c r="T864" s="1"/>
      <c r="U864" s="1"/>
      <c r="V864" s="1"/>
      <c r="W864" s="1"/>
      <c r="X864" s="1"/>
    </row>
    <row r="865" spans="1:24" ht="12.75" customHeight="1" x14ac:dyDescent="0.2">
      <c r="A865" s="1"/>
      <c r="B865" s="1"/>
      <c r="C865" s="89"/>
      <c r="D865" s="89"/>
      <c r="E865" s="93"/>
      <c r="F865" s="93"/>
      <c r="G865" s="1"/>
      <c r="H865" s="1"/>
      <c r="I865" s="1"/>
      <c r="J865" s="1"/>
      <c r="K865" s="1"/>
      <c r="L865" s="1"/>
      <c r="M865" s="1"/>
      <c r="N865" s="1"/>
      <c r="O865" s="1"/>
      <c r="P865" s="1"/>
      <c r="Q865" s="1"/>
      <c r="R865" s="1"/>
      <c r="S865" s="1"/>
      <c r="T865" s="1"/>
      <c r="U865" s="1"/>
      <c r="V865" s="1"/>
      <c r="W865" s="1"/>
      <c r="X865" s="1"/>
    </row>
    <row r="866" spans="1:24" ht="12.75" customHeight="1" x14ac:dyDescent="0.2">
      <c r="A866" s="1"/>
      <c r="B866" s="1"/>
      <c r="C866" s="89"/>
      <c r="D866" s="89"/>
      <c r="E866" s="93"/>
      <c r="F866" s="93"/>
      <c r="G866" s="1"/>
      <c r="H866" s="1"/>
      <c r="I866" s="1"/>
      <c r="J866" s="1"/>
      <c r="K866" s="1"/>
      <c r="L866" s="1"/>
      <c r="M866" s="1"/>
      <c r="N866" s="1"/>
      <c r="O866" s="1"/>
      <c r="P866" s="1"/>
      <c r="Q866" s="1"/>
      <c r="R866" s="1"/>
      <c r="S866" s="1"/>
      <c r="T866" s="1"/>
      <c r="U866" s="1"/>
      <c r="V866" s="1"/>
      <c r="W866" s="1"/>
      <c r="X866" s="1"/>
    </row>
    <row r="867" spans="1:24" ht="12.75" customHeight="1" x14ac:dyDescent="0.2">
      <c r="A867" s="1"/>
      <c r="B867" s="1"/>
      <c r="C867" s="89"/>
      <c r="D867" s="89"/>
      <c r="E867" s="93"/>
      <c r="F867" s="93"/>
      <c r="G867" s="1"/>
      <c r="H867" s="1"/>
      <c r="I867" s="1"/>
      <c r="J867" s="1"/>
      <c r="K867" s="1"/>
      <c r="L867" s="1"/>
      <c r="M867" s="1"/>
      <c r="N867" s="1"/>
      <c r="O867" s="1"/>
      <c r="P867" s="1"/>
      <c r="Q867" s="1"/>
      <c r="R867" s="1"/>
      <c r="S867" s="1"/>
      <c r="T867" s="1"/>
      <c r="U867" s="1"/>
      <c r="V867" s="1"/>
      <c r="W867" s="1"/>
      <c r="X867" s="1"/>
    </row>
    <row r="868" spans="1:24" ht="12.75" customHeight="1" x14ac:dyDescent="0.2">
      <c r="A868" s="1"/>
      <c r="B868" s="1"/>
      <c r="C868" s="89"/>
      <c r="D868" s="89"/>
      <c r="E868" s="93"/>
      <c r="F868" s="93"/>
      <c r="G868" s="1"/>
      <c r="H868" s="1"/>
      <c r="I868" s="1"/>
      <c r="J868" s="1"/>
      <c r="K868" s="1"/>
      <c r="L868" s="1"/>
      <c r="M868" s="1"/>
      <c r="N868" s="1"/>
      <c r="O868" s="1"/>
      <c r="P868" s="1"/>
      <c r="Q868" s="1"/>
      <c r="R868" s="1"/>
      <c r="S868" s="1"/>
      <c r="T868" s="1"/>
      <c r="U868" s="1"/>
      <c r="V868" s="1"/>
      <c r="W868" s="1"/>
      <c r="X868" s="1"/>
    </row>
    <row r="869" spans="1:24" ht="12.75" customHeight="1" x14ac:dyDescent="0.2">
      <c r="A869" s="1"/>
      <c r="B869" s="1"/>
      <c r="C869" s="89"/>
      <c r="D869" s="89"/>
      <c r="E869" s="93"/>
      <c r="F869" s="93"/>
      <c r="G869" s="1"/>
      <c r="H869" s="1"/>
      <c r="I869" s="1"/>
      <c r="J869" s="1"/>
      <c r="K869" s="1"/>
      <c r="L869" s="1"/>
      <c r="M869" s="1"/>
      <c r="N869" s="1"/>
      <c r="O869" s="1"/>
      <c r="P869" s="1"/>
      <c r="Q869" s="1"/>
      <c r="R869" s="1"/>
      <c r="S869" s="1"/>
      <c r="T869" s="1"/>
      <c r="U869" s="1"/>
      <c r="V869" s="1"/>
      <c r="W869" s="1"/>
      <c r="X869" s="1"/>
    </row>
    <row r="870" spans="1:24" ht="12.75" customHeight="1" x14ac:dyDescent="0.2">
      <c r="A870" s="1"/>
      <c r="B870" s="1"/>
      <c r="C870" s="89"/>
      <c r="D870" s="89"/>
      <c r="E870" s="93"/>
      <c r="F870" s="93"/>
      <c r="G870" s="1"/>
      <c r="H870" s="1"/>
      <c r="I870" s="1"/>
      <c r="J870" s="1"/>
      <c r="K870" s="1"/>
      <c r="L870" s="1"/>
      <c r="M870" s="1"/>
      <c r="N870" s="1"/>
      <c r="O870" s="1"/>
      <c r="P870" s="1"/>
      <c r="Q870" s="1"/>
      <c r="R870" s="1"/>
      <c r="S870" s="1"/>
      <c r="T870" s="1"/>
      <c r="U870" s="1"/>
      <c r="V870" s="1"/>
      <c r="W870" s="1"/>
      <c r="X870" s="1"/>
    </row>
    <row r="871" spans="1:24" ht="12.75" customHeight="1" x14ac:dyDescent="0.2">
      <c r="A871" s="1"/>
      <c r="B871" s="1"/>
      <c r="C871" s="89"/>
      <c r="D871" s="89"/>
      <c r="E871" s="93"/>
      <c r="F871" s="93"/>
      <c r="G871" s="1"/>
      <c r="H871" s="1"/>
      <c r="I871" s="1"/>
      <c r="J871" s="1"/>
      <c r="K871" s="1"/>
      <c r="L871" s="1"/>
      <c r="M871" s="1"/>
      <c r="N871" s="1"/>
      <c r="O871" s="1"/>
      <c r="P871" s="1"/>
      <c r="Q871" s="1"/>
      <c r="R871" s="1"/>
      <c r="S871" s="1"/>
      <c r="T871" s="1"/>
      <c r="U871" s="1"/>
      <c r="V871" s="1"/>
      <c r="W871" s="1"/>
      <c r="X871" s="1"/>
    </row>
    <row r="872" spans="1:24" ht="12.75" customHeight="1" x14ac:dyDescent="0.2">
      <c r="A872" s="1"/>
      <c r="B872" s="1"/>
      <c r="C872" s="89"/>
      <c r="D872" s="89"/>
      <c r="E872" s="93"/>
      <c r="F872" s="93"/>
      <c r="G872" s="1"/>
      <c r="H872" s="1"/>
      <c r="I872" s="1"/>
      <c r="J872" s="1"/>
      <c r="K872" s="1"/>
      <c r="L872" s="1"/>
      <c r="M872" s="1"/>
      <c r="N872" s="1"/>
      <c r="O872" s="1"/>
      <c r="P872" s="1"/>
      <c r="Q872" s="1"/>
      <c r="R872" s="1"/>
      <c r="S872" s="1"/>
      <c r="T872" s="1"/>
      <c r="U872" s="1"/>
      <c r="V872" s="1"/>
      <c r="W872" s="1"/>
      <c r="X872" s="1"/>
    </row>
    <row r="873" spans="1:24" ht="12.75" customHeight="1" x14ac:dyDescent="0.2">
      <c r="A873" s="1"/>
      <c r="B873" s="1"/>
      <c r="C873" s="89"/>
      <c r="D873" s="89"/>
      <c r="E873" s="93"/>
      <c r="F873" s="93"/>
      <c r="G873" s="1"/>
      <c r="H873" s="1"/>
      <c r="I873" s="1"/>
      <c r="J873" s="1"/>
      <c r="K873" s="1"/>
      <c r="L873" s="1"/>
      <c r="M873" s="1"/>
      <c r="N873" s="1"/>
      <c r="O873" s="1"/>
      <c r="P873" s="1"/>
      <c r="Q873" s="1"/>
      <c r="R873" s="1"/>
      <c r="S873" s="1"/>
      <c r="T873" s="1"/>
      <c r="U873" s="1"/>
      <c r="V873" s="1"/>
      <c r="W873" s="1"/>
      <c r="X873" s="1"/>
    </row>
    <row r="874" spans="1:24" ht="12.75" customHeight="1" x14ac:dyDescent="0.2">
      <c r="A874" s="1"/>
      <c r="B874" s="1"/>
      <c r="C874" s="89"/>
      <c r="D874" s="89"/>
      <c r="E874" s="93"/>
      <c r="F874" s="93"/>
      <c r="G874" s="1"/>
      <c r="H874" s="1"/>
      <c r="I874" s="1"/>
      <c r="J874" s="1"/>
      <c r="K874" s="1"/>
      <c r="L874" s="1"/>
      <c r="M874" s="1"/>
      <c r="N874" s="1"/>
      <c r="O874" s="1"/>
      <c r="P874" s="1"/>
      <c r="Q874" s="1"/>
      <c r="R874" s="1"/>
      <c r="S874" s="1"/>
      <c r="T874" s="1"/>
      <c r="U874" s="1"/>
      <c r="V874" s="1"/>
      <c r="W874" s="1"/>
      <c r="X874" s="1"/>
    </row>
    <row r="875" spans="1:24" ht="12.75" customHeight="1" x14ac:dyDescent="0.2">
      <c r="A875" s="1"/>
      <c r="B875" s="1"/>
      <c r="C875" s="89"/>
      <c r="D875" s="89"/>
      <c r="E875" s="93"/>
      <c r="F875" s="93"/>
      <c r="G875" s="1"/>
      <c r="H875" s="1"/>
      <c r="I875" s="1"/>
      <c r="J875" s="1"/>
      <c r="K875" s="1"/>
      <c r="L875" s="1"/>
      <c r="M875" s="1"/>
      <c r="N875" s="1"/>
      <c r="O875" s="1"/>
      <c r="P875" s="1"/>
      <c r="Q875" s="1"/>
      <c r="R875" s="1"/>
      <c r="S875" s="1"/>
      <c r="T875" s="1"/>
      <c r="U875" s="1"/>
      <c r="V875" s="1"/>
      <c r="W875" s="1"/>
      <c r="X875" s="1"/>
    </row>
    <row r="876" spans="1:24" ht="12.75" customHeight="1" x14ac:dyDescent="0.2">
      <c r="A876" s="1"/>
      <c r="B876" s="1"/>
      <c r="C876" s="89"/>
      <c r="D876" s="89"/>
      <c r="E876" s="93"/>
      <c r="F876" s="93"/>
      <c r="G876" s="1"/>
      <c r="H876" s="1"/>
      <c r="I876" s="1"/>
      <c r="J876" s="1"/>
      <c r="K876" s="1"/>
      <c r="L876" s="1"/>
      <c r="M876" s="1"/>
      <c r="N876" s="1"/>
      <c r="O876" s="1"/>
      <c r="P876" s="1"/>
      <c r="Q876" s="1"/>
      <c r="R876" s="1"/>
      <c r="S876" s="1"/>
      <c r="T876" s="1"/>
      <c r="U876" s="1"/>
      <c r="V876" s="1"/>
      <c r="W876" s="1"/>
      <c r="X876" s="1"/>
    </row>
    <row r="877" spans="1:24" ht="12.75" customHeight="1" x14ac:dyDescent="0.2">
      <c r="A877" s="1"/>
      <c r="B877" s="1"/>
      <c r="C877" s="89"/>
      <c r="D877" s="89"/>
      <c r="E877" s="93"/>
      <c r="F877" s="93"/>
      <c r="G877" s="1"/>
      <c r="H877" s="1"/>
      <c r="I877" s="1"/>
      <c r="J877" s="1"/>
      <c r="K877" s="1"/>
      <c r="L877" s="1"/>
      <c r="M877" s="1"/>
      <c r="N877" s="1"/>
      <c r="O877" s="1"/>
      <c r="P877" s="1"/>
      <c r="Q877" s="1"/>
      <c r="R877" s="1"/>
      <c r="S877" s="1"/>
      <c r="T877" s="1"/>
      <c r="U877" s="1"/>
      <c r="V877" s="1"/>
      <c r="W877" s="1"/>
      <c r="X877" s="1"/>
    </row>
    <row r="878" spans="1:24" ht="12.75" customHeight="1" x14ac:dyDescent="0.2">
      <c r="A878" s="1"/>
      <c r="B878" s="1"/>
      <c r="C878" s="89"/>
      <c r="D878" s="89"/>
      <c r="E878" s="93"/>
      <c r="F878" s="93"/>
      <c r="G878" s="1"/>
      <c r="H878" s="1"/>
      <c r="I878" s="1"/>
      <c r="J878" s="1"/>
      <c r="K878" s="1"/>
      <c r="L878" s="1"/>
      <c r="M878" s="1"/>
      <c r="N878" s="1"/>
      <c r="O878" s="1"/>
      <c r="P878" s="1"/>
      <c r="Q878" s="1"/>
      <c r="R878" s="1"/>
      <c r="S878" s="1"/>
      <c r="T878" s="1"/>
      <c r="U878" s="1"/>
      <c r="V878" s="1"/>
      <c r="W878" s="1"/>
      <c r="X878" s="1"/>
    </row>
    <row r="879" spans="1:24" ht="12.75" customHeight="1" x14ac:dyDescent="0.2">
      <c r="A879" s="1"/>
      <c r="B879" s="1"/>
      <c r="C879" s="89"/>
      <c r="D879" s="89"/>
      <c r="E879" s="93"/>
      <c r="F879" s="93"/>
      <c r="G879" s="1"/>
      <c r="H879" s="1"/>
      <c r="I879" s="1"/>
      <c r="J879" s="1"/>
      <c r="K879" s="1"/>
      <c r="L879" s="1"/>
      <c r="M879" s="1"/>
      <c r="N879" s="1"/>
      <c r="O879" s="1"/>
      <c r="P879" s="1"/>
      <c r="Q879" s="1"/>
      <c r="R879" s="1"/>
      <c r="S879" s="1"/>
      <c r="T879" s="1"/>
      <c r="U879" s="1"/>
      <c r="V879" s="1"/>
      <c r="W879" s="1"/>
      <c r="X879" s="1"/>
    </row>
    <row r="880" spans="1:24" ht="12.75" customHeight="1" x14ac:dyDescent="0.2">
      <c r="A880" s="1"/>
      <c r="B880" s="1"/>
      <c r="C880" s="89"/>
      <c r="D880" s="89"/>
      <c r="E880" s="93"/>
      <c r="F880" s="93"/>
      <c r="G880" s="1"/>
      <c r="H880" s="1"/>
      <c r="I880" s="1"/>
      <c r="J880" s="1"/>
      <c r="K880" s="1"/>
      <c r="L880" s="1"/>
      <c r="M880" s="1"/>
      <c r="N880" s="1"/>
      <c r="O880" s="1"/>
      <c r="P880" s="1"/>
      <c r="Q880" s="1"/>
      <c r="R880" s="1"/>
      <c r="S880" s="1"/>
      <c r="T880" s="1"/>
      <c r="U880" s="1"/>
      <c r="V880" s="1"/>
      <c r="W880" s="1"/>
      <c r="X880" s="1"/>
    </row>
    <row r="881" spans="1:24" ht="12.75" customHeight="1" x14ac:dyDescent="0.2">
      <c r="A881" s="1"/>
      <c r="B881" s="1"/>
      <c r="C881" s="89"/>
      <c r="D881" s="89"/>
      <c r="E881" s="93"/>
      <c r="F881" s="93"/>
      <c r="G881" s="1"/>
      <c r="H881" s="1"/>
      <c r="I881" s="1"/>
      <c r="J881" s="1"/>
      <c r="K881" s="1"/>
      <c r="L881" s="1"/>
      <c r="M881" s="1"/>
      <c r="N881" s="1"/>
      <c r="O881" s="1"/>
      <c r="P881" s="1"/>
      <c r="Q881" s="1"/>
      <c r="R881" s="1"/>
      <c r="S881" s="1"/>
      <c r="T881" s="1"/>
      <c r="U881" s="1"/>
      <c r="V881" s="1"/>
      <c r="W881" s="1"/>
      <c r="X881" s="1"/>
    </row>
    <row r="882" spans="1:24" ht="12.75" customHeight="1" x14ac:dyDescent="0.2">
      <c r="A882" s="1"/>
      <c r="B882" s="1"/>
      <c r="C882" s="89"/>
      <c r="D882" s="89"/>
      <c r="E882" s="93"/>
      <c r="F882" s="93"/>
      <c r="G882" s="1"/>
      <c r="H882" s="1"/>
      <c r="I882" s="1"/>
      <c r="J882" s="1"/>
      <c r="K882" s="1"/>
      <c r="L882" s="1"/>
      <c r="M882" s="1"/>
      <c r="N882" s="1"/>
      <c r="O882" s="1"/>
      <c r="P882" s="1"/>
      <c r="Q882" s="1"/>
      <c r="R882" s="1"/>
      <c r="S882" s="1"/>
      <c r="T882" s="1"/>
      <c r="U882" s="1"/>
      <c r="V882" s="1"/>
      <c r="W882" s="1"/>
      <c r="X882" s="1"/>
    </row>
    <row r="883" spans="1:24" ht="12.75" customHeight="1" x14ac:dyDescent="0.2">
      <c r="A883" s="1"/>
      <c r="B883" s="1"/>
      <c r="C883" s="89"/>
      <c r="D883" s="89"/>
      <c r="E883" s="93"/>
      <c r="F883" s="93"/>
      <c r="G883" s="1"/>
      <c r="H883" s="1"/>
      <c r="I883" s="1"/>
      <c r="J883" s="1"/>
      <c r="K883" s="1"/>
      <c r="L883" s="1"/>
      <c r="M883" s="1"/>
      <c r="N883" s="1"/>
      <c r="O883" s="1"/>
      <c r="P883" s="1"/>
      <c r="Q883" s="1"/>
      <c r="R883" s="1"/>
      <c r="S883" s="1"/>
      <c r="T883" s="1"/>
      <c r="U883" s="1"/>
      <c r="V883" s="1"/>
      <c r="W883" s="1"/>
      <c r="X883" s="1"/>
    </row>
    <row r="884" spans="1:24" ht="12.75" customHeight="1" x14ac:dyDescent="0.2">
      <c r="A884" s="1"/>
      <c r="B884" s="1"/>
      <c r="C884" s="89"/>
      <c r="D884" s="89"/>
      <c r="E884" s="93"/>
      <c r="F884" s="93"/>
      <c r="G884" s="1"/>
      <c r="H884" s="1"/>
      <c r="I884" s="1"/>
      <c r="J884" s="1"/>
      <c r="K884" s="1"/>
      <c r="L884" s="1"/>
      <c r="M884" s="1"/>
      <c r="N884" s="1"/>
      <c r="O884" s="1"/>
      <c r="P884" s="1"/>
      <c r="Q884" s="1"/>
      <c r="R884" s="1"/>
      <c r="S884" s="1"/>
      <c r="T884" s="1"/>
      <c r="U884" s="1"/>
      <c r="V884" s="1"/>
      <c r="W884" s="1"/>
      <c r="X884" s="1"/>
    </row>
    <row r="885" spans="1:24" ht="12.75" customHeight="1" x14ac:dyDescent="0.2">
      <c r="A885" s="1"/>
      <c r="B885" s="1"/>
      <c r="C885" s="89"/>
      <c r="D885" s="89"/>
      <c r="E885" s="93"/>
      <c r="F885" s="93"/>
      <c r="G885" s="1"/>
      <c r="H885" s="1"/>
      <c r="I885" s="1"/>
      <c r="J885" s="1"/>
      <c r="K885" s="1"/>
      <c r="L885" s="1"/>
      <c r="M885" s="1"/>
      <c r="N885" s="1"/>
      <c r="O885" s="1"/>
      <c r="P885" s="1"/>
      <c r="Q885" s="1"/>
      <c r="R885" s="1"/>
      <c r="S885" s="1"/>
      <c r="T885" s="1"/>
      <c r="U885" s="1"/>
      <c r="V885" s="1"/>
      <c r="W885" s="1"/>
      <c r="X885" s="1"/>
    </row>
    <row r="886" spans="1:24" ht="12.75" customHeight="1" x14ac:dyDescent="0.2">
      <c r="A886" s="1"/>
      <c r="B886" s="1"/>
      <c r="C886" s="89"/>
      <c r="D886" s="89"/>
      <c r="E886" s="93"/>
      <c r="F886" s="93"/>
      <c r="G886" s="1"/>
      <c r="H886" s="1"/>
      <c r="I886" s="1"/>
      <c r="J886" s="1"/>
      <c r="K886" s="1"/>
      <c r="L886" s="1"/>
      <c r="M886" s="1"/>
      <c r="N886" s="1"/>
      <c r="O886" s="1"/>
      <c r="P886" s="1"/>
      <c r="Q886" s="1"/>
      <c r="R886" s="1"/>
      <c r="S886" s="1"/>
      <c r="T886" s="1"/>
      <c r="U886" s="1"/>
      <c r="V886" s="1"/>
      <c r="W886" s="1"/>
      <c r="X886" s="1"/>
    </row>
    <row r="887" spans="1:24" ht="12.75" customHeight="1" x14ac:dyDescent="0.2">
      <c r="A887" s="1"/>
      <c r="B887" s="1"/>
      <c r="C887" s="89"/>
      <c r="D887" s="89"/>
      <c r="E887" s="93"/>
      <c r="F887" s="93"/>
      <c r="G887" s="1"/>
      <c r="H887" s="1"/>
      <c r="I887" s="1"/>
      <c r="J887" s="1"/>
      <c r="K887" s="1"/>
      <c r="L887" s="1"/>
      <c r="M887" s="1"/>
      <c r="N887" s="1"/>
      <c r="O887" s="1"/>
      <c r="P887" s="1"/>
      <c r="Q887" s="1"/>
      <c r="R887" s="1"/>
      <c r="S887" s="1"/>
      <c r="T887" s="1"/>
      <c r="U887" s="1"/>
      <c r="V887" s="1"/>
      <c r="W887" s="1"/>
      <c r="X887" s="1"/>
    </row>
    <row r="888" spans="1:24" ht="12.75" customHeight="1" x14ac:dyDescent="0.2">
      <c r="A888" s="1"/>
      <c r="B888" s="1"/>
      <c r="C888" s="89"/>
      <c r="D888" s="89"/>
      <c r="E888" s="93"/>
      <c r="F888" s="93"/>
      <c r="G888" s="1"/>
      <c r="H888" s="1"/>
      <c r="I888" s="1"/>
      <c r="J888" s="1"/>
      <c r="K888" s="1"/>
      <c r="L888" s="1"/>
      <c r="M888" s="1"/>
      <c r="N888" s="1"/>
      <c r="O888" s="1"/>
      <c r="P888" s="1"/>
      <c r="Q888" s="1"/>
      <c r="R888" s="1"/>
      <c r="S888" s="1"/>
      <c r="T888" s="1"/>
      <c r="U888" s="1"/>
      <c r="V888" s="1"/>
      <c r="W888" s="1"/>
      <c r="X888" s="1"/>
    </row>
    <row r="889" spans="1:24" ht="12.75" customHeight="1" x14ac:dyDescent="0.2">
      <c r="A889" s="1"/>
      <c r="B889" s="1"/>
      <c r="C889" s="89"/>
      <c r="D889" s="89"/>
      <c r="E889" s="93"/>
      <c r="F889" s="93"/>
      <c r="G889" s="1"/>
      <c r="H889" s="1"/>
      <c r="I889" s="1"/>
      <c r="J889" s="1"/>
      <c r="K889" s="1"/>
      <c r="L889" s="1"/>
      <c r="M889" s="1"/>
      <c r="N889" s="1"/>
      <c r="O889" s="1"/>
      <c r="P889" s="1"/>
      <c r="Q889" s="1"/>
      <c r="R889" s="1"/>
      <c r="S889" s="1"/>
      <c r="T889" s="1"/>
      <c r="U889" s="1"/>
      <c r="V889" s="1"/>
      <c r="W889" s="1"/>
      <c r="X889" s="1"/>
    </row>
    <row r="890" spans="1:24" ht="12.75" customHeight="1" x14ac:dyDescent="0.2">
      <c r="A890" s="1"/>
      <c r="B890" s="1"/>
      <c r="C890" s="89"/>
      <c r="D890" s="89"/>
      <c r="E890" s="93"/>
      <c r="F890" s="93"/>
      <c r="G890" s="1"/>
      <c r="H890" s="1"/>
      <c r="I890" s="1"/>
      <c r="J890" s="1"/>
      <c r="K890" s="1"/>
      <c r="L890" s="1"/>
      <c r="M890" s="1"/>
      <c r="N890" s="1"/>
      <c r="O890" s="1"/>
      <c r="P890" s="1"/>
      <c r="Q890" s="1"/>
      <c r="R890" s="1"/>
      <c r="S890" s="1"/>
      <c r="T890" s="1"/>
      <c r="U890" s="1"/>
      <c r="V890" s="1"/>
      <c r="W890" s="1"/>
      <c r="X890" s="1"/>
    </row>
    <row r="891" spans="1:24" ht="12.75" customHeight="1" x14ac:dyDescent="0.2">
      <c r="A891" s="1"/>
      <c r="B891" s="1"/>
      <c r="C891" s="89"/>
      <c r="D891" s="89"/>
      <c r="E891" s="93"/>
      <c r="F891" s="93"/>
      <c r="G891" s="1"/>
      <c r="H891" s="1"/>
      <c r="I891" s="1"/>
      <c r="J891" s="1"/>
      <c r="K891" s="1"/>
      <c r="L891" s="1"/>
      <c r="M891" s="1"/>
      <c r="N891" s="1"/>
      <c r="O891" s="1"/>
      <c r="P891" s="1"/>
      <c r="Q891" s="1"/>
      <c r="R891" s="1"/>
      <c r="S891" s="1"/>
      <c r="T891" s="1"/>
      <c r="U891" s="1"/>
      <c r="V891" s="1"/>
      <c r="W891" s="1"/>
      <c r="X891" s="1"/>
    </row>
    <row r="892" spans="1:24" ht="12.75" customHeight="1" x14ac:dyDescent="0.2">
      <c r="A892" s="1"/>
      <c r="B892" s="1"/>
      <c r="C892" s="89"/>
      <c r="D892" s="89"/>
      <c r="E892" s="93"/>
      <c r="F892" s="93"/>
      <c r="G892" s="1"/>
      <c r="H892" s="1"/>
      <c r="I892" s="1"/>
      <c r="J892" s="1"/>
      <c r="K892" s="1"/>
      <c r="L892" s="1"/>
      <c r="M892" s="1"/>
      <c r="N892" s="1"/>
      <c r="O892" s="1"/>
      <c r="P892" s="1"/>
      <c r="Q892" s="1"/>
      <c r="R892" s="1"/>
      <c r="S892" s="1"/>
      <c r="T892" s="1"/>
      <c r="U892" s="1"/>
      <c r="V892" s="1"/>
      <c r="W892" s="1"/>
      <c r="X892" s="1"/>
    </row>
    <row r="893" spans="1:24" ht="12.75" customHeight="1" x14ac:dyDescent="0.2">
      <c r="A893" s="1"/>
      <c r="B893" s="1"/>
      <c r="C893" s="89"/>
      <c r="D893" s="89"/>
      <c r="E893" s="93"/>
      <c r="F893" s="93"/>
      <c r="G893" s="1"/>
      <c r="H893" s="1"/>
      <c r="I893" s="1"/>
      <c r="J893" s="1"/>
      <c r="K893" s="1"/>
      <c r="L893" s="1"/>
      <c r="M893" s="1"/>
      <c r="N893" s="1"/>
      <c r="O893" s="1"/>
      <c r="P893" s="1"/>
      <c r="Q893" s="1"/>
      <c r="R893" s="1"/>
      <c r="S893" s="1"/>
      <c r="T893" s="1"/>
      <c r="U893" s="1"/>
      <c r="V893" s="1"/>
      <c r="W893" s="1"/>
      <c r="X893" s="1"/>
    </row>
    <row r="894" spans="1:24" ht="12.75" customHeight="1" x14ac:dyDescent="0.2">
      <c r="A894" s="1"/>
      <c r="B894" s="1"/>
      <c r="C894" s="89"/>
      <c r="D894" s="89"/>
      <c r="E894" s="93"/>
      <c r="F894" s="93"/>
      <c r="G894" s="1"/>
      <c r="H894" s="1"/>
      <c r="I894" s="1"/>
      <c r="J894" s="1"/>
      <c r="K894" s="1"/>
      <c r="L894" s="1"/>
      <c r="M894" s="1"/>
      <c r="N894" s="1"/>
      <c r="O894" s="1"/>
      <c r="P894" s="1"/>
      <c r="Q894" s="1"/>
      <c r="R894" s="1"/>
      <c r="S894" s="1"/>
      <c r="T894" s="1"/>
      <c r="U894" s="1"/>
      <c r="V894" s="1"/>
      <c r="W894" s="1"/>
      <c r="X894" s="1"/>
    </row>
    <row r="895" spans="1:24" ht="12.75" customHeight="1" x14ac:dyDescent="0.2">
      <c r="A895" s="1"/>
      <c r="B895" s="1"/>
      <c r="C895" s="89"/>
      <c r="D895" s="89"/>
      <c r="E895" s="93"/>
      <c r="F895" s="93"/>
      <c r="G895" s="1"/>
      <c r="H895" s="1"/>
      <c r="I895" s="1"/>
      <c r="J895" s="1"/>
      <c r="K895" s="1"/>
      <c r="L895" s="1"/>
      <c r="M895" s="1"/>
      <c r="N895" s="1"/>
      <c r="O895" s="1"/>
      <c r="P895" s="1"/>
      <c r="Q895" s="1"/>
      <c r="R895" s="1"/>
      <c r="S895" s="1"/>
      <c r="T895" s="1"/>
      <c r="U895" s="1"/>
      <c r="V895" s="1"/>
      <c r="W895" s="1"/>
      <c r="X895" s="1"/>
    </row>
    <row r="896" spans="1:24" ht="12.75" customHeight="1" x14ac:dyDescent="0.2">
      <c r="A896" s="1"/>
      <c r="B896" s="1"/>
      <c r="C896" s="89"/>
      <c r="D896" s="89"/>
      <c r="E896" s="93"/>
      <c r="F896" s="93"/>
      <c r="G896" s="1"/>
      <c r="H896" s="1"/>
      <c r="I896" s="1"/>
      <c r="J896" s="1"/>
      <c r="K896" s="1"/>
      <c r="L896" s="1"/>
      <c r="M896" s="1"/>
      <c r="N896" s="1"/>
      <c r="O896" s="1"/>
      <c r="P896" s="1"/>
      <c r="Q896" s="1"/>
      <c r="R896" s="1"/>
      <c r="S896" s="1"/>
      <c r="T896" s="1"/>
      <c r="U896" s="1"/>
      <c r="V896" s="1"/>
      <c r="W896" s="1"/>
      <c r="X896" s="1"/>
    </row>
    <row r="897" spans="1:24" ht="12.75" customHeight="1" x14ac:dyDescent="0.2">
      <c r="A897" s="1"/>
      <c r="B897" s="1"/>
      <c r="C897" s="89"/>
      <c r="D897" s="89"/>
      <c r="E897" s="93"/>
      <c r="F897" s="93"/>
      <c r="G897" s="1"/>
      <c r="H897" s="1"/>
      <c r="I897" s="1"/>
      <c r="J897" s="1"/>
      <c r="K897" s="1"/>
      <c r="L897" s="1"/>
      <c r="M897" s="1"/>
      <c r="N897" s="1"/>
      <c r="O897" s="1"/>
      <c r="P897" s="1"/>
      <c r="Q897" s="1"/>
      <c r="R897" s="1"/>
      <c r="S897" s="1"/>
      <c r="T897" s="1"/>
      <c r="U897" s="1"/>
      <c r="V897" s="1"/>
      <c r="W897" s="1"/>
      <c r="X897" s="1"/>
    </row>
    <row r="898" spans="1:24" ht="12.75" customHeight="1" x14ac:dyDescent="0.2">
      <c r="A898" s="1"/>
      <c r="B898" s="1"/>
      <c r="C898" s="89"/>
      <c r="D898" s="89"/>
      <c r="E898" s="93"/>
      <c r="F898" s="93"/>
      <c r="G898" s="1"/>
      <c r="H898" s="1"/>
      <c r="I898" s="1"/>
      <c r="J898" s="1"/>
      <c r="K898" s="1"/>
      <c r="L898" s="1"/>
      <c r="M898" s="1"/>
      <c r="N898" s="1"/>
      <c r="O898" s="1"/>
      <c r="P898" s="1"/>
      <c r="Q898" s="1"/>
      <c r="R898" s="1"/>
      <c r="S898" s="1"/>
      <c r="T898" s="1"/>
      <c r="U898" s="1"/>
      <c r="V898" s="1"/>
      <c r="W898" s="1"/>
      <c r="X898" s="1"/>
    </row>
    <row r="899" spans="1:24" ht="12.75" customHeight="1" x14ac:dyDescent="0.2">
      <c r="A899" s="1"/>
      <c r="B899" s="1"/>
      <c r="C899" s="89"/>
      <c r="D899" s="89"/>
      <c r="E899" s="93"/>
      <c r="F899" s="93"/>
      <c r="G899" s="1"/>
      <c r="H899" s="1"/>
      <c r="I899" s="1"/>
      <c r="J899" s="1"/>
      <c r="K899" s="1"/>
      <c r="L899" s="1"/>
      <c r="M899" s="1"/>
      <c r="N899" s="1"/>
      <c r="O899" s="1"/>
      <c r="P899" s="1"/>
      <c r="Q899" s="1"/>
      <c r="R899" s="1"/>
      <c r="S899" s="1"/>
      <c r="T899" s="1"/>
      <c r="U899" s="1"/>
      <c r="V899" s="1"/>
      <c r="W899" s="1"/>
      <c r="X899" s="1"/>
    </row>
    <row r="900" spans="1:24" ht="12.75" customHeight="1" x14ac:dyDescent="0.2">
      <c r="A900" s="1"/>
      <c r="B900" s="1"/>
      <c r="C900" s="89"/>
      <c r="D900" s="89"/>
      <c r="E900" s="93"/>
      <c r="F900" s="93"/>
      <c r="G900" s="1"/>
      <c r="H900" s="1"/>
      <c r="I900" s="1"/>
      <c r="J900" s="1"/>
      <c r="K900" s="1"/>
      <c r="L900" s="1"/>
      <c r="M900" s="1"/>
      <c r="N900" s="1"/>
      <c r="O900" s="1"/>
      <c r="P900" s="1"/>
      <c r="Q900" s="1"/>
      <c r="R900" s="1"/>
      <c r="S900" s="1"/>
      <c r="T900" s="1"/>
      <c r="U900" s="1"/>
      <c r="V900" s="1"/>
      <c r="W900" s="1"/>
      <c r="X900" s="1"/>
    </row>
    <row r="901" spans="1:24" ht="12.75" customHeight="1" x14ac:dyDescent="0.2">
      <c r="A901" s="1"/>
      <c r="B901" s="1"/>
      <c r="C901" s="89"/>
      <c r="D901" s="89"/>
      <c r="E901" s="93"/>
      <c r="F901" s="93"/>
      <c r="G901" s="1"/>
      <c r="H901" s="1"/>
      <c r="I901" s="1"/>
      <c r="J901" s="1"/>
      <c r="K901" s="1"/>
      <c r="L901" s="1"/>
      <c r="M901" s="1"/>
      <c r="N901" s="1"/>
      <c r="O901" s="1"/>
      <c r="P901" s="1"/>
      <c r="Q901" s="1"/>
      <c r="R901" s="1"/>
      <c r="S901" s="1"/>
      <c r="T901" s="1"/>
      <c r="U901" s="1"/>
      <c r="V901" s="1"/>
      <c r="W901" s="1"/>
      <c r="X901" s="1"/>
    </row>
    <row r="902" spans="1:24" ht="12.75" customHeight="1" x14ac:dyDescent="0.2">
      <c r="A902" s="1"/>
      <c r="B902" s="1"/>
      <c r="C902" s="89"/>
      <c r="D902" s="89"/>
      <c r="E902" s="93"/>
      <c r="F902" s="93"/>
      <c r="G902" s="1"/>
      <c r="H902" s="1"/>
      <c r="I902" s="1"/>
      <c r="J902" s="1"/>
      <c r="K902" s="1"/>
      <c r="L902" s="1"/>
      <c r="M902" s="1"/>
      <c r="N902" s="1"/>
      <c r="O902" s="1"/>
      <c r="P902" s="1"/>
      <c r="Q902" s="1"/>
      <c r="R902" s="1"/>
      <c r="S902" s="1"/>
      <c r="T902" s="1"/>
      <c r="U902" s="1"/>
      <c r="V902" s="1"/>
      <c r="W902" s="1"/>
      <c r="X902" s="1"/>
    </row>
    <row r="903" spans="1:24" ht="12.75" customHeight="1" x14ac:dyDescent="0.2">
      <c r="A903" s="1"/>
      <c r="B903" s="1"/>
      <c r="C903" s="89"/>
      <c r="D903" s="89"/>
      <c r="E903" s="93"/>
      <c r="F903" s="93"/>
      <c r="G903" s="1"/>
      <c r="H903" s="1"/>
      <c r="I903" s="1"/>
      <c r="J903" s="1"/>
      <c r="K903" s="1"/>
      <c r="L903" s="1"/>
      <c r="M903" s="1"/>
      <c r="N903" s="1"/>
      <c r="O903" s="1"/>
      <c r="P903" s="1"/>
      <c r="Q903" s="1"/>
      <c r="R903" s="1"/>
      <c r="S903" s="1"/>
      <c r="T903" s="1"/>
      <c r="U903" s="1"/>
      <c r="V903" s="1"/>
      <c r="W903" s="1"/>
      <c r="X903" s="1"/>
    </row>
    <row r="904" spans="1:24" ht="12.75" customHeight="1" x14ac:dyDescent="0.2">
      <c r="A904" s="1"/>
      <c r="B904" s="1"/>
      <c r="C904" s="89"/>
      <c r="D904" s="89"/>
      <c r="E904" s="93"/>
      <c r="F904" s="93"/>
      <c r="G904" s="1"/>
      <c r="H904" s="1"/>
      <c r="I904" s="1"/>
      <c r="J904" s="1"/>
      <c r="K904" s="1"/>
      <c r="L904" s="1"/>
      <c r="M904" s="1"/>
      <c r="N904" s="1"/>
      <c r="O904" s="1"/>
      <c r="P904" s="1"/>
      <c r="Q904" s="1"/>
      <c r="R904" s="1"/>
      <c r="S904" s="1"/>
      <c r="T904" s="1"/>
      <c r="U904" s="1"/>
      <c r="V904" s="1"/>
      <c r="W904" s="1"/>
      <c r="X904" s="1"/>
    </row>
    <row r="905" spans="1:24" ht="12.75" customHeight="1" x14ac:dyDescent="0.2">
      <c r="A905" s="1"/>
      <c r="B905" s="1"/>
      <c r="C905" s="89"/>
      <c r="D905" s="89"/>
      <c r="E905" s="93"/>
      <c r="F905" s="93"/>
      <c r="G905" s="1"/>
      <c r="H905" s="1"/>
      <c r="I905" s="1"/>
      <c r="J905" s="1"/>
      <c r="K905" s="1"/>
      <c r="L905" s="1"/>
      <c r="M905" s="1"/>
      <c r="N905" s="1"/>
      <c r="O905" s="1"/>
      <c r="P905" s="1"/>
      <c r="Q905" s="1"/>
      <c r="R905" s="1"/>
      <c r="S905" s="1"/>
      <c r="T905" s="1"/>
      <c r="U905" s="1"/>
      <c r="V905" s="1"/>
      <c r="W905" s="1"/>
      <c r="X905" s="1"/>
    </row>
    <row r="906" spans="1:24" ht="12.75" customHeight="1" x14ac:dyDescent="0.2">
      <c r="A906" s="1"/>
      <c r="B906" s="1"/>
      <c r="C906" s="89"/>
      <c r="D906" s="89"/>
      <c r="E906" s="93"/>
      <c r="F906" s="93"/>
      <c r="G906" s="1"/>
      <c r="H906" s="1"/>
      <c r="I906" s="1"/>
      <c r="J906" s="1"/>
      <c r="K906" s="1"/>
      <c r="L906" s="1"/>
      <c r="M906" s="1"/>
      <c r="N906" s="1"/>
      <c r="O906" s="1"/>
      <c r="P906" s="1"/>
      <c r="Q906" s="1"/>
      <c r="R906" s="1"/>
      <c r="S906" s="1"/>
      <c r="T906" s="1"/>
      <c r="U906" s="1"/>
      <c r="V906" s="1"/>
      <c r="W906" s="1"/>
      <c r="X906" s="1"/>
    </row>
    <row r="907" spans="1:24" ht="12.75" customHeight="1" x14ac:dyDescent="0.2">
      <c r="A907" s="1"/>
      <c r="B907" s="1"/>
      <c r="C907" s="89"/>
      <c r="D907" s="89"/>
      <c r="E907" s="93"/>
      <c r="F907" s="93"/>
      <c r="G907" s="1"/>
      <c r="H907" s="1"/>
      <c r="I907" s="1"/>
      <c r="J907" s="1"/>
      <c r="K907" s="1"/>
      <c r="L907" s="1"/>
      <c r="M907" s="1"/>
      <c r="N907" s="1"/>
      <c r="O907" s="1"/>
      <c r="P907" s="1"/>
      <c r="Q907" s="1"/>
      <c r="R907" s="1"/>
      <c r="S907" s="1"/>
      <c r="T907" s="1"/>
      <c r="U907" s="1"/>
      <c r="V907" s="1"/>
      <c r="W907" s="1"/>
      <c r="X907" s="1"/>
    </row>
    <row r="908" spans="1:24" ht="12.75" customHeight="1" x14ac:dyDescent="0.2">
      <c r="A908" s="1"/>
      <c r="B908" s="1"/>
      <c r="C908" s="89"/>
      <c r="D908" s="89"/>
      <c r="E908" s="93"/>
      <c r="F908" s="93"/>
      <c r="G908" s="1"/>
      <c r="H908" s="1"/>
      <c r="I908" s="1"/>
      <c r="J908" s="1"/>
      <c r="K908" s="1"/>
      <c r="L908" s="1"/>
      <c r="M908" s="1"/>
      <c r="N908" s="1"/>
      <c r="O908" s="1"/>
      <c r="P908" s="1"/>
      <c r="Q908" s="1"/>
      <c r="R908" s="1"/>
      <c r="S908" s="1"/>
      <c r="T908" s="1"/>
      <c r="U908" s="1"/>
      <c r="V908" s="1"/>
      <c r="W908" s="1"/>
      <c r="X908" s="1"/>
    </row>
    <row r="909" spans="1:24" ht="12.75" customHeight="1" x14ac:dyDescent="0.2">
      <c r="A909" s="1"/>
      <c r="B909" s="1"/>
      <c r="C909" s="89"/>
      <c r="D909" s="89"/>
      <c r="E909" s="93"/>
      <c r="F909" s="93"/>
      <c r="G909" s="1"/>
      <c r="H909" s="1"/>
      <c r="I909" s="1"/>
      <c r="J909" s="1"/>
      <c r="K909" s="1"/>
      <c r="L909" s="1"/>
      <c r="M909" s="1"/>
      <c r="N909" s="1"/>
      <c r="O909" s="1"/>
      <c r="P909" s="1"/>
      <c r="Q909" s="1"/>
      <c r="R909" s="1"/>
      <c r="S909" s="1"/>
      <c r="T909" s="1"/>
      <c r="U909" s="1"/>
      <c r="V909" s="1"/>
      <c r="W909" s="1"/>
      <c r="X909" s="1"/>
    </row>
    <row r="910" spans="1:24" ht="12.75" customHeight="1" x14ac:dyDescent="0.2">
      <c r="A910" s="1"/>
      <c r="B910" s="1"/>
      <c r="C910" s="89"/>
      <c r="D910" s="89"/>
      <c r="E910" s="93"/>
      <c r="F910" s="93"/>
      <c r="G910" s="1"/>
      <c r="H910" s="1"/>
      <c r="I910" s="1"/>
      <c r="J910" s="1"/>
      <c r="K910" s="1"/>
      <c r="L910" s="1"/>
      <c r="M910" s="1"/>
      <c r="N910" s="1"/>
      <c r="O910" s="1"/>
      <c r="P910" s="1"/>
      <c r="Q910" s="1"/>
      <c r="R910" s="1"/>
      <c r="S910" s="1"/>
      <c r="T910" s="1"/>
      <c r="U910" s="1"/>
      <c r="V910" s="1"/>
      <c r="W910" s="1"/>
      <c r="X910" s="1"/>
    </row>
    <row r="911" spans="1:24" ht="12.75" customHeight="1" x14ac:dyDescent="0.2">
      <c r="A911" s="1"/>
      <c r="B911" s="1"/>
      <c r="C911" s="89"/>
      <c r="D911" s="89"/>
      <c r="E911" s="93"/>
      <c r="F911" s="93"/>
      <c r="G911" s="1"/>
      <c r="H911" s="1"/>
      <c r="I911" s="1"/>
      <c r="J911" s="1"/>
      <c r="K911" s="1"/>
      <c r="L911" s="1"/>
      <c r="M911" s="1"/>
      <c r="N911" s="1"/>
      <c r="O911" s="1"/>
      <c r="P911" s="1"/>
      <c r="Q911" s="1"/>
      <c r="R911" s="1"/>
      <c r="S911" s="1"/>
      <c r="T911" s="1"/>
      <c r="U911" s="1"/>
      <c r="V911" s="1"/>
      <c r="W911" s="1"/>
      <c r="X911" s="1"/>
    </row>
    <row r="912" spans="1:24" ht="12.75" customHeight="1" x14ac:dyDescent="0.2">
      <c r="A912" s="1"/>
      <c r="B912" s="1"/>
      <c r="C912" s="89"/>
      <c r="D912" s="89"/>
      <c r="E912" s="93"/>
      <c r="F912" s="93"/>
      <c r="G912" s="1"/>
      <c r="H912" s="1"/>
      <c r="I912" s="1"/>
      <c r="J912" s="1"/>
      <c r="K912" s="1"/>
      <c r="L912" s="1"/>
      <c r="M912" s="1"/>
      <c r="N912" s="1"/>
      <c r="O912" s="1"/>
      <c r="P912" s="1"/>
      <c r="Q912" s="1"/>
      <c r="R912" s="1"/>
      <c r="S912" s="1"/>
      <c r="T912" s="1"/>
      <c r="U912" s="1"/>
      <c r="V912" s="1"/>
      <c r="W912" s="1"/>
      <c r="X912" s="1"/>
    </row>
    <row r="913" spans="1:24" ht="12.75" customHeight="1" x14ac:dyDescent="0.2">
      <c r="A913" s="1"/>
      <c r="B913" s="1"/>
      <c r="C913" s="89"/>
      <c r="D913" s="89"/>
      <c r="E913" s="93"/>
      <c r="F913" s="93"/>
      <c r="G913" s="1"/>
      <c r="H913" s="1"/>
      <c r="I913" s="1"/>
      <c r="J913" s="1"/>
      <c r="K913" s="1"/>
      <c r="L913" s="1"/>
      <c r="M913" s="1"/>
      <c r="N913" s="1"/>
      <c r="O913" s="1"/>
      <c r="P913" s="1"/>
      <c r="Q913" s="1"/>
      <c r="R913" s="1"/>
      <c r="S913" s="1"/>
      <c r="T913" s="1"/>
      <c r="U913" s="1"/>
      <c r="V913" s="1"/>
      <c r="W913" s="1"/>
      <c r="X913" s="1"/>
    </row>
    <row r="914" spans="1:24" ht="12.75" customHeight="1" x14ac:dyDescent="0.2">
      <c r="A914" s="1"/>
      <c r="B914" s="1"/>
      <c r="C914" s="89"/>
      <c r="D914" s="89"/>
      <c r="E914" s="93"/>
      <c r="F914" s="93"/>
      <c r="G914" s="1"/>
      <c r="H914" s="1"/>
      <c r="I914" s="1"/>
      <c r="J914" s="1"/>
      <c r="K914" s="1"/>
      <c r="L914" s="1"/>
      <c r="M914" s="1"/>
      <c r="N914" s="1"/>
      <c r="O914" s="1"/>
      <c r="P914" s="1"/>
      <c r="Q914" s="1"/>
      <c r="R914" s="1"/>
      <c r="S914" s="1"/>
      <c r="T914" s="1"/>
      <c r="U914" s="1"/>
      <c r="V914" s="1"/>
      <c r="W914" s="1"/>
      <c r="X914" s="1"/>
    </row>
    <row r="915" spans="1:24" ht="12.75" customHeight="1" x14ac:dyDescent="0.2">
      <c r="A915" s="1"/>
      <c r="B915" s="1"/>
      <c r="C915" s="89"/>
      <c r="D915" s="89"/>
      <c r="E915" s="93"/>
      <c r="F915" s="93"/>
      <c r="G915" s="1"/>
      <c r="H915" s="1"/>
      <c r="I915" s="1"/>
      <c r="J915" s="1"/>
      <c r="K915" s="1"/>
      <c r="L915" s="1"/>
      <c r="M915" s="1"/>
      <c r="N915" s="1"/>
      <c r="O915" s="1"/>
      <c r="P915" s="1"/>
      <c r="Q915" s="1"/>
      <c r="R915" s="1"/>
      <c r="S915" s="1"/>
      <c r="T915" s="1"/>
      <c r="U915" s="1"/>
      <c r="V915" s="1"/>
      <c r="W915" s="1"/>
      <c r="X915" s="1"/>
    </row>
    <row r="916" spans="1:24" ht="12.75" customHeight="1" x14ac:dyDescent="0.2">
      <c r="A916" s="1"/>
      <c r="B916" s="1"/>
      <c r="C916" s="89"/>
      <c r="D916" s="89"/>
      <c r="E916" s="93"/>
      <c r="F916" s="93"/>
      <c r="G916" s="1"/>
      <c r="H916" s="1"/>
      <c r="I916" s="1"/>
      <c r="J916" s="1"/>
      <c r="K916" s="1"/>
      <c r="L916" s="1"/>
      <c r="M916" s="1"/>
      <c r="N916" s="1"/>
      <c r="O916" s="1"/>
      <c r="P916" s="1"/>
      <c r="Q916" s="1"/>
      <c r="R916" s="1"/>
      <c r="S916" s="1"/>
      <c r="T916" s="1"/>
      <c r="U916" s="1"/>
      <c r="V916" s="1"/>
      <c r="W916" s="1"/>
      <c r="X916" s="1"/>
    </row>
    <row r="917" spans="1:24" ht="12.75" customHeight="1" x14ac:dyDescent="0.2">
      <c r="A917" s="1"/>
      <c r="B917" s="1"/>
      <c r="C917" s="89"/>
      <c r="D917" s="89"/>
      <c r="E917" s="93"/>
      <c r="F917" s="93"/>
      <c r="G917" s="1"/>
      <c r="H917" s="1"/>
      <c r="I917" s="1"/>
      <c r="J917" s="1"/>
      <c r="K917" s="1"/>
      <c r="L917" s="1"/>
      <c r="M917" s="1"/>
      <c r="N917" s="1"/>
      <c r="O917" s="1"/>
      <c r="P917" s="1"/>
      <c r="Q917" s="1"/>
      <c r="R917" s="1"/>
      <c r="S917" s="1"/>
      <c r="T917" s="1"/>
      <c r="U917" s="1"/>
      <c r="V917" s="1"/>
      <c r="W917" s="1"/>
      <c r="X917" s="1"/>
    </row>
    <row r="918" spans="1:24" ht="12.75" customHeight="1" x14ac:dyDescent="0.2">
      <c r="A918" s="1"/>
      <c r="B918" s="1"/>
      <c r="C918" s="89"/>
      <c r="D918" s="89"/>
      <c r="E918" s="93"/>
      <c r="F918" s="93"/>
      <c r="G918" s="1"/>
      <c r="H918" s="1"/>
      <c r="I918" s="1"/>
      <c r="J918" s="1"/>
      <c r="K918" s="1"/>
      <c r="L918" s="1"/>
      <c r="M918" s="1"/>
      <c r="N918" s="1"/>
      <c r="O918" s="1"/>
      <c r="P918" s="1"/>
      <c r="Q918" s="1"/>
      <c r="R918" s="1"/>
      <c r="S918" s="1"/>
      <c r="T918" s="1"/>
      <c r="U918" s="1"/>
      <c r="V918" s="1"/>
      <c r="W918" s="1"/>
      <c r="X918" s="1"/>
    </row>
    <row r="919" spans="1:24" ht="12.75" customHeight="1" x14ac:dyDescent="0.2">
      <c r="A919" s="1"/>
      <c r="B919" s="1"/>
      <c r="C919" s="89"/>
      <c r="D919" s="89"/>
      <c r="E919" s="93"/>
      <c r="F919" s="93"/>
      <c r="G919" s="1"/>
      <c r="H919" s="1"/>
      <c r="I919" s="1"/>
      <c r="J919" s="1"/>
      <c r="K919" s="1"/>
      <c r="L919" s="1"/>
      <c r="M919" s="1"/>
      <c r="N919" s="1"/>
      <c r="O919" s="1"/>
      <c r="P919" s="1"/>
      <c r="Q919" s="1"/>
      <c r="R919" s="1"/>
      <c r="S919" s="1"/>
      <c r="T919" s="1"/>
      <c r="U919" s="1"/>
      <c r="V919" s="1"/>
      <c r="W919" s="1"/>
      <c r="X919" s="1"/>
    </row>
    <row r="920" spans="1:24" ht="12.75" customHeight="1" x14ac:dyDescent="0.2">
      <c r="A920" s="1"/>
      <c r="B920" s="1"/>
      <c r="C920" s="89"/>
      <c r="D920" s="89"/>
      <c r="E920" s="93"/>
      <c r="F920" s="93"/>
      <c r="G920" s="1"/>
      <c r="H920" s="1"/>
      <c r="I920" s="1"/>
      <c r="J920" s="1"/>
      <c r="K920" s="1"/>
      <c r="L920" s="1"/>
      <c r="M920" s="1"/>
      <c r="N920" s="1"/>
      <c r="O920" s="1"/>
      <c r="P920" s="1"/>
      <c r="Q920" s="1"/>
      <c r="R920" s="1"/>
      <c r="S920" s="1"/>
      <c r="T920" s="1"/>
      <c r="U920" s="1"/>
      <c r="V920" s="1"/>
      <c r="W920" s="1"/>
      <c r="X920" s="1"/>
    </row>
    <row r="921" spans="1:24" ht="12.75" customHeight="1" x14ac:dyDescent="0.2">
      <c r="A921" s="1"/>
      <c r="B921" s="1"/>
      <c r="C921" s="89"/>
      <c r="D921" s="89"/>
      <c r="E921" s="93"/>
      <c r="F921" s="93"/>
      <c r="G921" s="1"/>
      <c r="H921" s="1"/>
      <c r="I921" s="1"/>
      <c r="J921" s="1"/>
      <c r="K921" s="1"/>
      <c r="L921" s="1"/>
      <c r="M921" s="1"/>
      <c r="N921" s="1"/>
      <c r="O921" s="1"/>
      <c r="P921" s="1"/>
      <c r="Q921" s="1"/>
      <c r="R921" s="1"/>
      <c r="S921" s="1"/>
      <c r="T921" s="1"/>
      <c r="U921" s="1"/>
      <c r="V921" s="1"/>
      <c r="W921" s="1"/>
      <c r="X921" s="1"/>
    </row>
    <row r="922" spans="1:24" ht="12.75" customHeight="1" x14ac:dyDescent="0.2">
      <c r="A922" s="1"/>
      <c r="B922" s="1"/>
      <c r="C922" s="89"/>
      <c r="D922" s="89"/>
      <c r="E922" s="93"/>
      <c r="F922" s="93"/>
      <c r="G922" s="1"/>
      <c r="H922" s="1"/>
      <c r="I922" s="1"/>
      <c r="J922" s="1"/>
      <c r="K922" s="1"/>
      <c r="L922" s="1"/>
      <c r="M922" s="1"/>
      <c r="N922" s="1"/>
      <c r="O922" s="1"/>
      <c r="P922" s="1"/>
      <c r="Q922" s="1"/>
      <c r="R922" s="1"/>
      <c r="S922" s="1"/>
      <c r="T922" s="1"/>
      <c r="U922" s="1"/>
      <c r="V922" s="1"/>
      <c r="W922" s="1"/>
      <c r="X922" s="1"/>
    </row>
    <row r="923" spans="1:24" ht="12.75" customHeight="1" x14ac:dyDescent="0.2">
      <c r="A923" s="1"/>
      <c r="B923" s="1"/>
      <c r="C923" s="89"/>
      <c r="D923" s="89"/>
      <c r="E923" s="93"/>
      <c r="F923" s="93"/>
      <c r="G923" s="1"/>
      <c r="H923" s="1"/>
      <c r="I923" s="1"/>
      <c r="J923" s="1"/>
      <c r="K923" s="1"/>
      <c r="L923" s="1"/>
      <c r="M923" s="1"/>
      <c r="N923" s="1"/>
      <c r="O923" s="1"/>
      <c r="P923" s="1"/>
      <c r="Q923" s="1"/>
      <c r="R923" s="1"/>
      <c r="S923" s="1"/>
      <c r="T923" s="1"/>
      <c r="U923" s="1"/>
      <c r="V923" s="1"/>
      <c r="W923" s="1"/>
      <c r="X923" s="1"/>
    </row>
    <row r="924" spans="1:24" ht="12.75" customHeight="1" x14ac:dyDescent="0.2">
      <c r="A924" s="1"/>
      <c r="B924" s="1"/>
      <c r="C924" s="89"/>
      <c r="D924" s="89"/>
      <c r="E924" s="93"/>
      <c r="F924" s="93"/>
      <c r="G924" s="1"/>
      <c r="H924" s="1"/>
      <c r="I924" s="1"/>
      <c r="J924" s="1"/>
      <c r="K924" s="1"/>
      <c r="L924" s="1"/>
      <c r="M924" s="1"/>
      <c r="N924" s="1"/>
      <c r="O924" s="1"/>
      <c r="P924" s="1"/>
      <c r="Q924" s="1"/>
      <c r="R924" s="1"/>
      <c r="S924" s="1"/>
      <c r="T924" s="1"/>
      <c r="U924" s="1"/>
      <c r="V924" s="1"/>
      <c r="W924" s="1"/>
      <c r="X924" s="1"/>
    </row>
    <row r="925" spans="1:24" ht="12.75" customHeight="1" x14ac:dyDescent="0.2">
      <c r="A925" s="1"/>
      <c r="B925" s="1"/>
      <c r="C925" s="89"/>
      <c r="D925" s="89"/>
      <c r="E925" s="93"/>
      <c r="F925" s="93"/>
      <c r="G925" s="1"/>
      <c r="H925" s="1"/>
      <c r="I925" s="1"/>
      <c r="J925" s="1"/>
      <c r="K925" s="1"/>
      <c r="L925" s="1"/>
      <c r="M925" s="1"/>
      <c r="N925" s="1"/>
      <c r="O925" s="1"/>
      <c r="P925" s="1"/>
      <c r="Q925" s="1"/>
      <c r="R925" s="1"/>
      <c r="S925" s="1"/>
      <c r="T925" s="1"/>
      <c r="U925" s="1"/>
      <c r="V925" s="1"/>
      <c r="W925" s="1"/>
      <c r="X925" s="1"/>
    </row>
    <row r="926" spans="1:24" ht="12.75" customHeight="1" x14ac:dyDescent="0.2">
      <c r="A926" s="1"/>
      <c r="B926" s="1"/>
      <c r="C926" s="89"/>
      <c r="D926" s="89"/>
      <c r="E926" s="93"/>
      <c r="F926" s="93"/>
      <c r="G926" s="1"/>
      <c r="H926" s="1"/>
      <c r="I926" s="1"/>
      <c r="J926" s="1"/>
      <c r="K926" s="1"/>
      <c r="L926" s="1"/>
      <c r="M926" s="1"/>
      <c r="N926" s="1"/>
      <c r="O926" s="1"/>
      <c r="P926" s="1"/>
      <c r="Q926" s="1"/>
      <c r="R926" s="1"/>
      <c r="S926" s="1"/>
      <c r="T926" s="1"/>
      <c r="U926" s="1"/>
      <c r="V926" s="1"/>
      <c r="W926" s="1"/>
      <c r="X926" s="1"/>
    </row>
    <row r="927" spans="1:24" ht="12.75" customHeight="1" x14ac:dyDescent="0.2">
      <c r="A927" s="1"/>
      <c r="B927" s="1"/>
      <c r="C927" s="89"/>
      <c r="D927" s="89"/>
      <c r="E927" s="93"/>
      <c r="F927" s="93"/>
      <c r="G927" s="1"/>
      <c r="H927" s="1"/>
      <c r="I927" s="1"/>
      <c r="J927" s="1"/>
      <c r="K927" s="1"/>
      <c r="L927" s="1"/>
      <c r="M927" s="1"/>
      <c r="N927" s="1"/>
      <c r="O927" s="1"/>
      <c r="P927" s="1"/>
      <c r="Q927" s="1"/>
      <c r="R927" s="1"/>
      <c r="S927" s="1"/>
      <c r="T927" s="1"/>
      <c r="U927" s="1"/>
      <c r="V927" s="1"/>
      <c r="W927" s="1"/>
      <c r="X927" s="1"/>
    </row>
    <row r="928" spans="1:24" ht="12.75" customHeight="1" x14ac:dyDescent="0.2">
      <c r="A928" s="1"/>
      <c r="B928" s="1"/>
      <c r="C928" s="89"/>
      <c r="D928" s="89"/>
      <c r="E928" s="93"/>
      <c r="F928" s="93"/>
      <c r="G928" s="1"/>
      <c r="H928" s="1"/>
      <c r="I928" s="1"/>
      <c r="J928" s="1"/>
      <c r="K928" s="1"/>
      <c r="L928" s="1"/>
      <c r="M928" s="1"/>
      <c r="N928" s="1"/>
      <c r="O928" s="1"/>
      <c r="P928" s="1"/>
      <c r="Q928" s="1"/>
      <c r="R928" s="1"/>
      <c r="S928" s="1"/>
      <c r="T928" s="1"/>
      <c r="U928" s="1"/>
      <c r="V928" s="1"/>
      <c r="W928" s="1"/>
      <c r="X928" s="1"/>
    </row>
    <row r="929" spans="1:24" ht="12.75" customHeight="1" x14ac:dyDescent="0.2">
      <c r="A929" s="1"/>
      <c r="B929" s="1"/>
      <c r="C929" s="89"/>
      <c r="D929" s="89"/>
      <c r="E929" s="93"/>
      <c r="F929" s="93"/>
      <c r="G929" s="1"/>
      <c r="H929" s="1"/>
      <c r="I929" s="1"/>
      <c r="J929" s="1"/>
      <c r="K929" s="1"/>
      <c r="L929" s="1"/>
      <c r="M929" s="1"/>
      <c r="N929" s="1"/>
      <c r="O929" s="1"/>
      <c r="P929" s="1"/>
      <c r="Q929" s="1"/>
      <c r="R929" s="1"/>
      <c r="S929" s="1"/>
      <c r="T929" s="1"/>
      <c r="U929" s="1"/>
      <c r="V929" s="1"/>
      <c r="W929" s="1"/>
      <c r="X929" s="1"/>
    </row>
    <row r="930" spans="1:24" ht="12.75" customHeight="1" x14ac:dyDescent="0.2">
      <c r="A930" s="1"/>
      <c r="B930" s="1"/>
      <c r="C930" s="89"/>
      <c r="D930" s="89"/>
      <c r="E930" s="93"/>
      <c r="F930" s="93"/>
      <c r="G930" s="1"/>
      <c r="H930" s="1"/>
      <c r="I930" s="1"/>
      <c r="J930" s="1"/>
      <c r="K930" s="1"/>
      <c r="L930" s="1"/>
      <c r="M930" s="1"/>
      <c r="N930" s="1"/>
      <c r="O930" s="1"/>
      <c r="P930" s="1"/>
      <c r="Q930" s="1"/>
      <c r="R930" s="1"/>
      <c r="S930" s="1"/>
      <c r="T930" s="1"/>
      <c r="U930" s="1"/>
      <c r="V930" s="1"/>
      <c r="W930" s="1"/>
      <c r="X930" s="1"/>
    </row>
    <row r="931" spans="1:24" ht="12.75" customHeight="1" x14ac:dyDescent="0.2">
      <c r="A931" s="1"/>
      <c r="B931" s="1"/>
      <c r="C931" s="89"/>
      <c r="D931" s="89"/>
      <c r="E931" s="93"/>
      <c r="F931" s="93"/>
      <c r="G931" s="1"/>
      <c r="H931" s="1"/>
      <c r="I931" s="1"/>
      <c r="J931" s="1"/>
      <c r="K931" s="1"/>
      <c r="L931" s="1"/>
      <c r="M931" s="1"/>
      <c r="N931" s="1"/>
      <c r="O931" s="1"/>
      <c r="P931" s="1"/>
      <c r="Q931" s="1"/>
      <c r="R931" s="1"/>
      <c r="S931" s="1"/>
      <c r="T931" s="1"/>
      <c r="U931" s="1"/>
      <c r="V931" s="1"/>
      <c r="W931" s="1"/>
      <c r="X931" s="1"/>
    </row>
    <row r="932" spans="1:24" ht="12.75" customHeight="1" x14ac:dyDescent="0.2">
      <c r="A932" s="1"/>
      <c r="B932" s="1"/>
      <c r="C932" s="89"/>
      <c r="D932" s="89"/>
      <c r="E932" s="93"/>
      <c r="F932" s="93"/>
      <c r="G932" s="1"/>
      <c r="H932" s="1"/>
      <c r="I932" s="1"/>
      <c r="J932" s="1"/>
      <c r="K932" s="1"/>
      <c r="L932" s="1"/>
      <c r="M932" s="1"/>
      <c r="N932" s="1"/>
      <c r="O932" s="1"/>
      <c r="P932" s="1"/>
      <c r="Q932" s="1"/>
      <c r="R932" s="1"/>
      <c r="S932" s="1"/>
      <c r="T932" s="1"/>
      <c r="U932" s="1"/>
      <c r="V932" s="1"/>
      <c r="W932" s="1"/>
      <c r="X932" s="1"/>
    </row>
    <row r="933" spans="1:24" ht="12.75" customHeight="1" x14ac:dyDescent="0.2">
      <c r="A933" s="1"/>
      <c r="B933" s="1"/>
      <c r="C933" s="89"/>
      <c r="D933" s="89"/>
      <c r="E933" s="93"/>
      <c r="F933" s="93"/>
      <c r="G933" s="1"/>
      <c r="H933" s="1"/>
      <c r="I933" s="1"/>
      <c r="J933" s="1"/>
      <c r="K933" s="1"/>
      <c r="L933" s="1"/>
      <c r="M933" s="1"/>
      <c r="N933" s="1"/>
      <c r="O933" s="1"/>
      <c r="P933" s="1"/>
      <c r="Q933" s="1"/>
      <c r="R933" s="1"/>
      <c r="S933" s="1"/>
      <c r="T933" s="1"/>
      <c r="U933" s="1"/>
      <c r="V933" s="1"/>
      <c r="W933" s="1"/>
      <c r="X933" s="1"/>
    </row>
    <row r="934" spans="1:24" ht="12.75" customHeight="1" x14ac:dyDescent="0.2">
      <c r="A934" s="1"/>
      <c r="B934" s="1"/>
      <c r="C934" s="89"/>
      <c r="D934" s="89"/>
      <c r="E934" s="93"/>
      <c r="F934" s="93"/>
      <c r="G934" s="1"/>
      <c r="H934" s="1"/>
      <c r="I934" s="1"/>
      <c r="J934" s="1"/>
      <c r="K934" s="1"/>
      <c r="L934" s="1"/>
      <c r="M934" s="1"/>
      <c r="N934" s="1"/>
      <c r="O934" s="1"/>
      <c r="P934" s="1"/>
      <c r="Q934" s="1"/>
      <c r="R934" s="1"/>
      <c r="S934" s="1"/>
      <c r="T934" s="1"/>
      <c r="U934" s="1"/>
      <c r="V934" s="1"/>
      <c r="W934" s="1"/>
      <c r="X934" s="1"/>
    </row>
    <row r="935" spans="1:24" ht="12.75" customHeight="1" x14ac:dyDescent="0.2">
      <c r="A935" s="1"/>
      <c r="B935" s="1"/>
      <c r="C935" s="89"/>
      <c r="D935" s="89"/>
      <c r="E935" s="93"/>
      <c r="F935" s="93"/>
      <c r="G935" s="1"/>
      <c r="H935" s="1"/>
      <c r="I935" s="1"/>
      <c r="J935" s="1"/>
      <c r="K935" s="1"/>
      <c r="L935" s="1"/>
      <c r="M935" s="1"/>
      <c r="N935" s="1"/>
      <c r="O935" s="1"/>
      <c r="P935" s="1"/>
      <c r="Q935" s="1"/>
      <c r="R935" s="1"/>
      <c r="S935" s="1"/>
      <c r="T935" s="1"/>
      <c r="U935" s="1"/>
      <c r="V935" s="1"/>
      <c r="W935" s="1"/>
      <c r="X935" s="1"/>
    </row>
    <row r="936" spans="1:24" ht="12.75" customHeight="1" x14ac:dyDescent="0.2">
      <c r="A936" s="1"/>
      <c r="B936" s="1"/>
      <c r="C936" s="89"/>
      <c r="D936" s="89"/>
      <c r="E936" s="93"/>
      <c r="F936" s="93"/>
      <c r="G936" s="1"/>
      <c r="H936" s="1"/>
      <c r="I936" s="1"/>
      <c r="J936" s="1"/>
      <c r="K936" s="1"/>
      <c r="L936" s="1"/>
      <c r="M936" s="1"/>
      <c r="N936" s="1"/>
      <c r="O936" s="1"/>
      <c r="P936" s="1"/>
      <c r="Q936" s="1"/>
      <c r="R936" s="1"/>
      <c r="S936" s="1"/>
      <c r="T936" s="1"/>
      <c r="U936" s="1"/>
      <c r="V936" s="1"/>
      <c r="W936" s="1"/>
      <c r="X936" s="1"/>
    </row>
    <row r="937" spans="1:24" ht="12.75" customHeight="1" x14ac:dyDescent="0.2">
      <c r="A937" s="1"/>
      <c r="B937" s="1"/>
      <c r="C937" s="89"/>
      <c r="D937" s="89"/>
      <c r="E937" s="93"/>
      <c r="F937" s="93"/>
      <c r="G937" s="1"/>
      <c r="H937" s="1"/>
      <c r="I937" s="1"/>
      <c r="J937" s="1"/>
      <c r="K937" s="1"/>
      <c r="L937" s="1"/>
      <c r="M937" s="1"/>
      <c r="N937" s="1"/>
      <c r="O937" s="1"/>
      <c r="P937" s="1"/>
      <c r="Q937" s="1"/>
      <c r="R937" s="1"/>
      <c r="S937" s="1"/>
      <c r="T937" s="1"/>
      <c r="U937" s="1"/>
      <c r="V937" s="1"/>
      <c r="W937" s="1"/>
      <c r="X937" s="1"/>
    </row>
    <row r="938" spans="1:24" ht="12.75" customHeight="1" x14ac:dyDescent="0.2">
      <c r="A938" s="1"/>
      <c r="B938" s="1"/>
      <c r="C938" s="89"/>
      <c r="D938" s="89"/>
      <c r="E938" s="93"/>
      <c r="F938" s="93"/>
      <c r="G938" s="1"/>
      <c r="H938" s="1"/>
      <c r="I938" s="1"/>
      <c r="J938" s="1"/>
      <c r="K938" s="1"/>
      <c r="L938" s="1"/>
      <c r="M938" s="1"/>
      <c r="N938" s="1"/>
      <c r="O938" s="1"/>
      <c r="P938" s="1"/>
      <c r="Q938" s="1"/>
      <c r="R938" s="1"/>
      <c r="S938" s="1"/>
      <c r="T938" s="1"/>
      <c r="U938" s="1"/>
      <c r="V938" s="1"/>
      <c r="W938" s="1"/>
      <c r="X938" s="1"/>
    </row>
    <row r="939" spans="1:24" ht="12.75" customHeight="1" x14ac:dyDescent="0.2">
      <c r="A939" s="1"/>
      <c r="B939" s="1"/>
      <c r="C939" s="89"/>
      <c r="D939" s="89"/>
      <c r="E939" s="93"/>
      <c r="F939" s="93"/>
      <c r="G939" s="1"/>
      <c r="H939" s="1"/>
      <c r="I939" s="1"/>
      <c r="J939" s="1"/>
      <c r="K939" s="1"/>
      <c r="L939" s="1"/>
      <c r="M939" s="1"/>
      <c r="N939" s="1"/>
      <c r="O939" s="1"/>
      <c r="P939" s="1"/>
      <c r="Q939" s="1"/>
      <c r="R939" s="1"/>
      <c r="S939" s="1"/>
      <c r="T939" s="1"/>
      <c r="U939" s="1"/>
      <c r="V939" s="1"/>
      <c r="W939" s="1"/>
      <c r="X939" s="1"/>
    </row>
    <row r="940" spans="1:24" ht="12.75" customHeight="1" x14ac:dyDescent="0.2">
      <c r="A940" s="1"/>
      <c r="B940" s="1"/>
      <c r="C940" s="89"/>
      <c r="D940" s="89"/>
      <c r="E940" s="93"/>
      <c r="F940" s="93"/>
      <c r="G940" s="1"/>
      <c r="H940" s="1"/>
      <c r="I940" s="1"/>
      <c r="J940" s="1"/>
      <c r="K940" s="1"/>
      <c r="L940" s="1"/>
      <c r="M940" s="1"/>
      <c r="N940" s="1"/>
      <c r="O940" s="1"/>
      <c r="P940" s="1"/>
      <c r="Q940" s="1"/>
      <c r="R940" s="1"/>
      <c r="S940" s="1"/>
      <c r="T940" s="1"/>
      <c r="U940" s="1"/>
      <c r="V940" s="1"/>
      <c r="W940" s="1"/>
      <c r="X940" s="1"/>
    </row>
    <row r="941" spans="1:24" ht="12.75" customHeight="1" x14ac:dyDescent="0.2">
      <c r="A941" s="1"/>
      <c r="B941" s="1"/>
      <c r="C941" s="89"/>
      <c r="D941" s="89"/>
      <c r="E941" s="93"/>
      <c r="F941" s="93"/>
      <c r="G941" s="1"/>
      <c r="H941" s="1"/>
      <c r="I941" s="1"/>
      <c r="J941" s="1"/>
      <c r="K941" s="1"/>
      <c r="L941" s="1"/>
      <c r="M941" s="1"/>
      <c r="N941" s="1"/>
      <c r="O941" s="1"/>
      <c r="P941" s="1"/>
      <c r="Q941" s="1"/>
      <c r="R941" s="1"/>
      <c r="S941" s="1"/>
      <c r="T941" s="1"/>
      <c r="U941" s="1"/>
      <c r="V941" s="1"/>
      <c r="W941" s="1"/>
      <c r="X941" s="1"/>
    </row>
    <row r="942" spans="1:24" ht="12.75" customHeight="1" x14ac:dyDescent="0.2">
      <c r="A942" s="1"/>
      <c r="B942" s="1"/>
      <c r="C942" s="89"/>
      <c r="D942" s="89"/>
      <c r="E942" s="93"/>
      <c r="F942" s="93"/>
      <c r="G942" s="1"/>
      <c r="H942" s="1"/>
      <c r="I942" s="1"/>
      <c r="J942" s="1"/>
      <c r="K942" s="1"/>
      <c r="L942" s="1"/>
      <c r="M942" s="1"/>
      <c r="N942" s="1"/>
      <c r="O942" s="1"/>
      <c r="P942" s="1"/>
      <c r="Q942" s="1"/>
      <c r="R942" s="1"/>
      <c r="S942" s="1"/>
      <c r="T942" s="1"/>
      <c r="U942" s="1"/>
      <c r="V942" s="1"/>
      <c r="W942" s="1"/>
      <c r="X942" s="1"/>
    </row>
    <row r="943" spans="1:24" ht="12.75" customHeight="1" x14ac:dyDescent="0.2">
      <c r="A943" s="1"/>
      <c r="B943" s="1"/>
      <c r="C943" s="89"/>
      <c r="D943" s="89"/>
      <c r="E943" s="93"/>
      <c r="F943" s="93"/>
      <c r="G943" s="1"/>
      <c r="H943" s="1"/>
      <c r="I943" s="1"/>
      <c r="J943" s="1"/>
      <c r="K943" s="1"/>
      <c r="L943" s="1"/>
      <c r="M943" s="1"/>
      <c r="N943" s="1"/>
      <c r="O943" s="1"/>
      <c r="P943" s="1"/>
      <c r="Q943" s="1"/>
      <c r="R943" s="1"/>
      <c r="S943" s="1"/>
      <c r="T943" s="1"/>
      <c r="U943" s="1"/>
      <c r="V943" s="1"/>
      <c r="W943" s="1"/>
      <c r="X943" s="1"/>
    </row>
    <row r="944" spans="1:24" ht="12.75" customHeight="1" x14ac:dyDescent="0.2">
      <c r="A944" s="1"/>
      <c r="B944" s="1"/>
      <c r="C944" s="89"/>
      <c r="D944" s="89"/>
      <c r="E944" s="93"/>
      <c r="F944" s="93"/>
      <c r="G944" s="1"/>
      <c r="H944" s="1"/>
      <c r="I944" s="1"/>
      <c r="J944" s="1"/>
      <c r="K944" s="1"/>
      <c r="L944" s="1"/>
      <c r="M944" s="1"/>
      <c r="N944" s="1"/>
      <c r="O944" s="1"/>
      <c r="P944" s="1"/>
      <c r="Q944" s="1"/>
      <c r="R944" s="1"/>
      <c r="S944" s="1"/>
      <c r="T944" s="1"/>
      <c r="U944" s="1"/>
      <c r="V944" s="1"/>
      <c r="W944" s="1"/>
      <c r="X944" s="1"/>
    </row>
    <row r="945" spans="1:24" ht="12.75" customHeight="1" x14ac:dyDescent="0.2">
      <c r="A945" s="1"/>
      <c r="B945" s="1"/>
      <c r="C945" s="89"/>
      <c r="D945" s="89"/>
      <c r="E945" s="93"/>
      <c r="F945" s="93"/>
      <c r="G945" s="1"/>
      <c r="H945" s="1"/>
      <c r="I945" s="1"/>
      <c r="J945" s="1"/>
      <c r="K945" s="1"/>
      <c r="L945" s="1"/>
      <c r="M945" s="1"/>
      <c r="N945" s="1"/>
      <c r="O945" s="1"/>
      <c r="P945" s="1"/>
      <c r="Q945" s="1"/>
      <c r="R945" s="1"/>
      <c r="S945" s="1"/>
      <c r="T945" s="1"/>
      <c r="U945" s="1"/>
      <c r="V945" s="1"/>
      <c r="W945" s="1"/>
      <c r="X945" s="1"/>
    </row>
    <row r="946" spans="1:24" ht="12.75" customHeight="1" x14ac:dyDescent="0.2">
      <c r="A946" s="1"/>
      <c r="B946" s="1"/>
      <c r="C946" s="89"/>
      <c r="D946" s="89"/>
      <c r="E946" s="93"/>
      <c r="F946" s="93"/>
      <c r="G946" s="1"/>
      <c r="H946" s="1"/>
      <c r="I946" s="1"/>
      <c r="J946" s="1"/>
      <c r="K946" s="1"/>
      <c r="L946" s="1"/>
      <c r="M946" s="1"/>
      <c r="N946" s="1"/>
      <c r="O946" s="1"/>
      <c r="P946" s="1"/>
      <c r="Q946" s="1"/>
      <c r="R946" s="1"/>
      <c r="S946" s="1"/>
      <c r="T946" s="1"/>
      <c r="U946" s="1"/>
      <c r="V946" s="1"/>
      <c r="W946" s="1"/>
      <c r="X946" s="1"/>
    </row>
    <row r="947" spans="1:24" ht="12.75" customHeight="1" x14ac:dyDescent="0.2">
      <c r="A947" s="1"/>
      <c r="B947" s="1"/>
      <c r="C947" s="89"/>
      <c r="D947" s="89"/>
      <c r="E947" s="93"/>
      <c r="F947" s="93"/>
      <c r="G947" s="1"/>
      <c r="H947" s="1"/>
      <c r="I947" s="1"/>
      <c r="J947" s="1"/>
      <c r="K947" s="1"/>
      <c r="L947" s="1"/>
      <c r="M947" s="1"/>
      <c r="N947" s="1"/>
      <c r="O947" s="1"/>
      <c r="P947" s="1"/>
      <c r="Q947" s="1"/>
      <c r="R947" s="1"/>
      <c r="S947" s="1"/>
      <c r="T947" s="1"/>
      <c r="U947" s="1"/>
      <c r="V947" s="1"/>
      <c r="W947" s="1"/>
      <c r="X947" s="1"/>
    </row>
    <row r="948" spans="1:24" ht="12.75" customHeight="1" x14ac:dyDescent="0.2">
      <c r="A948" s="1"/>
      <c r="B948" s="1"/>
      <c r="C948" s="89"/>
      <c r="D948" s="89"/>
      <c r="E948" s="93"/>
      <c r="F948" s="93"/>
      <c r="G948" s="1"/>
      <c r="H948" s="1"/>
      <c r="I948" s="1"/>
      <c r="J948" s="1"/>
      <c r="K948" s="1"/>
      <c r="L948" s="1"/>
      <c r="M948" s="1"/>
      <c r="N948" s="1"/>
      <c r="O948" s="1"/>
      <c r="P948" s="1"/>
      <c r="Q948" s="1"/>
      <c r="R948" s="1"/>
      <c r="S948" s="1"/>
      <c r="T948" s="1"/>
      <c r="U948" s="1"/>
      <c r="V948" s="1"/>
      <c r="W948" s="1"/>
      <c r="X948" s="1"/>
    </row>
    <row r="949" spans="1:24" ht="12.75" customHeight="1" x14ac:dyDescent="0.2">
      <c r="A949" s="1"/>
      <c r="B949" s="1"/>
      <c r="C949" s="89"/>
      <c r="D949" s="89"/>
      <c r="E949" s="93"/>
      <c r="F949" s="93"/>
      <c r="G949" s="1"/>
      <c r="H949" s="1"/>
      <c r="I949" s="1"/>
      <c r="J949" s="1"/>
      <c r="K949" s="1"/>
      <c r="L949" s="1"/>
      <c r="M949" s="1"/>
      <c r="N949" s="1"/>
      <c r="O949" s="1"/>
      <c r="P949" s="1"/>
      <c r="Q949" s="1"/>
      <c r="R949" s="1"/>
      <c r="S949" s="1"/>
      <c r="T949" s="1"/>
      <c r="U949" s="1"/>
      <c r="V949" s="1"/>
      <c r="W949" s="1"/>
      <c r="X949" s="1"/>
    </row>
    <row r="950" spans="1:24" ht="12.75" customHeight="1" x14ac:dyDescent="0.2">
      <c r="A950" s="1"/>
      <c r="B950" s="1"/>
      <c r="C950" s="89"/>
      <c r="D950" s="89"/>
      <c r="E950" s="93"/>
      <c r="F950" s="93"/>
      <c r="G950" s="1"/>
      <c r="H950" s="1"/>
      <c r="I950" s="1"/>
      <c r="J950" s="1"/>
      <c r="K950" s="1"/>
      <c r="L950" s="1"/>
      <c r="M950" s="1"/>
      <c r="N950" s="1"/>
      <c r="O950" s="1"/>
      <c r="P950" s="1"/>
      <c r="Q950" s="1"/>
      <c r="R950" s="1"/>
      <c r="S950" s="1"/>
      <c r="T950" s="1"/>
      <c r="U950" s="1"/>
      <c r="V950" s="1"/>
      <c r="W950" s="1"/>
      <c r="X950" s="1"/>
    </row>
    <row r="951" spans="1:24" ht="12.75" customHeight="1" x14ac:dyDescent="0.2">
      <c r="A951" s="1"/>
      <c r="B951" s="1"/>
      <c r="C951" s="89"/>
      <c r="D951" s="89"/>
      <c r="E951" s="93"/>
      <c r="F951" s="93"/>
      <c r="G951" s="1"/>
      <c r="H951" s="1"/>
      <c r="I951" s="1"/>
      <c r="J951" s="1"/>
      <c r="K951" s="1"/>
      <c r="L951" s="1"/>
      <c r="M951" s="1"/>
      <c r="N951" s="1"/>
      <c r="O951" s="1"/>
      <c r="P951" s="1"/>
      <c r="Q951" s="1"/>
      <c r="R951" s="1"/>
      <c r="S951" s="1"/>
      <c r="T951" s="1"/>
      <c r="U951" s="1"/>
      <c r="V951" s="1"/>
      <c r="W951" s="1"/>
      <c r="X951" s="1"/>
    </row>
    <row r="952" spans="1:24" ht="12.75" customHeight="1" x14ac:dyDescent="0.2">
      <c r="A952" s="1"/>
      <c r="B952" s="1"/>
      <c r="C952" s="89"/>
      <c r="D952" s="89"/>
      <c r="E952" s="93"/>
      <c r="F952" s="93"/>
      <c r="G952" s="1"/>
      <c r="H952" s="1"/>
      <c r="I952" s="1"/>
      <c r="J952" s="1"/>
      <c r="K952" s="1"/>
      <c r="L952" s="1"/>
      <c r="M952" s="1"/>
      <c r="N952" s="1"/>
      <c r="O952" s="1"/>
      <c r="P952" s="1"/>
      <c r="Q952" s="1"/>
      <c r="R952" s="1"/>
      <c r="S952" s="1"/>
      <c r="T952" s="1"/>
      <c r="U952" s="1"/>
      <c r="V952" s="1"/>
      <c r="W952" s="1"/>
      <c r="X952" s="1"/>
    </row>
    <row r="953" spans="1:24" ht="12.75" customHeight="1" x14ac:dyDescent="0.2">
      <c r="A953" s="1"/>
      <c r="B953" s="1"/>
      <c r="C953" s="89"/>
      <c r="D953" s="89"/>
      <c r="E953" s="93"/>
      <c r="F953" s="93"/>
      <c r="G953" s="1"/>
      <c r="H953" s="1"/>
      <c r="I953" s="1"/>
      <c r="J953" s="1"/>
      <c r="K953" s="1"/>
      <c r="L953" s="1"/>
      <c r="M953" s="1"/>
      <c r="N953" s="1"/>
      <c r="O953" s="1"/>
      <c r="P953" s="1"/>
      <c r="Q953" s="1"/>
      <c r="R953" s="1"/>
      <c r="S953" s="1"/>
      <c r="T953" s="1"/>
      <c r="U953" s="1"/>
      <c r="V953" s="1"/>
      <c r="W953" s="1"/>
      <c r="X953" s="1"/>
    </row>
    <row r="954" spans="1:24" ht="12.75" customHeight="1" x14ac:dyDescent="0.2">
      <c r="A954" s="1"/>
      <c r="B954" s="1"/>
      <c r="C954" s="89"/>
      <c r="D954" s="89"/>
      <c r="E954" s="93"/>
      <c r="F954" s="93"/>
      <c r="G954" s="1"/>
      <c r="H954" s="1"/>
      <c r="I954" s="1"/>
      <c r="J954" s="1"/>
      <c r="K954" s="1"/>
      <c r="L954" s="1"/>
      <c r="M954" s="1"/>
      <c r="N954" s="1"/>
      <c r="O954" s="1"/>
      <c r="P954" s="1"/>
      <c r="Q954" s="1"/>
      <c r="R954" s="1"/>
      <c r="S954" s="1"/>
      <c r="T954" s="1"/>
      <c r="U954" s="1"/>
      <c r="V954" s="1"/>
      <c r="W954" s="1"/>
      <c r="X954" s="1"/>
    </row>
    <row r="955" spans="1:24" ht="12.75" customHeight="1" x14ac:dyDescent="0.2">
      <c r="A955" s="1"/>
      <c r="B955" s="1"/>
      <c r="C955" s="89"/>
      <c r="D955" s="89"/>
      <c r="E955" s="93"/>
      <c r="F955" s="93"/>
      <c r="G955" s="1"/>
      <c r="H955" s="1"/>
      <c r="I955" s="1"/>
      <c r="J955" s="1"/>
      <c r="K955" s="1"/>
      <c r="L955" s="1"/>
      <c r="M955" s="1"/>
      <c r="N955" s="1"/>
      <c r="O955" s="1"/>
      <c r="P955" s="1"/>
      <c r="Q955" s="1"/>
      <c r="R955" s="1"/>
      <c r="S955" s="1"/>
      <c r="T955" s="1"/>
      <c r="U955" s="1"/>
      <c r="V955" s="1"/>
      <c r="W955" s="1"/>
      <c r="X955" s="1"/>
    </row>
    <row r="956" spans="1:24" ht="12.75" customHeight="1" x14ac:dyDescent="0.2">
      <c r="A956" s="1"/>
      <c r="B956" s="1"/>
      <c r="C956" s="89"/>
      <c r="D956" s="89"/>
      <c r="E956" s="93"/>
      <c r="F956" s="93"/>
      <c r="G956" s="1"/>
      <c r="H956" s="1"/>
      <c r="I956" s="1"/>
      <c r="J956" s="1"/>
      <c r="K956" s="1"/>
      <c r="L956" s="1"/>
      <c r="M956" s="1"/>
      <c r="N956" s="1"/>
      <c r="O956" s="1"/>
      <c r="P956" s="1"/>
      <c r="Q956" s="1"/>
      <c r="R956" s="1"/>
      <c r="S956" s="1"/>
      <c r="T956" s="1"/>
      <c r="U956" s="1"/>
      <c r="V956" s="1"/>
      <c r="W956" s="1"/>
      <c r="X956" s="1"/>
    </row>
    <row r="957" spans="1:24" ht="12.75" customHeight="1" x14ac:dyDescent="0.2">
      <c r="A957" s="1"/>
      <c r="B957" s="1"/>
      <c r="C957" s="89"/>
      <c r="D957" s="89"/>
      <c r="E957" s="93"/>
      <c r="F957" s="93"/>
      <c r="G957" s="1"/>
      <c r="H957" s="1"/>
      <c r="I957" s="1"/>
      <c r="J957" s="1"/>
      <c r="K957" s="1"/>
      <c r="L957" s="1"/>
      <c r="M957" s="1"/>
      <c r="N957" s="1"/>
      <c r="O957" s="1"/>
      <c r="P957" s="1"/>
      <c r="Q957" s="1"/>
      <c r="R957" s="1"/>
      <c r="S957" s="1"/>
      <c r="T957" s="1"/>
      <c r="U957" s="1"/>
      <c r="V957" s="1"/>
      <c r="W957" s="1"/>
      <c r="X957" s="1"/>
    </row>
    <row r="958" spans="1:24" ht="12.75" customHeight="1" x14ac:dyDescent="0.2">
      <c r="A958" s="1"/>
      <c r="B958" s="1"/>
      <c r="C958" s="89"/>
      <c r="D958" s="89"/>
      <c r="E958" s="93"/>
      <c r="F958" s="93"/>
      <c r="G958" s="1"/>
      <c r="H958" s="1"/>
      <c r="I958" s="1"/>
      <c r="J958" s="1"/>
      <c r="K958" s="1"/>
      <c r="L958" s="1"/>
      <c r="M958" s="1"/>
      <c r="N958" s="1"/>
      <c r="O958" s="1"/>
      <c r="P958" s="1"/>
      <c r="Q958" s="1"/>
      <c r="R958" s="1"/>
      <c r="S958" s="1"/>
      <c r="T958" s="1"/>
      <c r="U958" s="1"/>
      <c r="V958" s="1"/>
      <c r="W958" s="1"/>
      <c r="X958" s="1"/>
    </row>
    <row r="959" spans="1:24" ht="12.75" customHeight="1" x14ac:dyDescent="0.2">
      <c r="A959" s="1"/>
      <c r="B959" s="1"/>
      <c r="C959" s="89"/>
      <c r="D959" s="89"/>
      <c r="E959" s="93"/>
      <c r="F959" s="93"/>
      <c r="G959" s="1"/>
      <c r="H959" s="1"/>
      <c r="I959" s="1"/>
      <c r="J959" s="1"/>
      <c r="K959" s="1"/>
      <c r="L959" s="1"/>
      <c r="M959" s="1"/>
      <c r="N959" s="1"/>
      <c r="O959" s="1"/>
      <c r="P959" s="1"/>
      <c r="Q959" s="1"/>
      <c r="R959" s="1"/>
      <c r="S959" s="1"/>
      <c r="T959" s="1"/>
      <c r="U959" s="1"/>
      <c r="V959" s="1"/>
      <c r="W959" s="1"/>
      <c r="X959" s="1"/>
    </row>
    <row r="960" spans="1:24" ht="12.75" customHeight="1" x14ac:dyDescent="0.2">
      <c r="A960" s="1"/>
      <c r="B960" s="1"/>
      <c r="C960" s="89"/>
      <c r="D960" s="89"/>
      <c r="E960" s="93"/>
      <c r="F960" s="93"/>
      <c r="G960" s="1"/>
      <c r="H960" s="1"/>
      <c r="I960" s="1"/>
      <c r="J960" s="1"/>
      <c r="K960" s="1"/>
      <c r="L960" s="1"/>
      <c r="M960" s="1"/>
      <c r="N960" s="1"/>
      <c r="O960" s="1"/>
      <c r="P960" s="1"/>
      <c r="Q960" s="1"/>
      <c r="R960" s="1"/>
      <c r="S960" s="1"/>
      <c r="T960" s="1"/>
      <c r="U960" s="1"/>
      <c r="V960" s="1"/>
      <c r="W960" s="1"/>
      <c r="X960" s="1"/>
    </row>
    <row r="961" spans="1:24" ht="12.75" customHeight="1" x14ac:dyDescent="0.2">
      <c r="A961" s="1"/>
      <c r="B961" s="1"/>
      <c r="C961" s="89"/>
      <c r="D961" s="89"/>
      <c r="E961" s="93"/>
      <c r="F961" s="93"/>
      <c r="G961" s="1"/>
      <c r="H961" s="1"/>
      <c r="I961" s="1"/>
      <c r="J961" s="1"/>
      <c r="K961" s="1"/>
      <c r="L961" s="1"/>
      <c r="M961" s="1"/>
      <c r="N961" s="1"/>
      <c r="O961" s="1"/>
      <c r="P961" s="1"/>
      <c r="Q961" s="1"/>
      <c r="R961" s="1"/>
      <c r="S961" s="1"/>
      <c r="T961" s="1"/>
      <c r="U961" s="1"/>
      <c r="V961" s="1"/>
      <c r="W961" s="1"/>
      <c r="X961" s="1"/>
    </row>
    <row r="962" spans="1:24" ht="12.75" customHeight="1" x14ac:dyDescent="0.2">
      <c r="A962" s="1"/>
      <c r="B962" s="1"/>
      <c r="C962" s="89"/>
      <c r="D962" s="89"/>
      <c r="E962" s="93"/>
      <c r="F962" s="93"/>
      <c r="G962" s="1"/>
      <c r="H962" s="1"/>
      <c r="I962" s="1"/>
      <c r="J962" s="1"/>
      <c r="K962" s="1"/>
      <c r="L962" s="1"/>
      <c r="M962" s="1"/>
      <c r="N962" s="1"/>
      <c r="O962" s="1"/>
      <c r="P962" s="1"/>
      <c r="Q962" s="1"/>
      <c r="R962" s="1"/>
      <c r="S962" s="1"/>
      <c r="T962" s="1"/>
      <c r="U962" s="1"/>
      <c r="V962" s="1"/>
      <c r="W962" s="1"/>
      <c r="X962" s="1"/>
    </row>
    <row r="963" spans="1:24" ht="12.75" customHeight="1" x14ac:dyDescent="0.2">
      <c r="A963" s="1"/>
      <c r="B963" s="1"/>
      <c r="C963" s="89"/>
      <c r="D963" s="89"/>
      <c r="E963" s="93"/>
      <c r="F963" s="93"/>
      <c r="G963" s="1"/>
      <c r="H963" s="1"/>
      <c r="I963" s="1"/>
      <c r="J963" s="1"/>
      <c r="K963" s="1"/>
      <c r="L963" s="1"/>
      <c r="M963" s="1"/>
      <c r="N963" s="1"/>
      <c r="O963" s="1"/>
      <c r="P963" s="1"/>
      <c r="Q963" s="1"/>
      <c r="R963" s="1"/>
      <c r="S963" s="1"/>
      <c r="T963" s="1"/>
      <c r="U963" s="1"/>
      <c r="V963" s="1"/>
      <c r="W963" s="1"/>
      <c r="X963" s="1"/>
    </row>
    <row r="964" spans="1:24" ht="12.75" customHeight="1" x14ac:dyDescent="0.2">
      <c r="A964" s="1"/>
      <c r="B964" s="1"/>
      <c r="C964" s="89"/>
      <c r="D964" s="89"/>
      <c r="E964" s="93"/>
      <c r="F964" s="93"/>
      <c r="G964" s="1"/>
      <c r="H964" s="1"/>
      <c r="I964" s="1"/>
      <c r="J964" s="1"/>
      <c r="K964" s="1"/>
      <c r="L964" s="1"/>
      <c r="M964" s="1"/>
      <c r="N964" s="1"/>
      <c r="O964" s="1"/>
      <c r="P964" s="1"/>
      <c r="Q964" s="1"/>
      <c r="R964" s="1"/>
      <c r="S964" s="1"/>
      <c r="T964" s="1"/>
      <c r="U964" s="1"/>
      <c r="V964" s="1"/>
      <c r="W964" s="1"/>
      <c r="X964" s="1"/>
    </row>
    <row r="965" spans="1:24" ht="12.75" customHeight="1" x14ac:dyDescent="0.2">
      <c r="A965" s="1"/>
      <c r="B965" s="1"/>
      <c r="C965" s="89"/>
      <c r="D965" s="89"/>
      <c r="E965" s="93"/>
      <c r="F965" s="93"/>
      <c r="G965" s="1"/>
      <c r="H965" s="1"/>
      <c r="I965" s="1"/>
      <c r="J965" s="1"/>
      <c r="K965" s="1"/>
      <c r="L965" s="1"/>
      <c r="M965" s="1"/>
      <c r="N965" s="1"/>
      <c r="O965" s="1"/>
      <c r="P965" s="1"/>
      <c r="Q965" s="1"/>
      <c r="R965" s="1"/>
      <c r="S965" s="1"/>
      <c r="T965" s="1"/>
      <c r="U965" s="1"/>
      <c r="V965" s="1"/>
      <c r="W965" s="1"/>
      <c r="X965" s="1"/>
    </row>
    <row r="966" spans="1:24" ht="12.75" customHeight="1" x14ac:dyDescent="0.2">
      <c r="A966" s="1"/>
      <c r="B966" s="1"/>
      <c r="C966" s="89"/>
      <c r="D966" s="89"/>
      <c r="E966" s="93"/>
      <c r="F966" s="93"/>
      <c r="G966" s="1"/>
      <c r="H966" s="1"/>
      <c r="I966" s="1"/>
      <c r="J966" s="1"/>
      <c r="K966" s="1"/>
      <c r="L966" s="1"/>
      <c r="M966" s="1"/>
      <c r="N966" s="1"/>
      <c r="O966" s="1"/>
      <c r="P966" s="1"/>
      <c r="Q966" s="1"/>
      <c r="R966" s="1"/>
      <c r="S966" s="1"/>
      <c r="T966" s="1"/>
      <c r="U966" s="1"/>
      <c r="V966" s="1"/>
      <c r="W966" s="1"/>
      <c r="X966" s="1"/>
    </row>
    <row r="967" spans="1:24" ht="12.75" customHeight="1" x14ac:dyDescent="0.2">
      <c r="A967" s="1"/>
      <c r="B967" s="1"/>
      <c r="C967" s="89"/>
      <c r="D967" s="89"/>
      <c r="E967" s="93"/>
      <c r="F967" s="93"/>
      <c r="G967" s="1"/>
      <c r="H967" s="1"/>
      <c r="I967" s="1"/>
      <c r="J967" s="1"/>
      <c r="K967" s="1"/>
      <c r="L967" s="1"/>
      <c r="M967" s="1"/>
      <c r="N967" s="1"/>
      <c r="O967" s="1"/>
      <c r="P967" s="1"/>
      <c r="Q967" s="1"/>
      <c r="R967" s="1"/>
      <c r="S967" s="1"/>
      <c r="T967" s="1"/>
      <c r="U967" s="1"/>
      <c r="V967" s="1"/>
      <c r="W967" s="1"/>
      <c r="X967" s="1"/>
    </row>
    <row r="968" spans="1:24" ht="12.75" customHeight="1" x14ac:dyDescent="0.2">
      <c r="A968" s="1"/>
      <c r="B968" s="1"/>
      <c r="C968" s="89"/>
      <c r="D968" s="89"/>
      <c r="E968" s="93"/>
      <c r="F968" s="93"/>
      <c r="G968" s="1"/>
      <c r="H968" s="1"/>
      <c r="I968" s="1"/>
      <c r="J968" s="1"/>
      <c r="K968" s="1"/>
      <c r="L968" s="1"/>
      <c r="M968" s="1"/>
      <c r="N968" s="1"/>
      <c r="O968" s="1"/>
      <c r="P968" s="1"/>
      <c r="Q968" s="1"/>
      <c r="R968" s="1"/>
      <c r="S968" s="1"/>
      <c r="T968" s="1"/>
      <c r="U968" s="1"/>
      <c r="V968" s="1"/>
      <c r="W968" s="1"/>
      <c r="X968" s="1"/>
    </row>
    <row r="969" spans="1:24" ht="12.75" customHeight="1" x14ac:dyDescent="0.2">
      <c r="A969" s="1"/>
      <c r="B969" s="1"/>
      <c r="C969" s="89"/>
      <c r="D969" s="89"/>
      <c r="E969" s="93"/>
      <c r="F969" s="93"/>
      <c r="G969" s="1"/>
      <c r="H969" s="1"/>
      <c r="I969" s="1"/>
      <c r="J969" s="1"/>
      <c r="K969" s="1"/>
      <c r="L969" s="1"/>
      <c r="M969" s="1"/>
      <c r="N969" s="1"/>
      <c r="O969" s="1"/>
      <c r="P969" s="1"/>
      <c r="Q969" s="1"/>
      <c r="R969" s="1"/>
      <c r="S969" s="1"/>
      <c r="T969" s="1"/>
      <c r="U969" s="1"/>
      <c r="V969" s="1"/>
      <c r="W969" s="1"/>
      <c r="X969" s="1"/>
    </row>
    <row r="970" spans="1:24" ht="12.75" customHeight="1" x14ac:dyDescent="0.2">
      <c r="A970" s="1"/>
      <c r="B970" s="1"/>
      <c r="C970" s="89"/>
      <c r="D970" s="89"/>
      <c r="E970" s="93"/>
      <c r="F970" s="93"/>
      <c r="G970" s="1"/>
      <c r="H970" s="1"/>
      <c r="I970" s="1"/>
      <c r="J970" s="1"/>
      <c r="K970" s="1"/>
      <c r="L970" s="1"/>
      <c r="M970" s="1"/>
      <c r="N970" s="1"/>
      <c r="O970" s="1"/>
      <c r="P970" s="1"/>
      <c r="Q970" s="1"/>
      <c r="R970" s="1"/>
      <c r="S970" s="1"/>
      <c r="T970" s="1"/>
      <c r="U970" s="1"/>
      <c r="V970" s="1"/>
      <c r="W970" s="1"/>
      <c r="X970" s="1"/>
    </row>
    <row r="971" spans="1:24" ht="12.75" customHeight="1" x14ac:dyDescent="0.2">
      <c r="A971" s="1"/>
      <c r="B971" s="1"/>
      <c r="C971" s="89"/>
      <c r="D971" s="89"/>
      <c r="E971" s="93"/>
      <c r="F971" s="93"/>
      <c r="G971" s="1"/>
      <c r="H971" s="1"/>
      <c r="I971" s="1"/>
      <c r="J971" s="1"/>
      <c r="K971" s="1"/>
      <c r="L971" s="1"/>
      <c r="M971" s="1"/>
      <c r="N971" s="1"/>
      <c r="O971" s="1"/>
      <c r="P971" s="1"/>
      <c r="Q971" s="1"/>
      <c r="R971" s="1"/>
      <c r="S971" s="1"/>
      <c r="T971" s="1"/>
      <c r="U971" s="1"/>
      <c r="V971" s="1"/>
      <c r="W971" s="1"/>
      <c r="X971" s="1"/>
    </row>
    <row r="972" spans="1:24" ht="12.75" customHeight="1" x14ac:dyDescent="0.2">
      <c r="A972" s="1"/>
      <c r="B972" s="1"/>
      <c r="C972" s="89"/>
      <c r="D972" s="89"/>
      <c r="E972" s="93"/>
      <c r="F972" s="93"/>
      <c r="G972" s="1"/>
      <c r="H972" s="1"/>
      <c r="I972" s="1"/>
      <c r="J972" s="1"/>
      <c r="K972" s="1"/>
      <c r="L972" s="1"/>
      <c r="M972" s="1"/>
      <c r="N972" s="1"/>
      <c r="O972" s="1"/>
      <c r="P972" s="1"/>
      <c r="Q972" s="1"/>
      <c r="R972" s="1"/>
      <c r="S972" s="1"/>
      <c r="T972" s="1"/>
      <c r="U972" s="1"/>
      <c r="V972" s="1"/>
      <c r="W972" s="1"/>
      <c r="X972" s="1"/>
    </row>
    <row r="973" spans="1:24" ht="12.75" customHeight="1" x14ac:dyDescent="0.2">
      <c r="A973" s="1"/>
      <c r="B973" s="1"/>
      <c r="C973" s="89"/>
      <c r="D973" s="89"/>
      <c r="E973" s="93"/>
      <c r="F973" s="93"/>
      <c r="G973" s="1"/>
      <c r="H973" s="1"/>
      <c r="I973" s="1"/>
      <c r="J973" s="1"/>
      <c r="K973" s="1"/>
      <c r="L973" s="1"/>
      <c r="M973" s="1"/>
      <c r="N973" s="1"/>
      <c r="O973" s="1"/>
      <c r="P973" s="1"/>
      <c r="Q973" s="1"/>
      <c r="R973" s="1"/>
      <c r="S973" s="1"/>
      <c r="T973" s="1"/>
      <c r="U973" s="1"/>
      <c r="V973" s="1"/>
      <c r="W973" s="1"/>
      <c r="X973" s="1"/>
    </row>
    <row r="974" spans="1:24" ht="12.75" customHeight="1" x14ac:dyDescent="0.2">
      <c r="A974" s="1"/>
      <c r="B974" s="1"/>
      <c r="C974" s="89"/>
      <c r="D974" s="89"/>
      <c r="E974" s="93"/>
      <c r="F974" s="93"/>
      <c r="G974" s="1"/>
      <c r="H974" s="1"/>
      <c r="I974" s="1"/>
      <c r="J974" s="1"/>
      <c r="K974" s="1"/>
      <c r="L974" s="1"/>
      <c r="M974" s="1"/>
      <c r="N974" s="1"/>
      <c r="O974" s="1"/>
      <c r="P974" s="1"/>
      <c r="Q974" s="1"/>
      <c r="R974" s="1"/>
      <c r="S974" s="1"/>
      <c r="T974" s="1"/>
      <c r="U974" s="1"/>
      <c r="V974" s="1"/>
      <c r="W974" s="1"/>
      <c r="X974" s="1"/>
    </row>
    <row r="975" spans="1:24" ht="12.75" customHeight="1" x14ac:dyDescent="0.2">
      <c r="A975" s="1"/>
      <c r="B975" s="1"/>
      <c r="C975" s="89"/>
      <c r="D975" s="89"/>
      <c r="E975" s="93"/>
      <c r="F975" s="93"/>
      <c r="G975" s="1"/>
      <c r="H975" s="1"/>
      <c r="I975" s="1"/>
      <c r="J975" s="1"/>
      <c r="K975" s="1"/>
      <c r="L975" s="1"/>
      <c r="M975" s="1"/>
      <c r="N975" s="1"/>
      <c r="O975" s="1"/>
      <c r="P975" s="1"/>
      <c r="Q975" s="1"/>
      <c r="R975" s="1"/>
      <c r="S975" s="1"/>
      <c r="T975" s="1"/>
      <c r="U975" s="1"/>
      <c r="V975" s="1"/>
      <c r="W975" s="1"/>
      <c r="X975" s="1"/>
    </row>
    <row r="976" spans="1:24" ht="12.75" customHeight="1" x14ac:dyDescent="0.2">
      <c r="A976" s="1"/>
      <c r="B976" s="1"/>
      <c r="C976" s="89"/>
      <c r="D976" s="89"/>
      <c r="E976" s="93"/>
      <c r="F976" s="93"/>
      <c r="G976" s="1"/>
      <c r="H976" s="1"/>
      <c r="I976" s="1"/>
      <c r="J976" s="1"/>
      <c r="K976" s="1"/>
      <c r="L976" s="1"/>
      <c r="M976" s="1"/>
      <c r="N976" s="1"/>
      <c r="O976" s="1"/>
      <c r="P976" s="1"/>
      <c r="Q976" s="1"/>
      <c r="R976" s="1"/>
      <c r="S976" s="1"/>
      <c r="T976" s="1"/>
      <c r="U976" s="1"/>
      <c r="V976" s="1"/>
      <c r="W976" s="1"/>
      <c r="X976" s="1"/>
    </row>
    <row r="977" spans="1:24" ht="12.75" customHeight="1" x14ac:dyDescent="0.2">
      <c r="A977" s="1"/>
      <c r="B977" s="1"/>
      <c r="C977" s="89"/>
      <c r="D977" s="89"/>
      <c r="E977" s="93"/>
      <c r="F977" s="93"/>
      <c r="G977" s="1"/>
      <c r="H977" s="1"/>
      <c r="I977" s="1"/>
      <c r="J977" s="1"/>
      <c r="K977" s="1"/>
      <c r="L977" s="1"/>
      <c r="M977" s="1"/>
      <c r="N977" s="1"/>
      <c r="O977" s="1"/>
      <c r="P977" s="1"/>
      <c r="Q977" s="1"/>
      <c r="R977" s="1"/>
      <c r="S977" s="1"/>
      <c r="T977" s="1"/>
      <c r="U977" s="1"/>
      <c r="V977" s="1"/>
      <c r="W977" s="1"/>
      <c r="X977" s="1"/>
    </row>
    <row r="978" spans="1:24" ht="12.75" customHeight="1" x14ac:dyDescent="0.2">
      <c r="A978" s="1"/>
      <c r="B978" s="1"/>
      <c r="C978" s="89"/>
      <c r="D978" s="89"/>
      <c r="E978" s="93"/>
      <c r="F978" s="93"/>
      <c r="G978" s="1"/>
      <c r="H978" s="1"/>
      <c r="I978" s="1"/>
      <c r="J978" s="1"/>
      <c r="K978" s="1"/>
      <c r="L978" s="1"/>
      <c r="M978" s="1"/>
      <c r="N978" s="1"/>
      <c r="O978" s="1"/>
      <c r="P978" s="1"/>
      <c r="Q978" s="1"/>
      <c r="R978" s="1"/>
      <c r="S978" s="1"/>
      <c r="T978" s="1"/>
      <c r="U978" s="1"/>
      <c r="V978" s="1"/>
      <c r="W978" s="1"/>
      <c r="X978" s="1"/>
    </row>
    <row r="979" spans="1:24" ht="12.75" customHeight="1" x14ac:dyDescent="0.2">
      <c r="A979" s="1"/>
      <c r="B979" s="1"/>
      <c r="C979" s="89"/>
      <c r="D979" s="89"/>
      <c r="E979" s="93"/>
      <c r="F979" s="93"/>
      <c r="G979" s="1"/>
      <c r="H979" s="1"/>
      <c r="I979" s="1"/>
      <c r="J979" s="1"/>
      <c r="K979" s="1"/>
      <c r="L979" s="1"/>
      <c r="M979" s="1"/>
      <c r="N979" s="1"/>
      <c r="O979" s="1"/>
      <c r="P979" s="1"/>
      <c r="Q979" s="1"/>
      <c r="R979" s="1"/>
      <c r="S979" s="1"/>
      <c r="T979" s="1"/>
      <c r="U979" s="1"/>
      <c r="V979" s="1"/>
      <c r="W979" s="1"/>
      <c r="X979" s="1"/>
    </row>
    <row r="980" spans="1:24" ht="12.75" customHeight="1" x14ac:dyDescent="0.2">
      <c r="A980" s="1"/>
      <c r="B980" s="1"/>
      <c r="C980" s="89"/>
      <c r="D980" s="89"/>
      <c r="E980" s="93"/>
      <c r="F980" s="93"/>
      <c r="G980" s="1"/>
      <c r="H980" s="1"/>
      <c r="I980" s="1"/>
      <c r="J980" s="1"/>
      <c r="K980" s="1"/>
      <c r="L980" s="1"/>
      <c r="M980" s="1"/>
      <c r="N980" s="1"/>
      <c r="O980" s="1"/>
      <c r="P980" s="1"/>
      <c r="Q980" s="1"/>
      <c r="R980" s="1"/>
      <c r="S980" s="1"/>
      <c r="T980" s="1"/>
      <c r="U980" s="1"/>
      <c r="V980" s="1"/>
      <c r="W980" s="1"/>
      <c r="X980" s="1"/>
    </row>
    <row r="981" spans="1:24" ht="12.75" customHeight="1" x14ac:dyDescent="0.2">
      <c r="A981" s="1"/>
      <c r="B981" s="1"/>
      <c r="C981" s="89"/>
      <c r="D981" s="89"/>
      <c r="E981" s="93"/>
      <c r="F981" s="93"/>
      <c r="G981" s="1"/>
      <c r="H981" s="1"/>
      <c r="I981" s="1"/>
      <c r="J981" s="1"/>
      <c r="K981" s="1"/>
      <c r="L981" s="1"/>
      <c r="M981" s="1"/>
      <c r="N981" s="1"/>
      <c r="O981" s="1"/>
      <c r="P981" s="1"/>
      <c r="Q981" s="1"/>
      <c r="R981" s="1"/>
      <c r="S981" s="1"/>
      <c r="T981" s="1"/>
      <c r="U981" s="1"/>
      <c r="V981" s="1"/>
      <c r="W981" s="1"/>
      <c r="X981" s="1"/>
    </row>
    <row r="982" spans="1:24" ht="12.75" customHeight="1" x14ac:dyDescent="0.2">
      <c r="A982" s="1"/>
      <c r="B982" s="1"/>
      <c r="C982" s="89"/>
      <c r="D982" s="89"/>
      <c r="E982" s="93"/>
      <c r="F982" s="93"/>
      <c r="G982" s="1"/>
      <c r="H982" s="1"/>
      <c r="I982" s="1"/>
      <c r="J982" s="1"/>
      <c r="K982" s="1"/>
      <c r="L982" s="1"/>
      <c r="M982" s="1"/>
      <c r="N982" s="1"/>
      <c r="O982" s="1"/>
      <c r="P982" s="1"/>
      <c r="Q982" s="1"/>
      <c r="R982" s="1"/>
      <c r="S982" s="1"/>
      <c r="T982" s="1"/>
      <c r="U982" s="1"/>
      <c r="V982" s="1"/>
      <c r="W982" s="1"/>
      <c r="X982" s="1"/>
    </row>
    <row r="983" spans="1:24" ht="12.75" customHeight="1" x14ac:dyDescent="0.2">
      <c r="A983" s="1"/>
      <c r="B983" s="1"/>
      <c r="C983" s="89"/>
      <c r="D983" s="89"/>
      <c r="E983" s="93"/>
      <c r="F983" s="93"/>
      <c r="G983" s="1"/>
      <c r="H983" s="1"/>
      <c r="I983" s="1"/>
      <c r="J983" s="1"/>
      <c r="K983" s="1"/>
      <c r="L983" s="1"/>
      <c r="M983" s="1"/>
      <c r="N983" s="1"/>
      <c r="O983" s="1"/>
      <c r="P983" s="1"/>
      <c r="Q983" s="1"/>
      <c r="R983" s="1"/>
      <c r="S983" s="1"/>
      <c r="T983" s="1"/>
      <c r="U983" s="1"/>
      <c r="V983" s="1"/>
      <c r="W983" s="1"/>
      <c r="X983" s="1"/>
    </row>
    <row r="984" spans="1:24" ht="12.75" customHeight="1" x14ac:dyDescent="0.2">
      <c r="A984" s="1"/>
      <c r="B984" s="1"/>
      <c r="C984" s="89"/>
      <c r="D984" s="89"/>
      <c r="E984" s="93"/>
      <c r="F984" s="93"/>
      <c r="G984" s="1"/>
      <c r="H984" s="1"/>
      <c r="I984" s="1"/>
      <c r="J984" s="1"/>
      <c r="K984" s="1"/>
      <c r="L984" s="1"/>
      <c r="M984" s="1"/>
      <c r="N984" s="1"/>
      <c r="O984" s="1"/>
      <c r="P984" s="1"/>
      <c r="Q984" s="1"/>
      <c r="R984" s="1"/>
      <c r="S984" s="1"/>
      <c r="T984" s="1"/>
      <c r="U984" s="1"/>
      <c r="V984" s="1"/>
      <c r="W984" s="1"/>
      <c r="X984" s="1"/>
    </row>
    <row r="985" spans="1:24" ht="12.75" customHeight="1" x14ac:dyDescent="0.2">
      <c r="A985" s="1"/>
      <c r="B985" s="1"/>
      <c r="C985" s="89"/>
      <c r="D985" s="89"/>
      <c r="E985" s="93"/>
      <c r="F985" s="93"/>
      <c r="G985" s="1"/>
      <c r="H985" s="1"/>
      <c r="I985" s="1"/>
      <c r="J985" s="1"/>
      <c r="K985" s="1"/>
      <c r="L985" s="1"/>
      <c r="M985" s="1"/>
      <c r="N985" s="1"/>
      <c r="O985" s="1"/>
      <c r="P985" s="1"/>
      <c r="Q985" s="1"/>
      <c r="R985" s="1"/>
      <c r="S985" s="1"/>
      <c r="T985" s="1"/>
      <c r="U985" s="1"/>
      <c r="V985" s="1"/>
      <c r="W985" s="1"/>
      <c r="X985" s="1"/>
    </row>
    <row r="986" spans="1:24" ht="12.75" customHeight="1" x14ac:dyDescent="0.2">
      <c r="A986" s="1"/>
      <c r="B986" s="1"/>
      <c r="C986" s="89"/>
      <c r="D986" s="89"/>
      <c r="E986" s="93"/>
      <c r="F986" s="93"/>
      <c r="G986" s="1"/>
      <c r="H986" s="1"/>
      <c r="I986" s="1"/>
      <c r="J986" s="1"/>
      <c r="K986" s="1"/>
      <c r="L986" s="1"/>
      <c r="M986" s="1"/>
      <c r="N986" s="1"/>
      <c r="O986" s="1"/>
      <c r="P986" s="1"/>
      <c r="Q986" s="1"/>
      <c r="R986" s="1"/>
      <c r="S986" s="1"/>
      <c r="T986" s="1"/>
      <c r="U986" s="1"/>
      <c r="V986" s="1"/>
      <c r="W986" s="1"/>
      <c r="X986" s="1"/>
    </row>
    <row r="987" spans="1:24" ht="12.75" customHeight="1" x14ac:dyDescent="0.2">
      <c r="A987" s="1"/>
      <c r="B987" s="1"/>
      <c r="C987" s="89"/>
      <c r="D987" s="89"/>
      <c r="E987" s="93"/>
      <c r="F987" s="93"/>
      <c r="G987" s="1"/>
      <c r="H987" s="1"/>
      <c r="I987" s="1"/>
      <c r="J987" s="1"/>
      <c r="K987" s="1"/>
      <c r="L987" s="1"/>
      <c r="M987" s="1"/>
      <c r="N987" s="1"/>
      <c r="O987" s="1"/>
      <c r="P987" s="1"/>
      <c r="Q987" s="1"/>
      <c r="R987" s="1"/>
      <c r="S987" s="1"/>
      <c r="T987" s="1"/>
      <c r="U987" s="1"/>
      <c r="V987" s="1"/>
      <c r="W987" s="1"/>
      <c r="X987" s="1"/>
    </row>
    <row r="988" spans="1:24" ht="12.75" customHeight="1" x14ac:dyDescent="0.2">
      <c r="A988" s="1"/>
      <c r="B988" s="1"/>
      <c r="C988" s="89"/>
      <c r="D988" s="89"/>
      <c r="E988" s="93"/>
      <c r="F988" s="93"/>
      <c r="G988" s="1"/>
      <c r="H988" s="1"/>
      <c r="I988" s="1"/>
      <c r="J988" s="1"/>
      <c r="K988" s="1"/>
      <c r="L988" s="1"/>
      <c r="M988" s="1"/>
      <c r="N988" s="1"/>
      <c r="O988" s="1"/>
      <c r="P988" s="1"/>
      <c r="Q988" s="1"/>
      <c r="R988" s="1"/>
      <c r="S988" s="1"/>
      <c r="T988" s="1"/>
      <c r="U988" s="1"/>
      <c r="V988" s="1"/>
      <c r="W988" s="1"/>
      <c r="X988" s="1"/>
    </row>
    <row r="989" spans="1:24" ht="12.75" customHeight="1" x14ac:dyDescent="0.2">
      <c r="A989" s="1"/>
      <c r="B989" s="1"/>
      <c r="C989" s="89"/>
      <c r="D989" s="89"/>
      <c r="E989" s="93"/>
      <c r="F989" s="93"/>
      <c r="G989" s="1"/>
      <c r="H989" s="1"/>
      <c r="I989" s="1"/>
      <c r="J989" s="1"/>
      <c r="K989" s="1"/>
      <c r="L989" s="1"/>
      <c r="M989" s="1"/>
      <c r="N989" s="1"/>
      <c r="O989" s="1"/>
      <c r="P989" s="1"/>
      <c r="Q989" s="1"/>
      <c r="R989" s="1"/>
      <c r="S989" s="1"/>
      <c r="T989" s="1"/>
      <c r="U989" s="1"/>
      <c r="V989" s="1"/>
      <c r="W989" s="1"/>
      <c r="X989" s="1"/>
    </row>
    <row r="990" spans="1:24" ht="12.75" customHeight="1" x14ac:dyDescent="0.2">
      <c r="A990" s="1"/>
      <c r="B990" s="1"/>
      <c r="C990" s="89"/>
      <c r="D990" s="89"/>
      <c r="E990" s="93"/>
      <c r="F990" s="93"/>
      <c r="G990" s="1"/>
      <c r="H990" s="1"/>
      <c r="I990" s="1"/>
      <c r="J990" s="1"/>
      <c r="K990" s="1"/>
      <c r="L990" s="1"/>
      <c r="M990" s="1"/>
      <c r="N990" s="1"/>
      <c r="O990" s="1"/>
      <c r="P990" s="1"/>
      <c r="Q990" s="1"/>
      <c r="R990" s="1"/>
      <c r="S990" s="1"/>
      <c r="T990" s="1"/>
      <c r="U990" s="1"/>
      <c r="V990" s="1"/>
      <c r="W990" s="1"/>
      <c r="X990" s="1"/>
    </row>
    <row r="991" spans="1:24" ht="12.75" customHeight="1" x14ac:dyDescent="0.2">
      <c r="A991" s="1"/>
      <c r="B991" s="1"/>
      <c r="C991" s="89"/>
      <c r="D991" s="89"/>
      <c r="E991" s="93"/>
      <c r="F991" s="93"/>
      <c r="G991" s="1"/>
      <c r="H991" s="1"/>
      <c r="I991" s="1"/>
      <c r="J991" s="1"/>
      <c r="K991" s="1"/>
      <c r="L991" s="1"/>
      <c r="M991" s="1"/>
      <c r="N991" s="1"/>
      <c r="O991" s="1"/>
      <c r="P991" s="1"/>
      <c r="Q991" s="1"/>
      <c r="R991" s="1"/>
      <c r="S991" s="1"/>
      <c r="T991" s="1"/>
      <c r="U991" s="1"/>
      <c r="V991" s="1"/>
      <c r="W991" s="1"/>
      <c r="X991" s="1"/>
    </row>
    <row r="992" spans="1:24" ht="12.75" customHeight="1" x14ac:dyDescent="0.2">
      <c r="A992" s="1"/>
      <c r="B992" s="1"/>
      <c r="C992" s="89"/>
      <c r="D992" s="89"/>
      <c r="E992" s="93"/>
      <c r="F992" s="93"/>
      <c r="G992" s="1"/>
      <c r="H992" s="1"/>
      <c r="I992" s="1"/>
      <c r="J992" s="1"/>
      <c r="K992" s="1"/>
      <c r="L992" s="1"/>
      <c r="M992" s="1"/>
      <c r="N992" s="1"/>
      <c r="O992" s="1"/>
      <c r="P992" s="1"/>
      <c r="Q992" s="1"/>
      <c r="R992" s="1"/>
      <c r="S992" s="1"/>
      <c r="T992" s="1"/>
      <c r="U992" s="1"/>
      <c r="V992" s="1"/>
      <c r="W992" s="1"/>
      <c r="X992" s="1"/>
    </row>
    <row r="993" spans="1:24" ht="12.75" customHeight="1" x14ac:dyDescent="0.2">
      <c r="A993" s="1"/>
      <c r="B993" s="1"/>
      <c r="C993" s="89"/>
      <c r="D993" s="89"/>
      <c r="E993" s="93"/>
      <c r="F993" s="93"/>
      <c r="G993" s="1"/>
      <c r="H993" s="1"/>
      <c r="I993" s="1"/>
      <c r="J993" s="1"/>
      <c r="K993" s="1"/>
      <c r="L993" s="1"/>
      <c r="M993" s="1"/>
      <c r="N993" s="1"/>
      <c r="O993" s="1"/>
      <c r="P993" s="1"/>
      <c r="Q993" s="1"/>
      <c r="R993" s="1"/>
      <c r="S993" s="1"/>
      <c r="T993" s="1"/>
      <c r="U993" s="1"/>
      <c r="V993" s="1"/>
      <c r="W993" s="1"/>
      <c r="X993" s="1"/>
    </row>
    <row r="994" spans="1:24" ht="12.75" customHeight="1" x14ac:dyDescent="0.2">
      <c r="A994" s="1"/>
      <c r="B994" s="1"/>
      <c r="C994" s="89"/>
      <c r="D994" s="89"/>
      <c r="E994" s="93"/>
      <c r="F994" s="93"/>
      <c r="G994" s="1"/>
      <c r="H994" s="1"/>
      <c r="I994" s="1"/>
      <c r="J994" s="1"/>
      <c r="K994" s="1"/>
      <c r="L994" s="1"/>
      <c r="M994" s="1"/>
      <c r="N994" s="1"/>
      <c r="O994" s="1"/>
      <c r="P994" s="1"/>
      <c r="Q994" s="1"/>
      <c r="R994" s="1"/>
      <c r="S994" s="1"/>
      <c r="T994" s="1"/>
      <c r="U994" s="1"/>
      <c r="V994" s="1"/>
      <c r="W994" s="1"/>
      <c r="X994" s="1"/>
    </row>
    <row r="995" spans="1:24" ht="12.75" customHeight="1" x14ac:dyDescent="0.2">
      <c r="A995" s="1"/>
      <c r="B995" s="1"/>
      <c r="C995" s="89"/>
      <c r="D995" s="89"/>
      <c r="E995" s="93"/>
      <c r="F995" s="93"/>
      <c r="G995" s="1"/>
      <c r="H995" s="1"/>
      <c r="I995" s="1"/>
      <c r="J995" s="1"/>
      <c r="K995" s="1"/>
      <c r="L995" s="1"/>
      <c r="M995" s="1"/>
      <c r="N995" s="1"/>
      <c r="O995" s="1"/>
      <c r="P995" s="1"/>
      <c r="Q995" s="1"/>
      <c r="R995" s="1"/>
      <c r="S995" s="1"/>
      <c r="T995" s="1"/>
      <c r="U995" s="1"/>
      <c r="V995" s="1"/>
      <c r="W995" s="1"/>
      <c r="X995" s="1"/>
    </row>
    <row r="996" spans="1:24" ht="12.75" customHeight="1" x14ac:dyDescent="0.2">
      <c r="A996" s="1"/>
      <c r="B996" s="1"/>
      <c r="C996" s="89"/>
      <c r="D996" s="89"/>
      <c r="E996" s="93"/>
      <c r="F996" s="93"/>
      <c r="G996" s="1"/>
      <c r="H996" s="1"/>
      <c r="I996" s="1"/>
      <c r="J996" s="1"/>
      <c r="K996" s="1"/>
      <c r="L996" s="1"/>
      <c r="M996" s="1"/>
      <c r="N996" s="1"/>
      <c r="O996" s="1"/>
      <c r="P996" s="1"/>
      <c r="Q996" s="1"/>
      <c r="R996" s="1"/>
      <c r="S996" s="1"/>
      <c r="T996" s="1"/>
      <c r="U996" s="1"/>
      <c r="V996" s="1"/>
      <c r="W996" s="1"/>
      <c r="X996" s="1"/>
    </row>
    <row r="997" spans="1:24" ht="12.75" customHeight="1" x14ac:dyDescent="0.2">
      <c r="A997" s="1"/>
      <c r="B997" s="1"/>
      <c r="C997" s="89"/>
      <c r="D997" s="89"/>
      <c r="E997" s="93"/>
      <c r="F997" s="93"/>
      <c r="G997" s="1"/>
      <c r="H997" s="1"/>
      <c r="I997" s="1"/>
      <c r="J997" s="1"/>
      <c r="K997" s="1"/>
      <c r="L997" s="1"/>
      <c r="M997" s="1"/>
      <c r="N997" s="1"/>
      <c r="O997" s="1"/>
      <c r="P997" s="1"/>
      <c r="Q997" s="1"/>
      <c r="R997" s="1"/>
      <c r="S997" s="1"/>
      <c r="T997" s="1"/>
      <c r="U997" s="1"/>
      <c r="V997" s="1"/>
      <c r="W997" s="1"/>
      <c r="X997" s="1"/>
    </row>
    <row r="998" spans="1:24" ht="12.75" customHeight="1" x14ac:dyDescent="0.2">
      <c r="A998" s="1"/>
      <c r="B998" s="1"/>
      <c r="C998" s="89"/>
      <c r="D998" s="89"/>
      <c r="E998" s="93"/>
      <c r="F998" s="93"/>
      <c r="G998" s="1"/>
      <c r="H998" s="1"/>
      <c r="I998" s="1"/>
      <c r="J998" s="1"/>
      <c r="K998" s="1"/>
      <c r="L998" s="1"/>
      <c r="M998" s="1"/>
      <c r="N998" s="1"/>
      <c r="O998" s="1"/>
      <c r="P998" s="1"/>
      <c r="Q998" s="1"/>
      <c r="R998" s="1"/>
      <c r="S998" s="1"/>
      <c r="T998" s="1"/>
      <c r="U998" s="1"/>
      <c r="V998" s="1"/>
      <c r="W998" s="1"/>
      <c r="X998" s="1"/>
    </row>
    <row r="999" spans="1:24" ht="12.75" customHeight="1" x14ac:dyDescent="0.2">
      <c r="A999" s="1"/>
      <c r="B999" s="1"/>
      <c r="C999" s="89"/>
      <c r="D999" s="89"/>
      <c r="E999" s="93"/>
      <c r="F999" s="93"/>
      <c r="G999" s="1"/>
      <c r="H999" s="1"/>
      <c r="I999" s="1"/>
      <c r="J999" s="1"/>
      <c r="K999" s="1"/>
      <c r="L999" s="1"/>
      <c r="M999" s="1"/>
      <c r="N999" s="1"/>
      <c r="O999" s="1"/>
      <c r="P999" s="1"/>
      <c r="Q999" s="1"/>
      <c r="R999" s="1"/>
      <c r="S999" s="1"/>
      <c r="T999" s="1"/>
      <c r="U999" s="1"/>
      <c r="V999" s="1"/>
      <c r="W999" s="1"/>
      <c r="X999" s="1"/>
    </row>
    <row r="1000" spans="1:24" ht="12.75" customHeight="1" x14ac:dyDescent="0.2">
      <c r="A1000" s="1"/>
      <c r="B1000" s="1"/>
      <c r="C1000" s="89"/>
      <c r="D1000" s="89"/>
      <c r="E1000" s="93"/>
      <c r="F1000" s="93"/>
      <c r="G1000" s="1"/>
      <c r="H1000" s="1"/>
      <c r="I1000" s="1"/>
      <c r="J1000" s="1"/>
      <c r="K1000" s="1"/>
      <c r="L1000" s="1"/>
      <c r="M1000" s="1"/>
      <c r="N1000" s="1"/>
      <c r="O1000" s="1"/>
      <c r="P1000" s="1"/>
      <c r="Q1000" s="1"/>
      <c r="R1000" s="1"/>
      <c r="S1000" s="1"/>
      <c r="T1000" s="1"/>
      <c r="U1000" s="1"/>
      <c r="V1000" s="1"/>
      <c r="W1000" s="1"/>
      <c r="X1000" s="1"/>
    </row>
    <row r="1001" spans="1:24" ht="12.75" customHeight="1" x14ac:dyDescent="0.2">
      <c r="A1001" s="1"/>
      <c r="B1001" s="1"/>
      <c r="C1001" s="89"/>
      <c r="D1001" s="89"/>
      <c r="E1001" s="93"/>
      <c r="F1001" s="93"/>
      <c r="G1001" s="1"/>
      <c r="H1001" s="1"/>
      <c r="I1001" s="1"/>
      <c r="J1001" s="1"/>
      <c r="K1001" s="1"/>
      <c r="L1001" s="1"/>
      <c r="M1001" s="1"/>
      <c r="N1001" s="1"/>
      <c r="O1001" s="1"/>
      <c r="P1001" s="1"/>
      <c r="Q1001" s="1"/>
      <c r="R1001" s="1"/>
      <c r="S1001" s="1"/>
      <c r="T1001" s="1"/>
      <c r="U1001" s="1"/>
      <c r="V1001" s="1"/>
      <c r="W1001" s="1"/>
      <c r="X1001" s="1"/>
    </row>
  </sheetData>
  <mergeCells count="11">
    <mergeCell ref="E2:F2"/>
    <mergeCell ref="E3:F3"/>
    <mergeCell ref="G2:L2"/>
    <mergeCell ref="A1:L1"/>
    <mergeCell ref="G3:H3"/>
    <mergeCell ref="I3:J3"/>
    <mergeCell ref="K3:L3"/>
    <mergeCell ref="A3:B3"/>
    <mergeCell ref="C3:D3"/>
    <mergeCell ref="A2:B2"/>
    <mergeCell ref="C2:D2"/>
  </mergeCells>
  <pageMargins left="0.75" right="0.75" top="1" bottom="1" header="0.3" footer="0.3"/>
  <pageSetup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xSplit="1" ySplit="4" topLeftCell="B32" activePane="bottomRight" state="frozen"/>
      <selection pane="topRight" activeCell="B1" sqref="B1"/>
      <selection pane="bottomLeft" activeCell="A5" sqref="A5"/>
      <selection pane="bottomRight" activeCell="L16" sqref="L16"/>
    </sheetView>
  </sheetViews>
  <sheetFormatPr defaultColWidth="17.28515625" defaultRowHeight="15" customHeight="1" x14ac:dyDescent="0.2"/>
  <cols>
    <col min="1" max="1" width="11.28515625" customWidth="1"/>
    <col min="2" max="2" width="10.42578125" customWidth="1"/>
    <col min="3" max="3" width="10.28515625" style="85" customWidth="1"/>
    <col min="4" max="4" width="11" style="85" customWidth="1"/>
    <col min="5" max="5" width="7.28515625" style="70" customWidth="1"/>
    <col min="6" max="6" width="9.85546875" style="70" customWidth="1"/>
    <col min="7" max="7" width="7.5703125" customWidth="1"/>
    <col min="8" max="8" width="9.42578125" customWidth="1"/>
    <col min="9" max="9" width="7.42578125" customWidth="1"/>
    <col min="10" max="10" width="9.28515625" customWidth="1"/>
    <col min="11" max="11" width="9.140625" customWidth="1"/>
    <col min="12" max="12" width="9.85546875" customWidth="1"/>
    <col min="13" max="22" width="11.42578125" customWidth="1"/>
    <col min="23" max="26" width="10" customWidth="1"/>
  </cols>
  <sheetData>
    <row r="1" spans="1:26" ht="12.75" customHeight="1" x14ac:dyDescent="0.2">
      <c r="A1" s="163" t="s">
        <v>187</v>
      </c>
      <c r="B1" s="162"/>
      <c r="C1" s="162"/>
      <c r="D1" s="162"/>
      <c r="E1" s="162"/>
      <c r="F1" s="162"/>
      <c r="G1" s="162"/>
      <c r="H1" s="162"/>
      <c r="I1" s="162"/>
      <c r="J1" s="162"/>
      <c r="K1" s="162"/>
      <c r="L1" s="160"/>
      <c r="M1" s="1"/>
      <c r="N1" s="1"/>
      <c r="O1" s="1"/>
      <c r="P1" s="1"/>
      <c r="Q1" s="1"/>
      <c r="R1" s="1"/>
      <c r="S1" s="1"/>
      <c r="T1" s="1"/>
      <c r="U1" s="1"/>
      <c r="V1" s="1"/>
      <c r="W1" s="1"/>
      <c r="X1" s="1"/>
      <c r="Y1" s="1"/>
      <c r="Z1" s="1"/>
    </row>
    <row r="2" spans="1:26" ht="12" customHeight="1" x14ac:dyDescent="0.2">
      <c r="A2" s="155" t="s">
        <v>103</v>
      </c>
      <c r="B2" s="160"/>
      <c r="C2" s="156" t="s">
        <v>188</v>
      </c>
      <c r="D2" s="167"/>
      <c r="E2" s="157" t="s">
        <v>442</v>
      </c>
      <c r="F2" s="164"/>
      <c r="G2" s="161"/>
      <c r="H2" s="162"/>
      <c r="I2" s="162"/>
      <c r="J2" s="162"/>
      <c r="K2" s="162"/>
      <c r="L2" s="160"/>
      <c r="M2" s="1"/>
      <c r="N2" s="1"/>
      <c r="O2" s="1"/>
      <c r="P2" s="1"/>
      <c r="Q2" s="1"/>
      <c r="R2" s="1"/>
      <c r="S2" s="1"/>
      <c r="T2" s="1"/>
      <c r="U2" s="1"/>
      <c r="V2" s="1"/>
      <c r="W2" s="1"/>
      <c r="X2" s="1"/>
      <c r="Y2" s="1"/>
      <c r="Z2" s="1"/>
    </row>
    <row r="3" spans="1:26" ht="12" customHeight="1" x14ac:dyDescent="0.2">
      <c r="A3" s="159" t="s">
        <v>101</v>
      </c>
      <c r="B3" s="160"/>
      <c r="C3" s="152" t="s">
        <v>40</v>
      </c>
      <c r="D3" s="167"/>
      <c r="E3" s="148" t="s">
        <v>43</v>
      </c>
      <c r="F3" s="164"/>
      <c r="G3" s="147" t="s">
        <v>107</v>
      </c>
      <c r="H3" s="160"/>
      <c r="I3" s="147" t="s">
        <v>30</v>
      </c>
      <c r="J3" s="160"/>
      <c r="K3" s="147" t="s">
        <v>108</v>
      </c>
      <c r="L3" s="160"/>
      <c r="M3" s="1"/>
      <c r="N3" s="1"/>
      <c r="O3" s="1"/>
      <c r="P3" s="1"/>
      <c r="Q3" s="1"/>
      <c r="R3" s="1"/>
      <c r="S3" s="1"/>
      <c r="T3" s="1"/>
      <c r="U3" s="1"/>
      <c r="V3" s="1"/>
      <c r="W3" s="1"/>
      <c r="X3" s="1"/>
      <c r="Y3" s="1"/>
      <c r="Z3" s="1"/>
    </row>
    <row r="4" spans="1:26" ht="12" customHeight="1" x14ac:dyDescent="0.2">
      <c r="A4" s="12"/>
      <c r="B4" s="12">
        <f>+B9+B10+B21+B22+B26+B27+B39+B40+B45+B50+B51+B56+B57</f>
        <v>12330</v>
      </c>
      <c r="C4" s="78">
        <f>SUM(C9,C21,C26,C39,C45,C50,C56,C57)</f>
        <v>2903</v>
      </c>
      <c r="D4" s="79">
        <f>IF((I4=0),"",(C4/I4))</f>
        <v>0.52221622593991723</v>
      </c>
      <c r="E4" s="63">
        <f>SUM(E9,E21,E26,E39,E45,E50,E56,E57)</f>
        <v>2576</v>
      </c>
      <c r="F4" s="64">
        <f>IF((I4=0),"",(E4/I4))</f>
        <v>0.46339269652815257</v>
      </c>
      <c r="G4" s="12">
        <f>SUM(G9,G21,G26,G39,G45,G50,G56,G57)</f>
        <v>80</v>
      </c>
      <c r="H4" s="13">
        <f>IF((I4=0),"",(G4/I4))</f>
        <v>1.4391077531930203E-2</v>
      </c>
      <c r="I4" s="12">
        <f>SUM(I9,I21,I26,I39,I45,I50,I56,I57)</f>
        <v>5559</v>
      </c>
      <c r="J4" s="13">
        <f>IF((B4=0),"",(I4/B4))</f>
        <v>0.45085158150851584</v>
      </c>
      <c r="K4" s="12">
        <f>+K9+K21+K26+K39+K45+K50+K56</f>
        <v>6672</v>
      </c>
      <c r="L4" s="13">
        <f>IF((B4=0),"",(K4/B4))</f>
        <v>0.54111922141119217</v>
      </c>
      <c r="M4" s="1"/>
      <c r="N4" s="1"/>
      <c r="O4" s="1"/>
      <c r="P4" s="1"/>
      <c r="Q4" s="1"/>
      <c r="R4" s="1"/>
      <c r="S4" s="1"/>
      <c r="T4" s="1"/>
      <c r="U4" s="1"/>
      <c r="V4" s="1"/>
      <c r="W4" s="1"/>
      <c r="X4" s="1"/>
      <c r="Y4" s="1"/>
      <c r="Z4" s="1"/>
    </row>
    <row r="5" spans="1:26" ht="12" customHeight="1" x14ac:dyDescent="0.2">
      <c r="A5" s="14" t="s">
        <v>189</v>
      </c>
      <c r="B5" s="32" t="s">
        <v>190</v>
      </c>
      <c r="C5" s="86"/>
      <c r="D5" s="86"/>
      <c r="E5" s="90"/>
      <c r="F5" s="90"/>
      <c r="G5" s="16"/>
      <c r="H5" s="16"/>
      <c r="I5" s="16"/>
      <c r="J5" s="16"/>
      <c r="K5" s="16"/>
      <c r="L5" s="16"/>
      <c r="M5" s="1"/>
      <c r="N5" s="1"/>
      <c r="O5" s="1"/>
      <c r="P5" s="1"/>
      <c r="Q5" s="1"/>
      <c r="R5" s="1"/>
      <c r="S5" s="1"/>
      <c r="T5" s="1"/>
      <c r="U5" s="1"/>
      <c r="V5" s="1"/>
      <c r="W5" s="1"/>
      <c r="X5" s="1"/>
      <c r="Y5" s="1"/>
      <c r="Z5" s="1"/>
    </row>
    <row r="6" spans="1:26" ht="12" customHeight="1" x14ac:dyDescent="0.2">
      <c r="A6" s="15" t="s">
        <v>327</v>
      </c>
      <c r="B6" s="15">
        <v>434</v>
      </c>
      <c r="C6" s="81">
        <v>118</v>
      </c>
      <c r="D6" s="82">
        <f>IF((I6=0),"",(C6/I6))</f>
        <v>0.54128440366972475</v>
      </c>
      <c r="E6" s="66">
        <v>95</v>
      </c>
      <c r="F6" s="67">
        <f>IF((I6=0),"",(E6/I6))</f>
        <v>0.43577981651376146</v>
      </c>
      <c r="G6" s="15">
        <v>5</v>
      </c>
      <c r="H6" s="17">
        <f>IF((I6=0),"",(G6/I6))</f>
        <v>2.2935779816513763E-2</v>
      </c>
      <c r="I6" s="15">
        <f>SUM(C6,E6,G6)</f>
        <v>218</v>
      </c>
      <c r="J6" s="17">
        <f>IF((B6=0),"",(I6/B6))</f>
        <v>0.50230414746543783</v>
      </c>
      <c r="K6" s="15">
        <f>B6-I6</f>
        <v>216</v>
      </c>
      <c r="L6" s="17">
        <f>IF((B6=0),"",(K6/B6))</f>
        <v>0.49769585253456222</v>
      </c>
      <c r="M6" s="1"/>
      <c r="N6" s="1"/>
      <c r="O6" s="1"/>
      <c r="P6" s="1"/>
      <c r="Q6" s="1"/>
      <c r="R6" s="1"/>
      <c r="S6" s="1"/>
      <c r="T6" s="1"/>
      <c r="U6" s="1"/>
      <c r="V6" s="1"/>
      <c r="W6" s="1"/>
      <c r="X6" s="1"/>
      <c r="Y6" s="1"/>
      <c r="Z6" s="1"/>
    </row>
    <row r="7" spans="1:26" ht="12" customHeight="1" x14ac:dyDescent="0.2">
      <c r="A7" s="15" t="s">
        <v>443</v>
      </c>
      <c r="B7" s="15">
        <v>339</v>
      </c>
      <c r="C7" s="81">
        <v>79</v>
      </c>
      <c r="D7" s="82">
        <f>IF((I7=0),"",(C7/I7))</f>
        <v>0.50318471337579618</v>
      </c>
      <c r="E7" s="66">
        <v>76</v>
      </c>
      <c r="F7" s="67">
        <f>IF((I7=0),"",(E7/I7))</f>
        <v>0.48407643312101911</v>
      </c>
      <c r="G7" s="15">
        <v>2</v>
      </c>
      <c r="H7" s="17">
        <f>IF((I7=0),"",(G7/I7))</f>
        <v>1.2738853503184714E-2</v>
      </c>
      <c r="I7" s="15">
        <f>SUM(C7,E7,G7)</f>
        <v>157</v>
      </c>
      <c r="J7" s="17">
        <f>IF((B7=0),"",(I7/B7))</f>
        <v>0.46312684365781709</v>
      </c>
      <c r="K7" s="29">
        <f>B7-I7</f>
        <v>182</v>
      </c>
      <c r="L7" s="17">
        <f>IF((B7=0),"",(K7/B7))</f>
        <v>0.53687315634218291</v>
      </c>
      <c r="M7" s="1"/>
      <c r="N7" s="1"/>
      <c r="O7" s="1"/>
      <c r="P7" s="1"/>
      <c r="Q7" s="1"/>
      <c r="R7" s="1"/>
      <c r="S7" s="1"/>
      <c r="T7" s="1"/>
      <c r="U7" s="1"/>
      <c r="V7" s="1"/>
      <c r="W7" s="1"/>
      <c r="X7" s="1"/>
      <c r="Y7" s="1"/>
      <c r="Z7" s="1"/>
    </row>
    <row r="8" spans="1:26" ht="12" customHeight="1" x14ac:dyDescent="0.2">
      <c r="A8" s="15" t="s">
        <v>182</v>
      </c>
      <c r="B8" s="15">
        <v>277</v>
      </c>
      <c r="C8" s="81">
        <v>52</v>
      </c>
      <c r="D8" s="82">
        <f>IF((I8=0),"",(C8/I8))</f>
        <v>0.46017699115044247</v>
      </c>
      <c r="E8" s="66">
        <v>60</v>
      </c>
      <c r="F8" s="67">
        <f>IF((I8=0),"",(E8/I8))</f>
        <v>0.53097345132743368</v>
      </c>
      <c r="G8" s="15">
        <v>1</v>
      </c>
      <c r="H8" s="17">
        <f>IF((I8=0),"",(G8/I8))</f>
        <v>8.8495575221238937E-3</v>
      </c>
      <c r="I8" s="15">
        <f>SUM(C8,E8,G8)</f>
        <v>113</v>
      </c>
      <c r="J8" s="17">
        <f>IF((B8=0),"",(I8/B8))</f>
        <v>0.40794223826714804</v>
      </c>
      <c r="K8" s="29">
        <f>B8-I8</f>
        <v>164</v>
      </c>
      <c r="L8" s="17">
        <f>IF((B8=0),"",(K8/B8))</f>
        <v>0.59205776173285196</v>
      </c>
      <c r="M8" s="1"/>
      <c r="N8" s="1"/>
      <c r="O8" s="1"/>
      <c r="P8" s="1"/>
      <c r="Q8" s="1"/>
      <c r="R8" s="1"/>
      <c r="S8" s="1"/>
      <c r="T8" s="1"/>
      <c r="U8" s="1"/>
      <c r="V8" s="1"/>
      <c r="W8" s="1"/>
      <c r="X8" s="1"/>
      <c r="Y8" s="1"/>
      <c r="Z8" s="1"/>
    </row>
    <row r="9" spans="1:26" ht="12" customHeight="1" x14ac:dyDescent="0.2">
      <c r="A9" s="12" t="s">
        <v>120</v>
      </c>
      <c r="B9" s="12">
        <f>SUM(B6:B8)</f>
        <v>1050</v>
      </c>
      <c r="C9" s="78">
        <f>SUM(C6:C8)</f>
        <v>249</v>
      </c>
      <c r="D9" s="79">
        <f>IF((I9=0),"",(C9/I9))</f>
        <v>0.51024590163934425</v>
      </c>
      <c r="E9" s="63">
        <f>SUM(E6:E8)</f>
        <v>231</v>
      </c>
      <c r="F9" s="64">
        <f>IF((I9=0),"",(E9/I9))</f>
        <v>0.47336065573770492</v>
      </c>
      <c r="G9" s="12">
        <f>SUM(G6:G8)</f>
        <v>8</v>
      </c>
      <c r="H9" s="13">
        <f>IF((I9=0),"",(G9/I9))</f>
        <v>1.6393442622950821E-2</v>
      </c>
      <c r="I9" s="12">
        <f>SUM(I6:I8)</f>
        <v>488</v>
      </c>
      <c r="J9" s="13">
        <f>IF((B9=0),"",(I9/B9))</f>
        <v>0.46476190476190476</v>
      </c>
      <c r="K9" s="12">
        <f>SUM(K6:K8)</f>
        <v>562</v>
      </c>
      <c r="L9" s="13">
        <f>IF((B9=0),"",(K9/B9))</f>
        <v>0.53523809523809529</v>
      </c>
      <c r="M9" s="1"/>
      <c r="N9" s="1"/>
      <c r="O9" s="1"/>
      <c r="P9" s="1"/>
      <c r="Q9" s="1"/>
      <c r="R9" s="1"/>
      <c r="S9" s="1"/>
      <c r="T9" s="1"/>
      <c r="U9" s="1"/>
      <c r="V9" s="1"/>
      <c r="W9" s="1"/>
      <c r="X9" s="1"/>
      <c r="Y9" s="1"/>
      <c r="Z9" s="1"/>
    </row>
    <row r="10" spans="1:26" s="42" customFormat="1" ht="12" customHeight="1" x14ac:dyDescent="0.2">
      <c r="A10" s="32" t="s">
        <v>542</v>
      </c>
      <c r="B10" s="32">
        <v>9</v>
      </c>
      <c r="C10" s="78"/>
      <c r="D10" s="79"/>
      <c r="E10" s="63"/>
      <c r="F10" s="64"/>
      <c r="G10" s="32"/>
      <c r="H10" s="28"/>
      <c r="I10" s="32"/>
      <c r="J10" s="28"/>
      <c r="K10" s="32"/>
      <c r="L10" s="28"/>
      <c r="M10" s="1"/>
      <c r="N10" s="1"/>
      <c r="O10" s="1"/>
      <c r="P10" s="1"/>
      <c r="Q10" s="1"/>
      <c r="R10" s="1"/>
      <c r="S10" s="1"/>
      <c r="T10" s="1"/>
      <c r="U10" s="1"/>
      <c r="V10" s="1"/>
      <c r="W10" s="1"/>
      <c r="X10" s="1"/>
      <c r="Y10" s="1"/>
      <c r="Z10" s="1"/>
    </row>
    <row r="11" spans="1:26" ht="12" customHeight="1" x14ac:dyDescent="0.2">
      <c r="A11" s="14" t="s">
        <v>194</v>
      </c>
      <c r="B11" s="32" t="s">
        <v>195</v>
      </c>
      <c r="C11" s="86"/>
      <c r="D11" s="86"/>
      <c r="E11" s="90"/>
      <c r="F11" s="90"/>
      <c r="G11" s="16"/>
      <c r="H11" s="16"/>
      <c r="I11" s="16"/>
      <c r="J11" s="16"/>
      <c r="K11" s="16"/>
      <c r="L11" s="16"/>
      <c r="M11" s="1"/>
      <c r="N11" s="1"/>
      <c r="O11" s="1"/>
      <c r="P11" s="1"/>
      <c r="Q11" s="1"/>
      <c r="R11" s="1"/>
      <c r="S11" s="1"/>
      <c r="T11" s="1"/>
      <c r="U11" s="1"/>
      <c r="V11" s="1"/>
      <c r="W11" s="1"/>
      <c r="X11" s="1"/>
      <c r="Y11" s="1"/>
      <c r="Z11" s="1"/>
    </row>
    <row r="12" spans="1:26" ht="12" customHeight="1" x14ac:dyDescent="0.2">
      <c r="A12" s="15" t="s">
        <v>111</v>
      </c>
      <c r="B12" s="15">
        <v>414</v>
      </c>
      <c r="C12" s="81">
        <v>93</v>
      </c>
      <c r="D12" s="82">
        <f t="shared" ref="D12:D21" si="0">IF((I12=0),"",(C12/I12))</f>
        <v>0.45365853658536587</v>
      </c>
      <c r="E12" s="66">
        <v>112</v>
      </c>
      <c r="F12" s="67">
        <f t="shared" ref="F12:F21" si="1">IF((I12=0),"",(E12/I12))</f>
        <v>0.54634146341463419</v>
      </c>
      <c r="G12" s="15">
        <v>0</v>
      </c>
      <c r="H12" s="17">
        <f t="shared" ref="H12:H21" si="2">IF((I12=0),"",(G12/I12))</f>
        <v>0</v>
      </c>
      <c r="I12" s="15">
        <f t="shared" ref="I12:I20" si="3">SUM(C12,E12,G12)</f>
        <v>205</v>
      </c>
      <c r="J12" s="17">
        <f t="shared" ref="J12:J21" si="4">IF((B12=0),"",(I12/B12))</f>
        <v>0.49516908212560384</v>
      </c>
      <c r="K12" s="29">
        <f t="shared" ref="K12:K20" si="5">B12-I12</f>
        <v>209</v>
      </c>
      <c r="L12" s="17">
        <f t="shared" ref="L12:L21" si="6">IF((B12=0),"",(K12/B12))</f>
        <v>0.50483091787439616</v>
      </c>
      <c r="M12" s="1"/>
      <c r="N12" s="1"/>
      <c r="O12" s="1"/>
      <c r="P12" s="1"/>
      <c r="Q12" s="1"/>
      <c r="R12" s="1"/>
      <c r="S12" s="1"/>
      <c r="T12" s="1"/>
      <c r="U12" s="1"/>
      <c r="V12" s="1"/>
      <c r="W12" s="1"/>
      <c r="X12" s="1"/>
      <c r="Y12" s="1"/>
      <c r="Z12" s="1"/>
    </row>
    <row r="13" spans="1:26" ht="12" customHeight="1" x14ac:dyDescent="0.2">
      <c r="A13" s="15" t="s">
        <v>112</v>
      </c>
      <c r="B13" s="15">
        <v>429</v>
      </c>
      <c r="C13" s="81">
        <v>97</v>
      </c>
      <c r="D13" s="82">
        <f t="shared" si="0"/>
        <v>0.49238578680203043</v>
      </c>
      <c r="E13" s="66">
        <v>100</v>
      </c>
      <c r="F13" s="67">
        <f t="shared" si="1"/>
        <v>0.50761421319796951</v>
      </c>
      <c r="G13" s="15">
        <v>0</v>
      </c>
      <c r="H13" s="17">
        <f t="shared" si="2"/>
        <v>0</v>
      </c>
      <c r="I13" s="15">
        <f t="shared" si="3"/>
        <v>197</v>
      </c>
      <c r="J13" s="17">
        <f t="shared" si="4"/>
        <v>0.4592074592074592</v>
      </c>
      <c r="K13" s="29">
        <f t="shared" si="5"/>
        <v>232</v>
      </c>
      <c r="L13" s="17">
        <f t="shared" si="6"/>
        <v>0.5407925407925408</v>
      </c>
      <c r="M13" s="1"/>
      <c r="N13" s="1"/>
      <c r="O13" s="1"/>
      <c r="P13" s="1"/>
      <c r="Q13" s="1"/>
      <c r="R13" s="1"/>
      <c r="S13" s="1"/>
      <c r="T13" s="1"/>
      <c r="U13" s="1"/>
      <c r="V13" s="1"/>
      <c r="W13" s="1"/>
      <c r="X13" s="1"/>
      <c r="Y13" s="1"/>
      <c r="Z13" s="1"/>
    </row>
    <row r="14" spans="1:26" ht="12" customHeight="1" x14ac:dyDescent="0.2">
      <c r="A14" s="15" t="s">
        <v>113</v>
      </c>
      <c r="B14" s="15">
        <v>456</v>
      </c>
      <c r="C14" s="81">
        <v>103</v>
      </c>
      <c r="D14" s="82">
        <f t="shared" si="0"/>
        <v>0.51758793969849248</v>
      </c>
      <c r="E14" s="66">
        <v>92</v>
      </c>
      <c r="F14" s="67">
        <f t="shared" si="1"/>
        <v>0.46231155778894473</v>
      </c>
      <c r="G14" s="15">
        <v>4</v>
      </c>
      <c r="H14" s="17">
        <f t="shared" si="2"/>
        <v>2.0100502512562814E-2</v>
      </c>
      <c r="I14" s="15">
        <f t="shared" si="3"/>
        <v>199</v>
      </c>
      <c r="J14" s="17">
        <f t="shared" si="4"/>
        <v>0.43640350877192985</v>
      </c>
      <c r="K14" s="29">
        <f t="shared" si="5"/>
        <v>257</v>
      </c>
      <c r="L14" s="17">
        <f t="shared" si="6"/>
        <v>0.56359649122807021</v>
      </c>
      <c r="M14" s="1"/>
      <c r="N14" s="1"/>
      <c r="O14" s="1"/>
      <c r="P14" s="1"/>
      <c r="Q14" s="1"/>
      <c r="R14" s="1"/>
      <c r="S14" s="1"/>
      <c r="T14" s="1"/>
      <c r="U14" s="1"/>
      <c r="V14" s="1"/>
      <c r="W14" s="1"/>
      <c r="X14" s="1"/>
      <c r="Y14" s="1"/>
      <c r="Z14" s="1"/>
    </row>
    <row r="15" spans="1:26" ht="12" customHeight="1" x14ac:dyDescent="0.2">
      <c r="A15" s="15" t="s">
        <v>114</v>
      </c>
      <c r="B15" s="15">
        <v>358</v>
      </c>
      <c r="C15" s="81">
        <v>71</v>
      </c>
      <c r="D15" s="82">
        <f t="shared" si="0"/>
        <v>0.43558282208588955</v>
      </c>
      <c r="E15" s="66">
        <v>92</v>
      </c>
      <c r="F15" s="67">
        <f t="shared" si="1"/>
        <v>0.56441717791411039</v>
      </c>
      <c r="G15" s="15">
        <v>0</v>
      </c>
      <c r="H15" s="17">
        <f t="shared" si="2"/>
        <v>0</v>
      </c>
      <c r="I15" s="15">
        <f t="shared" si="3"/>
        <v>163</v>
      </c>
      <c r="J15" s="17">
        <f t="shared" si="4"/>
        <v>0.45530726256983239</v>
      </c>
      <c r="K15" s="29">
        <f t="shared" si="5"/>
        <v>195</v>
      </c>
      <c r="L15" s="17">
        <f t="shared" si="6"/>
        <v>0.54469273743016755</v>
      </c>
      <c r="M15" s="1"/>
      <c r="N15" s="1"/>
      <c r="O15" s="1"/>
      <c r="P15" s="1"/>
      <c r="Q15" s="1"/>
      <c r="R15" s="1"/>
      <c r="S15" s="1"/>
      <c r="T15" s="1"/>
      <c r="U15" s="1"/>
      <c r="V15" s="1"/>
      <c r="W15" s="1"/>
      <c r="X15" s="1"/>
      <c r="Y15" s="1"/>
      <c r="Z15" s="1"/>
    </row>
    <row r="16" spans="1:26" ht="12" customHeight="1" x14ac:dyDescent="0.2">
      <c r="A16" s="15" t="s">
        <v>115</v>
      </c>
      <c r="B16" s="15">
        <v>406</v>
      </c>
      <c r="C16" s="81">
        <v>108</v>
      </c>
      <c r="D16" s="82">
        <f t="shared" si="0"/>
        <v>0.47368421052631576</v>
      </c>
      <c r="E16" s="66">
        <v>120</v>
      </c>
      <c r="F16" s="67">
        <f t="shared" si="1"/>
        <v>0.52631578947368418</v>
      </c>
      <c r="G16" s="15">
        <v>0</v>
      </c>
      <c r="H16" s="17">
        <f t="shared" si="2"/>
        <v>0</v>
      </c>
      <c r="I16" s="15">
        <f t="shared" si="3"/>
        <v>228</v>
      </c>
      <c r="J16" s="17">
        <f t="shared" si="4"/>
        <v>0.56157635467980294</v>
      </c>
      <c r="K16" s="29">
        <f t="shared" si="5"/>
        <v>178</v>
      </c>
      <c r="L16" s="17">
        <f t="shared" si="6"/>
        <v>0.43842364532019706</v>
      </c>
      <c r="M16" s="1"/>
      <c r="N16" s="1"/>
      <c r="O16" s="1"/>
      <c r="P16" s="1"/>
      <c r="Q16" s="1"/>
      <c r="R16" s="1"/>
      <c r="S16" s="1"/>
      <c r="T16" s="1"/>
      <c r="U16" s="1"/>
      <c r="V16" s="1"/>
      <c r="W16" s="1"/>
      <c r="X16" s="1"/>
      <c r="Y16" s="1"/>
      <c r="Z16" s="1"/>
    </row>
    <row r="17" spans="1:26" ht="12" customHeight="1" x14ac:dyDescent="0.2">
      <c r="A17" s="15" t="s">
        <v>444</v>
      </c>
      <c r="B17" s="15">
        <v>363</v>
      </c>
      <c r="C17" s="81">
        <v>77</v>
      </c>
      <c r="D17" s="82">
        <f t="shared" si="0"/>
        <v>0.48427672955974843</v>
      </c>
      <c r="E17" s="66">
        <v>81</v>
      </c>
      <c r="F17" s="67">
        <f t="shared" si="1"/>
        <v>0.50943396226415094</v>
      </c>
      <c r="G17" s="15">
        <v>1</v>
      </c>
      <c r="H17" s="17">
        <f t="shared" si="2"/>
        <v>6.2893081761006293E-3</v>
      </c>
      <c r="I17" s="15">
        <f t="shared" si="3"/>
        <v>159</v>
      </c>
      <c r="J17" s="17">
        <f t="shared" si="4"/>
        <v>0.43801652892561982</v>
      </c>
      <c r="K17" s="29">
        <f t="shared" si="5"/>
        <v>204</v>
      </c>
      <c r="L17" s="17">
        <f t="shared" si="6"/>
        <v>0.56198347107438018</v>
      </c>
      <c r="M17" s="1"/>
      <c r="N17" s="1"/>
      <c r="O17" s="1"/>
      <c r="P17" s="1"/>
      <c r="Q17" s="1"/>
      <c r="R17" s="1"/>
      <c r="S17" s="1"/>
      <c r="T17" s="1"/>
      <c r="U17" s="1"/>
      <c r="V17" s="1"/>
      <c r="W17" s="1"/>
      <c r="X17" s="1"/>
      <c r="Y17" s="1"/>
      <c r="Z17" s="1"/>
    </row>
    <row r="18" spans="1:26" ht="12" customHeight="1" x14ac:dyDescent="0.2">
      <c r="A18" s="15" t="s">
        <v>445</v>
      </c>
      <c r="B18" s="15">
        <v>409</v>
      </c>
      <c r="C18" s="81">
        <v>93</v>
      </c>
      <c r="D18" s="82">
        <f t="shared" si="0"/>
        <v>0.50543478260869568</v>
      </c>
      <c r="E18" s="66">
        <v>88</v>
      </c>
      <c r="F18" s="67">
        <f t="shared" si="1"/>
        <v>0.47826086956521741</v>
      </c>
      <c r="G18" s="15">
        <v>3</v>
      </c>
      <c r="H18" s="17">
        <f t="shared" si="2"/>
        <v>1.6304347826086956E-2</v>
      </c>
      <c r="I18" s="15">
        <f t="shared" si="3"/>
        <v>184</v>
      </c>
      <c r="J18" s="17">
        <f t="shared" si="4"/>
        <v>0.44987775061124696</v>
      </c>
      <c r="K18" s="29">
        <f t="shared" si="5"/>
        <v>225</v>
      </c>
      <c r="L18" s="17">
        <f t="shared" si="6"/>
        <v>0.55012224938875309</v>
      </c>
      <c r="M18" s="1"/>
      <c r="N18" s="1"/>
      <c r="O18" s="1"/>
      <c r="P18" s="1"/>
      <c r="Q18" s="1"/>
      <c r="R18" s="1"/>
      <c r="S18" s="1"/>
      <c r="T18" s="1"/>
      <c r="U18" s="1"/>
      <c r="V18" s="1"/>
      <c r="W18" s="1"/>
      <c r="X18" s="1"/>
      <c r="Y18" s="1"/>
      <c r="Z18" s="1"/>
    </row>
    <row r="19" spans="1:26" ht="12" customHeight="1" x14ac:dyDescent="0.2">
      <c r="A19" s="15" t="s">
        <v>446</v>
      </c>
      <c r="B19" s="15">
        <v>327</v>
      </c>
      <c r="C19" s="81">
        <v>99</v>
      </c>
      <c r="D19" s="82">
        <f t="shared" si="0"/>
        <v>0.42127659574468085</v>
      </c>
      <c r="E19" s="66">
        <v>136</v>
      </c>
      <c r="F19" s="67">
        <f t="shared" si="1"/>
        <v>0.5787234042553191</v>
      </c>
      <c r="G19" s="15">
        <v>0</v>
      </c>
      <c r="H19" s="17">
        <f t="shared" si="2"/>
        <v>0</v>
      </c>
      <c r="I19" s="15">
        <f t="shared" si="3"/>
        <v>235</v>
      </c>
      <c r="J19" s="17">
        <f t="shared" si="4"/>
        <v>0.71865443425076447</v>
      </c>
      <c r="K19" s="29">
        <f t="shared" si="5"/>
        <v>92</v>
      </c>
      <c r="L19" s="17">
        <f t="shared" si="6"/>
        <v>0.28134556574923547</v>
      </c>
      <c r="M19" s="1"/>
      <c r="N19" s="1"/>
      <c r="O19" s="1"/>
      <c r="P19" s="1"/>
      <c r="Q19" s="1"/>
      <c r="R19" s="1"/>
      <c r="S19" s="1"/>
      <c r="T19" s="1"/>
      <c r="U19" s="1"/>
      <c r="V19" s="1"/>
      <c r="W19" s="1"/>
      <c r="X19" s="1"/>
      <c r="Y19" s="1"/>
      <c r="Z19" s="1"/>
    </row>
    <row r="20" spans="1:26" ht="12" customHeight="1" x14ac:dyDescent="0.2">
      <c r="A20" s="15" t="s">
        <v>447</v>
      </c>
      <c r="B20" s="15">
        <v>313</v>
      </c>
      <c r="C20" s="81">
        <v>71</v>
      </c>
      <c r="D20" s="82">
        <f t="shared" si="0"/>
        <v>0.52592592592592591</v>
      </c>
      <c r="E20" s="66">
        <v>64</v>
      </c>
      <c r="F20" s="67">
        <f t="shared" si="1"/>
        <v>0.47407407407407409</v>
      </c>
      <c r="G20" s="15">
        <v>0</v>
      </c>
      <c r="H20" s="17">
        <f t="shared" si="2"/>
        <v>0</v>
      </c>
      <c r="I20" s="15">
        <f t="shared" si="3"/>
        <v>135</v>
      </c>
      <c r="J20" s="17">
        <f t="shared" si="4"/>
        <v>0.43130990415335463</v>
      </c>
      <c r="K20" s="29">
        <f t="shared" si="5"/>
        <v>178</v>
      </c>
      <c r="L20" s="17">
        <f t="shared" si="6"/>
        <v>0.56869009584664532</v>
      </c>
      <c r="M20" s="1"/>
      <c r="N20" s="1"/>
      <c r="O20" s="1"/>
      <c r="P20" s="1"/>
      <c r="Q20" s="1"/>
      <c r="R20" s="1"/>
      <c r="S20" s="1"/>
      <c r="T20" s="1"/>
      <c r="U20" s="1"/>
      <c r="V20" s="1"/>
      <c r="W20" s="1"/>
      <c r="X20" s="1"/>
      <c r="Y20" s="1"/>
      <c r="Z20" s="1"/>
    </row>
    <row r="21" spans="1:26" ht="12" customHeight="1" x14ac:dyDescent="0.2">
      <c r="A21" s="12" t="s">
        <v>120</v>
      </c>
      <c r="B21" s="12">
        <f>SUM(B12:B20)</f>
        <v>3475</v>
      </c>
      <c r="C21" s="78">
        <f>SUM(C12:C20)</f>
        <v>812</v>
      </c>
      <c r="D21" s="79">
        <f t="shared" si="0"/>
        <v>0.47624633431085045</v>
      </c>
      <c r="E21" s="63">
        <f>SUM(E12:E20)</f>
        <v>885</v>
      </c>
      <c r="F21" s="64">
        <f t="shared" si="1"/>
        <v>0.51906158357771259</v>
      </c>
      <c r="G21" s="12">
        <f>SUM(G12:G20)</f>
        <v>8</v>
      </c>
      <c r="H21" s="13">
        <f t="shared" si="2"/>
        <v>4.6920821114369501E-3</v>
      </c>
      <c r="I21" s="12">
        <f>SUM(I12:I20)</f>
        <v>1705</v>
      </c>
      <c r="J21" s="13">
        <f t="shared" si="4"/>
        <v>0.49064748201438851</v>
      </c>
      <c r="K21" s="12">
        <f>SUM(K12:K20)</f>
        <v>1770</v>
      </c>
      <c r="L21" s="13">
        <f t="shared" si="6"/>
        <v>0.50935251798561154</v>
      </c>
      <c r="M21" s="1"/>
      <c r="N21" s="1"/>
      <c r="O21" s="1"/>
      <c r="P21" s="1"/>
      <c r="Q21" s="1"/>
      <c r="R21" s="1"/>
      <c r="S21" s="1"/>
      <c r="T21" s="1"/>
      <c r="U21" s="1"/>
      <c r="V21" s="1"/>
      <c r="W21" s="1"/>
      <c r="X21" s="1"/>
      <c r="Y21" s="1"/>
      <c r="Z21" s="1"/>
    </row>
    <row r="22" spans="1:26" s="42" customFormat="1" ht="12" customHeight="1" x14ac:dyDescent="0.2">
      <c r="A22" s="32" t="s">
        <v>542</v>
      </c>
      <c r="B22" s="32">
        <v>31</v>
      </c>
      <c r="C22" s="78"/>
      <c r="D22" s="79"/>
      <c r="E22" s="63"/>
      <c r="F22" s="64"/>
      <c r="G22" s="32"/>
      <c r="H22" s="28"/>
      <c r="I22" s="32"/>
      <c r="J22" s="28"/>
      <c r="K22" s="32"/>
      <c r="L22" s="28"/>
      <c r="M22" s="1"/>
      <c r="N22" s="1"/>
      <c r="O22" s="1"/>
      <c r="P22" s="1"/>
      <c r="Q22" s="1"/>
      <c r="R22" s="1"/>
      <c r="S22" s="1"/>
      <c r="T22" s="1"/>
      <c r="U22" s="1"/>
      <c r="V22" s="1"/>
      <c r="W22" s="1"/>
      <c r="X22" s="1"/>
      <c r="Y22" s="1"/>
      <c r="Z22" s="1"/>
    </row>
    <row r="23" spans="1:26" ht="12" customHeight="1" x14ac:dyDescent="0.2">
      <c r="A23" s="14" t="s">
        <v>197</v>
      </c>
      <c r="B23" s="32" t="s">
        <v>199</v>
      </c>
      <c r="C23" s="86"/>
      <c r="D23" s="86"/>
      <c r="E23" s="90"/>
      <c r="F23" s="90"/>
      <c r="G23" s="16"/>
      <c r="H23" s="16"/>
      <c r="I23" s="16"/>
      <c r="J23" s="16"/>
      <c r="K23" s="16"/>
      <c r="L23" s="16"/>
      <c r="M23" s="1"/>
      <c r="N23" s="1"/>
      <c r="O23" s="1"/>
      <c r="P23" s="1"/>
      <c r="Q23" s="1"/>
      <c r="R23" s="1"/>
      <c r="S23" s="1"/>
      <c r="T23" s="1"/>
      <c r="U23" s="1"/>
      <c r="V23" s="1"/>
      <c r="W23" s="1"/>
      <c r="X23" s="1"/>
      <c r="Y23" s="1"/>
      <c r="Z23" s="1"/>
    </row>
    <row r="24" spans="1:26" ht="12" customHeight="1" x14ac:dyDescent="0.2">
      <c r="A24" s="15" t="s">
        <v>282</v>
      </c>
      <c r="B24" s="15">
        <v>378</v>
      </c>
      <c r="C24" s="81">
        <v>61</v>
      </c>
      <c r="D24" s="82">
        <f>IF((I24=0),"",(C24/I24))</f>
        <v>0.42657342657342656</v>
      </c>
      <c r="E24" s="66">
        <v>82</v>
      </c>
      <c r="F24" s="67">
        <f>IF((I24=0),"",(E24/I24))</f>
        <v>0.57342657342657344</v>
      </c>
      <c r="G24" s="15">
        <v>0</v>
      </c>
      <c r="H24" s="17">
        <f>IF((I24=0),"",(G24/I24))</f>
        <v>0</v>
      </c>
      <c r="I24" s="15">
        <f>SUM(C24,E24,G24)</f>
        <v>143</v>
      </c>
      <c r="J24" s="17">
        <f>IF((B24=0),"",(I24/B24))</f>
        <v>0.37830687830687831</v>
      </c>
      <c r="K24" s="29">
        <f>B24-I24</f>
        <v>235</v>
      </c>
      <c r="L24" s="17">
        <f>IF((B24=0),"",(K24/B24))</f>
        <v>0.62169312169312174</v>
      </c>
      <c r="M24" s="1"/>
      <c r="N24" s="1"/>
      <c r="O24" s="1"/>
      <c r="P24" s="1"/>
      <c r="Q24" s="1"/>
      <c r="R24" s="1"/>
      <c r="S24" s="1"/>
      <c r="T24" s="1"/>
      <c r="U24" s="1"/>
      <c r="V24" s="1"/>
      <c r="W24" s="1"/>
      <c r="X24" s="1"/>
      <c r="Y24" s="1"/>
      <c r="Z24" s="1"/>
    </row>
    <row r="25" spans="1:26" ht="12" customHeight="1" x14ac:dyDescent="0.2">
      <c r="A25" s="15" t="s">
        <v>252</v>
      </c>
      <c r="B25" s="15">
        <v>282</v>
      </c>
      <c r="C25" s="81">
        <v>71</v>
      </c>
      <c r="D25" s="82">
        <f>IF((I25=0),"",(C25/I25))</f>
        <v>0.58677685950413228</v>
      </c>
      <c r="E25" s="66">
        <v>48</v>
      </c>
      <c r="F25" s="67">
        <f>IF((I25=0),"",(E25/I25))</f>
        <v>0.39669421487603307</v>
      </c>
      <c r="G25" s="15">
        <v>2</v>
      </c>
      <c r="H25" s="17">
        <f>IF((I25=0),"",(G25/I25))</f>
        <v>1.6528925619834711E-2</v>
      </c>
      <c r="I25" s="15">
        <f>SUM(C25,E25,G25)</f>
        <v>121</v>
      </c>
      <c r="J25" s="17">
        <f>IF((B25=0),"",(I25/B25))</f>
        <v>0.42907801418439717</v>
      </c>
      <c r="K25" s="29">
        <f>B25-I25</f>
        <v>161</v>
      </c>
      <c r="L25" s="17">
        <f>IF((B25=0),"",(K25/B25))</f>
        <v>0.57092198581560283</v>
      </c>
      <c r="M25" s="1"/>
      <c r="N25" s="1"/>
      <c r="O25" s="1"/>
      <c r="P25" s="1"/>
      <c r="Q25" s="1"/>
      <c r="R25" s="1"/>
      <c r="S25" s="1"/>
      <c r="T25" s="1"/>
      <c r="U25" s="1"/>
      <c r="V25" s="1"/>
      <c r="W25" s="1"/>
      <c r="X25" s="1"/>
      <c r="Y25" s="1"/>
      <c r="Z25" s="1"/>
    </row>
    <row r="26" spans="1:26" ht="12" customHeight="1" x14ac:dyDescent="0.2">
      <c r="A26" s="12" t="s">
        <v>120</v>
      </c>
      <c r="B26" s="12">
        <f>SUM(B24:B25)</f>
        <v>660</v>
      </c>
      <c r="C26" s="78">
        <f>SUM(C24:C25)</f>
        <v>132</v>
      </c>
      <c r="D26" s="79">
        <f>IF((I26=0),"",(C26/I26))</f>
        <v>0.5</v>
      </c>
      <c r="E26" s="63">
        <f>SUM(E24:E25)</f>
        <v>130</v>
      </c>
      <c r="F26" s="64">
        <f>IF((I26=0),"",(E26/I26))</f>
        <v>0.49242424242424243</v>
      </c>
      <c r="G26" s="12">
        <v>2</v>
      </c>
      <c r="H26" s="13">
        <f>IF((I26=0),"",(G26/I26))</f>
        <v>7.575757575757576E-3</v>
      </c>
      <c r="I26" s="12">
        <f>SUM(I24:I25)</f>
        <v>264</v>
      </c>
      <c r="J26" s="13">
        <f>IF((B26=0),"",(I26/B26))</f>
        <v>0.4</v>
      </c>
      <c r="K26" s="12">
        <f>SUM(K24:K25)</f>
        <v>396</v>
      </c>
      <c r="L26" s="13">
        <f>IF((B26=0),"",(K26/B26))</f>
        <v>0.6</v>
      </c>
      <c r="M26" s="1"/>
      <c r="N26" s="1"/>
      <c r="O26" s="1"/>
      <c r="P26" s="1"/>
      <c r="Q26" s="1"/>
      <c r="R26" s="1"/>
      <c r="S26" s="1"/>
      <c r="T26" s="1"/>
      <c r="U26" s="1"/>
      <c r="V26" s="1"/>
      <c r="W26" s="1"/>
      <c r="X26" s="1"/>
      <c r="Y26" s="1"/>
      <c r="Z26" s="1"/>
    </row>
    <row r="27" spans="1:26" s="42" customFormat="1" ht="12" customHeight="1" x14ac:dyDescent="0.2">
      <c r="A27" s="32" t="s">
        <v>542</v>
      </c>
      <c r="B27" s="32">
        <v>3</v>
      </c>
      <c r="C27" s="78"/>
      <c r="D27" s="79"/>
      <c r="E27" s="63"/>
      <c r="F27" s="64"/>
      <c r="G27" s="32"/>
      <c r="H27" s="28"/>
      <c r="I27" s="32"/>
      <c r="J27" s="28"/>
      <c r="K27" s="32"/>
      <c r="L27" s="28"/>
      <c r="M27" s="1"/>
      <c r="N27" s="1"/>
      <c r="O27" s="1"/>
      <c r="P27" s="1"/>
      <c r="Q27" s="1"/>
      <c r="R27" s="1"/>
      <c r="S27" s="1"/>
      <c r="T27" s="1"/>
      <c r="U27" s="1"/>
      <c r="V27" s="1"/>
      <c r="W27" s="1"/>
      <c r="X27" s="1"/>
      <c r="Y27" s="1"/>
      <c r="Z27" s="1"/>
    </row>
    <row r="28" spans="1:26" ht="12" customHeight="1" x14ac:dyDescent="0.2">
      <c r="A28" s="14" t="s">
        <v>448</v>
      </c>
      <c r="B28" s="32" t="s">
        <v>198</v>
      </c>
      <c r="C28" s="86"/>
      <c r="D28" s="86"/>
      <c r="E28" s="90"/>
      <c r="F28" s="90"/>
      <c r="G28" s="16"/>
      <c r="H28" s="16"/>
      <c r="I28" s="16"/>
      <c r="J28" s="16"/>
      <c r="K28" s="16"/>
      <c r="L28" s="16"/>
      <c r="M28" s="1"/>
      <c r="N28" s="1"/>
      <c r="O28" s="1"/>
      <c r="P28" s="1"/>
      <c r="Q28" s="1"/>
      <c r="R28" s="1"/>
      <c r="S28" s="1"/>
      <c r="T28" s="1"/>
      <c r="U28" s="1"/>
      <c r="V28" s="1"/>
      <c r="W28" s="1"/>
      <c r="X28" s="1"/>
      <c r="Y28" s="1"/>
      <c r="Z28" s="1"/>
    </row>
    <row r="29" spans="1:26" ht="12" customHeight="1" x14ac:dyDescent="0.2">
      <c r="A29" s="15" t="s">
        <v>38</v>
      </c>
      <c r="B29" s="15">
        <v>342</v>
      </c>
      <c r="C29" s="81">
        <v>68</v>
      </c>
      <c r="D29" s="82">
        <f t="shared" ref="D29:D39" si="7">IF((I29=0),"",(C29/I29))</f>
        <v>0.45945945945945948</v>
      </c>
      <c r="E29" s="66">
        <v>77</v>
      </c>
      <c r="F29" s="67">
        <f t="shared" ref="F29:F39" si="8">IF((I29=0),"",(E29/I29))</f>
        <v>0.52027027027027029</v>
      </c>
      <c r="G29" s="15">
        <v>3</v>
      </c>
      <c r="H29" s="17">
        <f t="shared" ref="H29:H39" si="9">IF((I29=0),"",(G29/I29))</f>
        <v>2.0270270270270271E-2</v>
      </c>
      <c r="I29" s="15">
        <f t="shared" ref="I29:I38" si="10">SUM(C29,E29,G29)</f>
        <v>148</v>
      </c>
      <c r="J29" s="17">
        <f t="shared" ref="J29:J39" si="11">IF((B29=0),"",(I29/B29))</f>
        <v>0.43274853801169588</v>
      </c>
      <c r="K29" s="29">
        <f t="shared" ref="K29:K38" si="12">B29-I29</f>
        <v>194</v>
      </c>
      <c r="L29" s="17">
        <f t="shared" ref="L29:L39" si="13">IF((B29=0),"",(K29/B29))</f>
        <v>0.56725146198830412</v>
      </c>
      <c r="M29" s="1"/>
      <c r="N29" s="1"/>
      <c r="O29" s="1"/>
      <c r="P29" s="1"/>
      <c r="Q29" s="1"/>
      <c r="R29" s="1"/>
      <c r="S29" s="1"/>
      <c r="T29" s="1"/>
      <c r="U29" s="1"/>
      <c r="V29" s="1"/>
      <c r="W29" s="1"/>
      <c r="X29" s="1"/>
      <c r="Y29" s="1"/>
      <c r="Z29" s="1"/>
    </row>
    <row r="30" spans="1:26" ht="12" customHeight="1" x14ac:dyDescent="0.2">
      <c r="A30" s="15" t="s">
        <v>142</v>
      </c>
      <c r="B30" s="15">
        <v>519</v>
      </c>
      <c r="C30" s="81">
        <v>102</v>
      </c>
      <c r="D30" s="82">
        <f t="shared" si="7"/>
        <v>0.44155844155844154</v>
      </c>
      <c r="E30" s="66">
        <v>125</v>
      </c>
      <c r="F30" s="67">
        <f t="shared" si="8"/>
        <v>0.54112554112554112</v>
      </c>
      <c r="G30" s="15">
        <v>4</v>
      </c>
      <c r="H30" s="17">
        <f t="shared" si="9"/>
        <v>1.7316017316017316E-2</v>
      </c>
      <c r="I30" s="15">
        <f t="shared" si="10"/>
        <v>231</v>
      </c>
      <c r="J30" s="17">
        <f t="shared" si="11"/>
        <v>0.44508670520231214</v>
      </c>
      <c r="K30" s="29">
        <f t="shared" si="12"/>
        <v>288</v>
      </c>
      <c r="L30" s="17">
        <f t="shared" si="13"/>
        <v>0.55491329479768781</v>
      </c>
      <c r="M30" s="1"/>
      <c r="N30" s="1"/>
      <c r="O30" s="1"/>
      <c r="P30" s="1"/>
      <c r="Q30" s="1"/>
      <c r="R30" s="1"/>
      <c r="S30" s="1"/>
      <c r="T30" s="1"/>
      <c r="U30" s="1"/>
      <c r="V30" s="1"/>
      <c r="W30" s="1"/>
      <c r="X30" s="1"/>
      <c r="Y30" s="1"/>
      <c r="Z30" s="1"/>
    </row>
    <row r="31" spans="1:26" ht="12" customHeight="1" x14ac:dyDescent="0.2">
      <c r="A31" s="15" t="s">
        <v>143</v>
      </c>
      <c r="B31" s="15">
        <v>398</v>
      </c>
      <c r="C31" s="81">
        <v>88</v>
      </c>
      <c r="D31" s="82">
        <f t="shared" si="7"/>
        <v>0.51461988304093564</v>
      </c>
      <c r="E31" s="66">
        <v>77</v>
      </c>
      <c r="F31" s="67">
        <f t="shared" si="8"/>
        <v>0.45029239766081869</v>
      </c>
      <c r="G31" s="15">
        <v>6</v>
      </c>
      <c r="H31" s="17">
        <f t="shared" si="9"/>
        <v>3.5087719298245612E-2</v>
      </c>
      <c r="I31" s="15">
        <f t="shared" si="10"/>
        <v>171</v>
      </c>
      <c r="J31" s="17">
        <f t="shared" si="11"/>
        <v>0.42964824120603012</v>
      </c>
      <c r="K31" s="29">
        <f t="shared" si="12"/>
        <v>227</v>
      </c>
      <c r="L31" s="17">
        <f t="shared" si="13"/>
        <v>0.57035175879396982</v>
      </c>
      <c r="M31" s="1"/>
      <c r="N31" s="1"/>
      <c r="O31" s="1"/>
      <c r="P31" s="1"/>
      <c r="Q31" s="1"/>
      <c r="R31" s="1"/>
      <c r="S31" s="1"/>
      <c r="T31" s="1"/>
      <c r="U31" s="1"/>
      <c r="V31" s="1"/>
      <c r="W31" s="1"/>
      <c r="X31" s="1"/>
      <c r="Y31" s="1"/>
      <c r="Z31" s="1"/>
    </row>
    <row r="32" spans="1:26" ht="12" customHeight="1" x14ac:dyDescent="0.2">
      <c r="A32" s="15" t="s">
        <v>196</v>
      </c>
      <c r="B32" s="15">
        <v>462</v>
      </c>
      <c r="C32" s="81">
        <v>135</v>
      </c>
      <c r="D32" s="82">
        <f t="shared" si="7"/>
        <v>0.65217391304347827</v>
      </c>
      <c r="E32" s="66">
        <v>69</v>
      </c>
      <c r="F32" s="67">
        <f t="shared" si="8"/>
        <v>0.33333333333333331</v>
      </c>
      <c r="G32" s="15">
        <v>3</v>
      </c>
      <c r="H32" s="17">
        <f t="shared" si="9"/>
        <v>1.4492753623188406E-2</v>
      </c>
      <c r="I32" s="15">
        <f t="shared" si="10"/>
        <v>207</v>
      </c>
      <c r="J32" s="17">
        <f t="shared" si="11"/>
        <v>0.44805194805194803</v>
      </c>
      <c r="K32" s="29">
        <f t="shared" si="12"/>
        <v>255</v>
      </c>
      <c r="L32" s="17">
        <f t="shared" si="13"/>
        <v>0.55194805194805197</v>
      </c>
      <c r="M32" s="1"/>
      <c r="N32" s="1"/>
      <c r="O32" s="1"/>
      <c r="P32" s="1"/>
      <c r="Q32" s="1"/>
      <c r="R32" s="1"/>
      <c r="S32" s="1"/>
      <c r="T32" s="1"/>
      <c r="U32" s="1"/>
      <c r="V32" s="1"/>
      <c r="W32" s="1"/>
      <c r="X32" s="1"/>
      <c r="Y32" s="1"/>
      <c r="Z32" s="1"/>
    </row>
    <row r="33" spans="1:26" ht="12" customHeight="1" x14ac:dyDescent="0.2">
      <c r="A33" s="15" t="s">
        <v>449</v>
      </c>
      <c r="B33" s="15">
        <v>412</v>
      </c>
      <c r="C33" s="81">
        <v>123</v>
      </c>
      <c r="D33" s="82">
        <f t="shared" si="7"/>
        <v>0.59708737864077666</v>
      </c>
      <c r="E33" s="66">
        <v>81</v>
      </c>
      <c r="F33" s="67">
        <f t="shared" si="8"/>
        <v>0.39320388349514562</v>
      </c>
      <c r="G33" s="15">
        <v>2</v>
      </c>
      <c r="H33" s="17">
        <f t="shared" si="9"/>
        <v>9.7087378640776691E-3</v>
      </c>
      <c r="I33" s="15">
        <f t="shared" si="10"/>
        <v>206</v>
      </c>
      <c r="J33" s="17">
        <f t="shared" si="11"/>
        <v>0.5</v>
      </c>
      <c r="K33" s="29">
        <f t="shared" si="12"/>
        <v>206</v>
      </c>
      <c r="L33" s="17">
        <f t="shared" si="13"/>
        <v>0.5</v>
      </c>
      <c r="M33" s="1"/>
      <c r="N33" s="1"/>
      <c r="O33" s="1"/>
      <c r="P33" s="1"/>
      <c r="Q33" s="1"/>
      <c r="R33" s="1"/>
      <c r="S33" s="1"/>
      <c r="T33" s="1"/>
      <c r="U33" s="1"/>
      <c r="V33" s="1"/>
      <c r="W33" s="1"/>
      <c r="X33" s="1"/>
      <c r="Y33" s="1"/>
      <c r="Z33" s="1"/>
    </row>
    <row r="34" spans="1:26" ht="12" customHeight="1" x14ac:dyDescent="0.2">
      <c r="A34" s="15" t="s">
        <v>450</v>
      </c>
      <c r="B34" s="15">
        <v>496</v>
      </c>
      <c r="C34" s="81">
        <v>119</v>
      </c>
      <c r="D34" s="82">
        <f t="shared" si="7"/>
        <v>0.52888888888888885</v>
      </c>
      <c r="E34" s="66">
        <v>101</v>
      </c>
      <c r="F34" s="67">
        <f t="shared" si="8"/>
        <v>0.44888888888888889</v>
      </c>
      <c r="G34" s="15">
        <v>5</v>
      </c>
      <c r="H34" s="17">
        <f t="shared" si="9"/>
        <v>2.2222222222222223E-2</v>
      </c>
      <c r="I34" s="15">
        <f t="shared" si="10"/>
        <v>225</v>
      </c>
      <c r="J34" s="17">
        <f t="shared" si="11"/>
        <v>0.4536290322580645</v>
      </c>
      <c r="K34" s="29">
        <f t="shared" si="12"/>
        <v>271</v>
      </c>
      <c r="L34" s="17">
        <f t="shared" si="13"/>
        <v>0.5463709677419355</v>
      </c>
      <c r="M34" s="1"/>
      <c r="N34" s="1"/>
      <c r="O34" s="1"/>
      <c r="P34" s="1"/>
      <c r="Q34" s="1"/>
      <c r="R34" s="1"/>
      <c r="S34" s="1"/>
      <c r="T34" s="1"/>
      <c r="U34" s="1"/>
      <c r="V34" s="1"/>
      <c r="W34" s="1"/>
      <c r="X34" s="1"/>
      <c r="Y34" s="1"/>
      <c r="Z34" s="1"/>
    </row>
    <row r="35" spans="1:26" ht="12" customHeight="1" x14ac:dyDescent="0.2">
      <c r="A35" s="15" t="s">
        <v>200</v>
      </c>
      <c r="B35" s="15">
        <v>334</v>
      </c>
      <c r="C35" s="81">
        <v>74</v>
      </c>
      <c r="D35" s="82">
        <f t="shared" si="7"/>
        <v>0.51034482758620692</v>
      </c>
      <c r="E35" s="66">
        <v>64</v>
      </c>
      <c r="F35" s="67">
        <f t="shared" si="8"/>
        <v>0.44137931034482758</v>
      </c>
      <c r="G35" s="15">
        <v>7</v>
      </c>
      <c r="H35" s="17">
        <f t="shared" si="9"/>
        <v>4.8275862068965517E-2</v>
      </c>
      <c r="I35" s="15">
        <f t="shared" si="10"/>
        <v>145</v>
      </c>
      <c r="J35" s="17">
        <f t="shared" si="11"/>
        <v>0.43413173652694609</v>
      </c>
      <c r="K35" s="29">
        <f t="shared" si="12"/>
        <v>189</v>
      </c>
      <c r="L35" s="17">
        <f t="shared" si="13"/>
        <v>0.56586826347305386</v>
      </c>
      <c r="M35" s="1"/>
      <c r="N35" s="1"/>
      <c r="O35" s="1"/>
      <c r="P35" s="1"/>
      <c r="Q35" s="1"/>
      <c r="R35" s="1"/>
      <c r="S35" s="1"/>
      <c r="T35" s="1"/>
      <c r="U35" s="1"/>
      <c r="V35" s="1"/>
      <c r="W35" s="1"/>
      <c r="X35" s="1"/>
      <c r="Y35" s="1"/>
      <c r="Z35" s="1"/>
    </row>
    <row r="36" spans="1:26" s="30" customFormat="1" ht="12" customHeight="1" x14ac:dyDescent="0.2">
      <c r="A36" s="15" t="s">
        <v>201</v>
      </c>
      <c r="B36" s="15">
        <v>346</v>
      </c>
      <c r="C36" s="81">
        <v>78</v>
      </c>
      <c r="D36" s="82">
        <f t="shared" si="7"/>
        <v>0.52348993288590606</v>
      </c>
      <c r="E36" s="66">
        <v>65</v>
      </c>
      <c r="F36" s="67">
        <f t="shared" si="8"/>
        <v>0.43624161073825501</v>
      </c>
      <c r="G36" s="15">
        <v>6</v>
      </c>
      <c r="H36" s="17">
        <f t="shared" si="9"/>
        <v>4.0268456375838924E-2</v>
      </c>
      <c r="I36" s="15">
        <f t="shared" si="10"/>
        <v>149</v>
      </c>
      <c r="J36" s="17">
        <f t="shared" si="11"/>
        <v>0.430635838150289</v>
      </c>
      <c r="K36" s="29">
        <f t="shared" si="12"/>
        <v>197</v>
      </c>
      <c r="L36" s="17">
        <f t="shared" si="13"/>
        <v>0.56936416184971095</v>
      </c>
      <c r="M36" s="1"/>
      <c r="N36" s="1"/>
      <c r="O36" s="1"/>
      <c r="P36" s="1"/>
      <c r="Q36" s="1"/>
      <c r="R36" s="1"/>
      <c r="S36" s="1"/>
      <c r="T36" s="1"/>
      <c r="U36" s="1"/>
      <c r="V36" s="1"/>
      <c r="W36" s="1"/>
      <c r="X36" s="1"/>
      <c r="Y36" s="1"/>
      <c r="Z36" s="1"/>
    </row>
    <row r="37" spans="1:26" s="30" customFormat="1" ht="12" customHeight="1" x14ac:dyDescent="0.2">
      <c r="A37" s="15" t="s">
        <v>118</v>
      </c>
      <c r="B37" s="15">
        <v>261</v>
      </c>
      <c r="C37" s="81">
        <v>68</v>
      </c>
      <c r="D37" s="82">
        <f t="shared" si="7"/>
        <v>0.59649122807017541</v>
      </c>
      <c r="E37" s="66">
        <v>45</v>
      </c>
      <c r="F37" s="67">
        <f t="shared" si="8"/>
        <v>0.39473684210526316</v>
      </c>
      <c r="G37" s="15">
        <v>1</v>
      </c>
      <c r="H37" s="17">
        <f t="shared" si="9"/>
        <v>8.771929824561403E-3</v>
      </c>
      <c r="I37" s="15">
        <f t="shared" si="10"/>
        <v>114</v>
      </c>
      <c r="J37" s="17">
        <f t="shared" si="11"/>
        <v>0.43678160919540232</v>
      </c>
      <c r="K37" s="29">
        <f t="shared" si="12"/>
        <v>147</v>
      </c>
      <c r="L37" s="17">
        <f t="shared" si="13"/>
        <v>0.56321839080459768</v>
      </c>
      <c r="M37" s="1"/>
      <c r="N37" s="1"/>
      <c r="O37" s="1"/>
      <c r="P37" s="1"/>
      <c r="Q37" s="1"/>
      <c r="R37" s="1"/>
      <c r="S37" s="1"/>
      <c r="T37" s="1"/>
      <c r="U37" s="1"/>
      <c r="V37" s="1"/>
      <c r="W37" s="1"/>
      <c r="X37" s="1"/>
      <c r="Y37" s="1"/>
      <c r="Z37" s="1"/>
    </row>
    <row r="38" spans="1:26" s="30" customFormat="1" ht="12" customHeight="1" x14ac:dyDescent="0.2">
      <c r="A38" s="15" t="s">
        <v>119</v>
      </c>
      <c r="B38" s="15">
        <v>231</v>
      </c>
      <c r="C38" s="81">
        <v>63</v>
      </c>
      <c r="D38" s="82">
        <f t="shared" si="7"/>
        <v>0.58878504672897192</v>
      </c>
      <c r="E38" s="66">
        <v>43</v>
      </c>
      <c r="F38" s="67">
        <f t="shared" si="8"/>
        <v>0.40186915887850466</v>
      </c>
      <c r="G38" s="15">
        <v>1</v>
      </c>
      <c r="H38" s="17">
        <f t="shared" si="9"/>
        <v>9.3457943925233638E-3</v>
      </c>
      <c r="I38" s="15">
        <f t="shared" si="10"/>
        <v>107</v>
      </c>
      <c r="J38" s="17">
        <f t="shared" si="11"/>
        <v>0.46320346320346323</v>
      </c>
      <c r="K38" s="29">
        <f t="shared" si="12"/>
        <v>124</v>
      </c>
      <c r="L38" s="17">
        <f t="shared" si="13"/>
        <v>0.53679653679653683</v>
      </c>
      <c r="M38" s="1"/>
      <c r="N38" s="1"/>
      <c r="O38" s="1"/>
      <c r="P38" s="1"/>
      <c r="Q38" s="1"/>
      <c r="R38" s="1"/>
      <c r="S38" s="1"/>
      <c r="T38" s="1"/>
      <c r="U38" s="1"/>
      <c r="V38" s="1"/>
      <c r="W38" s="1"/>
      <c r="X38" s="1"/>
      <c r="Y38" s="1"/>
      <c r="Z38" s="1"/>
    </row>
    <row r="39" spans="1:26" ht="12" customHeight="1" x14ac:dyDescent="0.2">
      <c r="A39" s="12" t="s">
        <v>120</v>
      </c>
      <c r="B39" s="12">
        <f>SUM(B29:B38)</f>
        <v>3801</v>
      </c>
      <c r="C39" s="78">
        <f>SUM(C29:C38)</f>
        <v>918</v>
      </c>
      <c r="D39" s="79">
        <f t="shared" si="7"/>
        <v>0.53904873752201998</v>
      </c>
      <c r="E39" s="63">
        <f>SUM(E29:E38)</f>
        <v>747</v>
      </c>
      <c r="F39" s="64">
        <f t="shared" si="8"/>
        <v>0.4386376981796829</v>
      </c>
      <c r="G39" s="12">
        <f>SUM(G29:G38)</f>
        <v>38</v>
      </c>
      <c r="H39" s="13">
        <f t="shared" si="9"/>
        <v>2.2313564298297124E-2</v>
      </c>
      <c r="I39" s="12">
        <f>SUM(I29:I38)</f>
        <v>1703</v>
      </c>
      <c r="J39" s="13">
        <f t="shared" si="11"/>
        <v>0.44803998947645357</v>
      </c>
      <c r="K39" s="12">
        <f>SUM(K29:K38)</f>
        <v>2098</v>
      </c>
      <c r="L39" s="13">
        <f t="shared" si="13"/>
        <v>0.55196001052354648</v>
      </c>
      <c r="M39" s="1"/>
      <c r="N39" s="1"/>
      <c r="O39" s="1"/>
      <c r="P39" s="1"/>
      <c r="Q39" s="1"/>
      <c r="R39" s="1"/>
      <c r="S39" s="1"/>
      <c r="T39" s="1"/>
      <c r="U39" s="1"/>
      <c r="V39" s="1"/>
      <c r="W39" s="1"/>
      <c r="X39" s="1"/>
      <c r="Y39" s="1"/>
      <c r="Z39" s="1"/>
    </row>
    <row r="40" spans="1:26" s="42" customFormat="1" ht="12" customHeight="1" x14ac:dyDescent="0.2">
      <c r="A40" s="32" t="s">
        <v>542</v>
      </c>
      <c r="B40" s="32">
        <v>23</v>
      </c>
      <c r="C40" s="78"/>
      <c r="D40" s="79"/>
      <c r="E40" s="63"/>
      <c r="F40" s="64"/>
      <c r="G40" s="32"/>
      <c r="H40" s="28"/>
      <c r="I40" s="32"/>
      <c r="J40" s="28"/>
      <c r="K40" s="32"/>
      <c r="L40" s="28"/>
      <c r="M40" s="1"/>
      <c r="N40" s="1"/>
      <c r="O40" s="1"/>
      <c r="P40" s="1"/>
      <c r="Q40" s="1"/>
      <c r="R40" s="1"/>
      <c r="S40" s="1"/>
      <c r="T40" s="1"/>
      <c r="U40" s="1"/>
      <c r="V40" s="1"/>
      <c r="W40" s="1"/>
      <c r="X40" s="1"/>
      <c r="Y40" s="1"/>
      <c r="Z40" s="1"/>
    </row>
    <row r="41" spans="1:26" ht="12" customHeight="1" x14ac:dyDescent="0.2">
      <c r="A41" s="14" t="s">
        <v>202</v>
      </c>
      <c r="B41" s="32" t="s">
        <v>203</v>
      </c>
      <c r="C41" s="86"/>
      <c r="D41" s="86"/>
      <c r="E41" s="90"/>
      <c r="F41" s="90"/>
      <c r="G41" s="16"/>
      <c r="H41" s="16"/>
      <c r="I41" s="16"/>
      <c r="J41" s="16"/>
      <c r="K41" s="16"/>
      <c r="L41" s="16"/>
      <c r="M41" s="1"/>
      <c r="N41" s="1"/>
      <c r="O41" s="1"/>
      <c r="P41" s="1"/>
      <c r="Q41" s="1"/>
      <c r="R41" s="1"/>
      <c r="S41" s="1"/>
      <c r="T41" s="1"/>
      <c r="U41" s="1"/>
      <c r="V41" s="1"/>
      <c r="W41" s="1"/>
      <c r="X41" s="1"/>
      <c r="Y41" s="1"/>
      <c r="Z41" s="1"/>
    </row>
    <row r="42" spans="1:26" ht="12" customHeight="1" x14ac:dyDescent="0.2">
      <c r="A42" s="15" t="s">
        <v>136</v>
      </c>
      <c r="B42" s="15">
        <v>463</v>
      </c>
      <c r="C42" s="81">
        <v>109</v>
      </c>
      <c r="D42" s="82">
        <f>IF((I42=0),"",(C42/I42))</f>
        <v>0.58918918918918917</v>
      </c>
      <c r="E42" s="66">
        <v>75</v>
      </c>
      <c r="F42" s="67">
        <f>IF((I42=0),"",(E42/I42))</f>
        <v>0.40540540540540543</v>
      </c>
      <c r="G42" s="15">
        <v>1</v>
      </c>
      <c r="H42" s="17">
        <f>IF((I42=0),"",(G42/I42))</f>
        <v>5.4054054054054057E-3</v>
      </c>
      <c r="I42" s="15">
        <f>SUM(C42,E42,G42)</f>
        <v>185</v>
      </c>
      <c r="J42" s="17">
        <f>IF((B42=0),"",(I42/B42))</f>
        <v>0.39956803455723544</v>
      </c>
      <c r="K42" s="29">
        <f>B42-I42</f>
        <v>278</v>
      </c>
      <c r="L42" s="17">
        <f>IF((B42=0),"",(K42/B42))</f>
        <v>0.60043196544276456</v>
      </c>
      <c r="M42" s="1"/>
      <c r="N42" s="1"/>
      <c r="O42" s="1"/>
      <c r="P42" s="1"/>
      <c r="Q42" s="1"/>
      <c r="R42" s="1"/>
      <c r="S42" s="1"/>
      <c r="T42" s="1"/>
      <c r="U42" s="1"/>
      <c r="V42" s="1"/>
      <c r="W42" s="1"/>
      <c r="X42" s="1"/>
      <c r="Y42" s="1"/>
      <c r="Z42" s="1"/>
    </row>
    <row r="43" spans="1:26" ht="12" customHeight="1" x14ac:dyDescent="0.2">
      <c r="A43" s="15" t="s">
        <v>137</v>
      </c>
      <c r="B43" s="15">
        <v>406</v>
      </c>
      <c r="C43" s="81">
        <v>125</v>
      </c>
      <c r="D43" s="82">
        <f>IF((I43=0),"",(C43/I43))</f>
        <v>0.71022727272727271</v>
      </c>
      <c r="E43" s="66">
        <v>46</v>
      </c>
      <c r="F43" s="67">
        <f>IF((I43=0),"",(E43/I43))</f>
        <v>0.26136363636363635</v>
      </c>
      <c r="G43" s="15">
        <v>5</v>
      </c>
      <c r="H43" s="17">
        <f>IF((I43=0),"",(G43/I43))</f>
        <v>2.8409090909090908E-2</v>
      </c>
      <c r="I43" s="15">
        <f>SUM(C43,E43,G43)</f>
        <v>176</v>
      </c>
      <c r="J43" s="17">
        <f>IF((B43=0),"",(I43/B43))</f>
        <v>0.43349753694581283</v>
      </c>
      <c r="K43" s="29">
        <f>B43-I43</f>
        <v>230</v>
      </c>
      <c r="L43" s="17">
        <f>IF((B43=0),"",(K43/B43))</f>
        <v>0.56650246305418717</v>
      </c>
      <c r="M43" s="1"/>
      <c r="N43" s="1"/>
      <c r="O43" s="1"/>
      <c r="P43" s="1"/>
      <c r="Q43" s="1"/>
      <c r="R43" s="1"/>
      <c r="S43" s="1"/>
      <c r="T43" s="1"/>
      <c r="U43" s="1"/>
      <c r="V43" s="1"/>
      <c r="W43" s="1"/>
      <c r="X43" s="1"/>
      <c r="Y43" s="1"/>
      <c r="Z43" s="1"/>
    </row>
    <row r="44" spans="1:26" ht="12" customHeight="1" x14ac:dyDescent="0.2">
      <c r="A44" s="15" t="s">
        <v>344</v>
      </c>
      <c r="B44" s="15">
        <v>435</v>
      </c>
      <c r="C44" s="81">
        <v>104</v>
      </c>
      <c r="D44" s="82">
        <f>IF((I44=0),"",(C44/I44))</f>
        <v>0.6227544910179641</v>
      </c>
      <c r="E44" s="66">
        <v>59</v>
      </c>
      <c r="F44" s="67">
        <f>IF((I44=0),"",(E44/I44))</f>
        <v>0.3532934131736527</v>
      </c>
      <c r="G44" s="15">
        <v>4</v>
      </c>
      <c r="H44" s="17">
        <f>IF((I44=0),"",(G44/I44))</f>
        <v>2.3952095808383235E-2</v>
      </c>
      <c r="I44" s="15">
        <f>SUM(C44,E44,G44)</f>
        <v>167</v>
      </c>
      <c r="J44" s="17">
        <f>IF((B44=0),"",(I44/B44))</f>
        <v>0.3839080459770115</v>
      </c>
      <c r="K44" s="29">
        <f>B44-I44</f>
        <v>268</v>
      </c>
      <c r="L44" s="17">
        <f>IF((B44=0),"",(K44/B44))</f>
        <v>0.61609195402298855</v>
      </c>
      <c r="M44" s="1"/>
      <c r="N44" s="1"/>
      <c r="O44" s="1"/>
      <c r="P44" s="1"/>
      <c r="Q44" s="1"/>
      <c r="R44" s="1"/>
      <c r="S44" s="1"/>
      <c r="T44" s="1"/>
      <c r="U44" s="1"/>
      <c r="V44" s="1"/>
      <c r="W44" s="1"/>
      <c r="X44" s="1"/>
      <c r="Y44" s="1"/>
      <c r="Z44" s="1"/>
    </row>
    <row r="45" spans="1:26" ht="12" customHeight="1" x14ac:dyDescent="0.2">
      <c r="A45" s="12" t="s">
        <v>120</v>
      </c>
      <c r="B45" s="12">
        <f>SUM(B42:B44)</f>
        <v>1304</v>
      </c>
      <c r="C45" s="78">
        <f>SUM(C42:C44)</f>
        <v>338</v>
      </c>
      <c r="D45" s="79">
        <f>IF((I45=0),"",(C45/I45))</f>
        <v>0.64015151515151514</v>
      </c>
      <c r="E45" s="63">
        <f>SUM(E42:E44)</f>
        <v>180</v>
      </c>
      <c r="F45" s="64">
        <f>IF((I45=0),"",(E45/I45))</f>
        <v>0.34090909090909088</v>
      </c>
      <c r="G45" s="12">
        <f>SUM(G42:G44)</f>
        <v>10</v>
      </c>
      <c r="H45" s="13">
        <f>IF((I45=0),"",(G45/I45))</f>
        <v>1.893939393939394E-2</v>
      </c>
      <c r="I45" s="12">
        <f>SUM(I42:I44)</f>
        <v>528</v>
      </c>
      <c r="J45" s="13">
        <f>IF((B45=0),"",(I45/B45))</f>
        <v>0.40490797546012269</v>
      </c>
      <c r="K45" s="12">
        <f>SUM(K42:K44)</f>
        <v>776</v>
      </c>
      <c r="L45" s="13">
        <f>IF((B45=0),"",(K45/B45))</f>
        <v>0.59509202453987731</v>
      </c>
      <c r="M45" s="1"/>
      <c r="N45" s="1"/>
      <c r="O45" s="1"/>
      <c r="P45" s="1"/>
      <c r="Q45" s="1"/>
      <c r="R45" s="1"/>
      <c r="S45" s="1"/>
      <c r="T45" s="1"/>
      <c r="U45" s="1"/>
      <c r="V45" s="1"/>
      <c r="W45" s="1"/>
      <c r="X45" s="1"/>
      <c r="Y45" s="1"/>
      <c r="Z45" s="1"/>
    </row>
    <row r="46" spans="1:26" ht="12" customHeight="1" x14ac:dyDescent="0.2">
      <c r="A46" s="14" t="s">
        <v>205</v>
      </c>
      <c r="B46" s="32" t="s">
        <v>206</v>
      </c>
      <c r="C46" s="86"/>
      <c r="D46" s="86"/>
      <c r="E46" s="90"/>
      <c r="F46" s="90"/>
      <c r="G46" s="16"/>
      <c r="H46" s="16"/>
      <c r="I46" s="16"/>
      <c r="J46" s="16"/>
      <c r="K46" s="16"/>
      <c r="L46" s="16"/>
      <c r="M46" s="1"/>
      <c r="N46" s="1"/>
      <c r="O46" s="1"/>
      <c r="P46" s="1"/>
      <c r="Q46" s="1"/>
      <c r="R46" s="1"/>
      <c r="S46" s="1"/>
      <c r="T46" s="1"/>
      <c r="U46" s="1"/>
      <c r="V46" s="1"/>
      <c r="W46" s="1"/>
      <c r="X46" s="1"/>
      <c r="Y46" s="1"/>
      <c r="Z46" s="1"/>
    </row>
    <row r="47" spans="1:26" ht="12" customHeight="1" x14ac:dyDescent="0.2">
      <c r="A47" s="15" t="s">
        <v>133</v>
      </c>
      <c r="B47" s="15">
        <v>367</v>
      </c>
      <c r="C47" s="81">
        <v>108</v>
      </c>
      <c r="D47" s="82">
        <f>IF((I47=0),"",(C47/I47))</f>
        <v>0.61363636363636365</v>
      </c>
      <c r="E47" s="66">
        <v>60</v>
      </c>
      <c r="F47" s="67">
        <f>IF((I47=0),"",(E47/I47))</f>
        <v>0.34090909090909088</v>
      </c>
      <c r="G47" s="15">
        <v>8</v>
      </c>
      <c r="H47" s="17">
        <f>IF((I47=0),"",(G47/I47))</f>
        <v>4.5454545454545456E-2</v>
      </c>
      <c r="I47" s="15">
        <f>SUM(C47,E47,G47)</f>
        <v>176</v>
      </c>
      <c r="J47" s="17">
        <f>IF((B47=0),"",(I47/B47))</f>
        <v>0.47956403269754766</v>
      </c>
      <c r="K47" s="29">
        <f>B47-I47</f>
        <v>191</v>
      </c>
      <c r="L47" s="17">
        <f>IF((B47=0),"",(K47/B47))</f>
        <v>0.52043596730245234</v>
      </c>
      <c r="M47" s="1"/>
      <c r="N47" s="1"/>
      <c r="O47" s="1"/>
      <c r="P47" s="1"/>
      <c r="Q47" s="1"/>
      <c r="R47" s="1"/>
      <c r="S47" s="1"/>
      <c r="T47" s="1"/>
      <c r="U47" s="1"/>
      <c r="V47" s="1"/>
      <c r="W47" s="1"/>
      <c r="X47" s="1"/>
      <c r="Y47" s="1"/>
      <c r="Z47" s="1"/>
    </row>
    <row r="48" spans="1:26" ht="12" customHeight="1" x14ac:dyDescent="0.2">
      <c r="A48" s="15" t="s">
        <v>451</v>
      </c>
      <c r="B48" s="15">
        <v>300</v>
      </c>
      <c r="C48" s="81">
        <v>78</v>
      </c>
      <c r="D48" s="82">
        <f>IF((I48=0),"",(C48/I48))</f>
        <v>0.609375</v>
      </c>
      <c r="E48" s="66">
        <v>50</v>
      </c>
      <c r="F48" s="67">
        <f>IF((I48=0),"",(E48/I48))</f>
        <v>0.390625</v>
      </c>
      <c r="G48" s="15">
        <v>0</v>
      </c>
      <c r="H48" s="17">
        <f>IF((I48=0),"",(G48/I48))</f>
        <v>0</v>
      </c>
      <c r="I48" s="15">
        <f>SUM(C48,E48,G48)</f>
        <v>128</v>
      </c>
      <c r="J48" s="17">
        <f>IF((B48=0),"",(I48/B48))</f>
        <v>0.42666666666666669</v>
      </c>
      <c r="K48" s="29">
        <f>B48-I48</f>
        <v>172</v>
      </c>
      <c r="L48" s="17">
        <f>IF((B48=0),"",(K48/B48))</f>
        <v>0.57333333333333336</v>
      </c>
      <c r="M48" s="1"/>
      <c r="N48" s="1"/>
      <c r="O48" s="1"/>
      <c r="P48" s="1"/>
      <c r="Q48" s="1"/>
      <c r="R48" s="1"/>
      <c r="S48" s="1"/>
      <c r="T48" s="1"/>
      <c r="U48" s="1"/>
      <c r="V48" s="1"/>
      <c r="W48" s="1"/>
      <c r="X48" s="1"/>
      <c r="Y48" s="1"/>
      <c r="Z48" s="1"/>
    </row>
    <row r="49" spans="1:26" ht="12" customHeight="1" x14ac:dyDescent="0.2">
      <c r="A49" s="15" t="s">
        <v>452</v>
      </c>
      <c r="B49" s="15">
        <v>238</v>
      </c>
      <c r="C49" s="81">
        <v>44</v>
      </c>
      <c r="D49" s="82">
        <f>IF((I49=0),"",(C49/I49))</f>
        <v>0.3963963963963964</v>
      </c>
      <c r="E49" s="66">
        <v>65</v>
      </c>
      <c r="F49" s="67">
        <f>IF((I49=0),"",(E49/I49))</f>
        <v>0.5855855855855856</v>
      </c>
      <c r="G49" s="15">
        <v>2</v>
      </c>
      <c r="H49" s="17">
        <f>IF((I49=0),"",(G49/I49))</f>
        <v>1.8018018018018018E-2</v>
      </c>
      <c r="I49" s="15">
        <f>SUM(C49,E49,G49)</f>
        <v>111</v>
      </c>
      <c r="J49" s="17">
        <f>IF((B49=0),"",(I49/B49))</f>
        <v>0.46638655462184875</v>
      </c>
      <c r="K49" s="29">
        <f>B49-I49</f>
        <v>127</v>
      </c>
      <c r="L49" s="17">
        <f>IF((B49=0),"",(K49/B49))</f>
        <v>0.53361344537815125</v>
      </c>
      <c r="M49" s="1"/>
      <c r="N49" s="1"/>
      <c r="O49" s="1"/>
      <c r="P49" s="1"/>
      <c r="Q49" s="1"/>
      <c r="R49" s="1"/>
      <c r="S49" s="1"/>
      <c r="T49" s="1"/>
      <c r="U49" s="1"/>
      <c r="V49" s="1"/>
      <c r="W49" s="1"/>
      <c r="X49" s="1"/>
      <c r="Y49" s="1"/>
      <c r="Z49" s="1"/>
    </row>
    <row r="50" spans="1:26" ht="12" customHeight="1" x14ac:dyDescent="0.2">
      <c r="A50" s="12" t="s">
        <v>120</v>
      </c>
      <c r="B50" s="12">
        <f>SUM(B47:B49)</f>
        <v>905</v>
      </c>
      <c r="C50" s="78">
        <f>SUM(C47:C49)</f>
        <v>230</v>
      </c>
      <c r="D50" s="79">
        <f>IF((I50=0),"",(C50/I50))</f>
        <v>0.55421686746987953</v>
      </c>
      <c r="E50" s="63">
        <f>SUM(E47:E49)</f>
        <v>175</v>
      </c>
      <c r="F50" s="64">
        <f>IF((I50=0),"",(E50/I50))</f>
        <v>0.42168674698795183</v>
      </c>
      <c r="G50" s="12">
        <f>SUM(G47:G49)</f>
        <v>10</v>
      </c>
      <c r="H50" s="13">
        <f>IF((I50=0),"",(G50/I50))</f>
        <v>2.4096385542168676E-2</v>
      </c>
      <c r="I50" s="12">
        <f>SUM(I47:I49)</f>
        <v>415</v>
      </c>
      <c r="J50" s="13">
        <f>IF((B50=0),"",(I50/B50))</f>
        <v>0.4585635359116022</v>
      </c>
      <c r="K50" s="12">
        <f>SUM(K47:K49)</f>
        <v>490</v>
      </c>
      <c r="L50" s="13">
        <f>IF((B50=0),"",(K50/B50))</f>
        <v>0.54143646408839774</v>
      </c>
      <c r="M50" s="1"/>
      <c r="N50" s="1"/>
      <c r="O50" s="1"/>
      <c r="P50" s="1"/>
      <c r="Q50" s="1"/>
      <c r="R50" s="1"/>
      <c r="S50" s="1"/>
      <c r="T50" s="1"/>
      <c r="U50" s="1"/>
      <c r="V50" s="1"/>
      <c r="W50" s="1"/>
      <c r="X50" s="1"/>
      <c r="Y50" s="1"/>
      <c r="Z50" s="1"/>
    </row>
    <row r="51" spans="1:26" s="42" customFormat="1" ht="12" customHeight="1" x14ac:dyDescent="0.2">
      <c r="A51" s="32" t="s">
        <v>542</v>
      </c>
      <c r="B51" s="32">
        <v>29</v>
      </c>
      <c r="C51" s="78"/>
      <c r="D51" s="79"/>
      <c r="E51" s="63"/>
      <c r="F51" s="64"/>
      <c r="G51" s="32"/>
      <c r="H51" s="28"/>
      <c r="I51" s="32"/>
      <c r="J51" s="28"/>
      <c r="K51" s="32"/>
      <c r="L51" s="28"/>
      <c r="M51" s="1"/>
      <c r="N51" s="1"/>
      <c r="O51" s="1"/>
      <c r="P51" s="1"/>
      <c r="Q51" s="1"/>
      <c r="R51" s="1"/>
      <c r="S51" s="1"/>
      <c r="T51" s="1"/>
      <c r="U51" s="1"/>
      <c r="V51" s="1"/>
      <c r="W51" s="1"/>
      <c r="X51" s="1"/>
      <c r="Y51" s="1"/>
      <c r="Z51" s="1"/>
    </row>
    <row r="52" spans="1:26" ht="12" customHeight="1" x14ac:dyDescent="0.2">
      <c r="A52" s="14" t="s">
        <v>207</v>
      </c>
      <c r="B52" s="32" t="s">
        <v>208</v>
      </c>
      <c r="C52" s="86"/>
      <c r="D52" s="86"/>
      <c r="E52" s="90"/>
      <c r="F52" s="90"/>
      <c r="G52" s="16"/>
      <c r="H52" s="16"/>
      <c r="I52" s="16"/>
      <c r="J52" s="16"/>
      <c r="K52" s="16"/>
      <c r="L52" s="16"/>
      <c r="M52" s="1"/>
      <c r="N52" s="1"/>
      <c r="O52" s="1"/>
      <c r="P52" s="1"/>
      <c r="Q52" s="1"/>
      <c r="R52" s="1"/>
      <c r="S52" s="1"/>
      <c r="T52" s="1"/>
      <c r="U52" s="1"/>
      <c r="V52" s="1"/>
      <c r="W52" s="1"/>
      <c r="X52" s="1"/>
      <c r="Y52" s="1"/>
      <c r="Z52" s="1"/>
    </row>
    <row r="53" spans="1:26" ht="12" customHeight="1" x14ac:dyDescent="0.2">
      <c r="A53" s="29" t="s">
        <v>327</v>
      </c>
      <c r="B53" s="15">
        <v>399</v>
      </c>
      <c r="C53" s="81">
        <v>85</v>
      </c>
      <c r="D53" s="82">
        <f>IF((I53=0),"",(C53/I53))</f>
        <v>0.4521276595744681</v>
      </c>
      <c r="E53" s="66">
        <v>101</v>
      </c>
      <c r="F53" s="67">
        <f>IF((I53=0),"",(E53/I53))</f>
        <v>0.53723404255319152</v>
      </c>
      <c r="G53" s="15">
        <v>2</v>
      </c>
      <c r="H53" s="17">
        <f>IF((I53=0),"",(G53/I53))</f>
        <v>1.0638297872340425E-2</v>
      </c>
      <c r="I53" s="15">
        <f>SUM(C53,E53,G53)</f>
        <v>188</v>
      </c>
      <c r="J53" s="17">
        <f>IF((B53=0),"",(I53/B53))</f>
        <v>0.47117794486215536</v>
      </c>
      <c r="K53" s="29">
        <f>B53-I53</f>
        <v>211</v>
      </c>
      <c r="L53" s="17">
        <f>IF((B53=0),"",(K53/B53))</f>
        <v>0.52882205513784464</v>
      </c>
      <c r="M53" s="1"/>
      <c r="N53" s="1"/>
      <c r="O53" s="1"/>
      <c r="P53" s="1"/>
      <c r="Q53" s="1"/>
      <c r="R53" s="1"/>
      <c r="S53" s="1"/>
      <c r="T53" s="1"/>
      <c r="U53" s="1"/>
      <c r="V53" s="1"/>
      <c r="W53" s="1"/>
      <c r="X53" s="1"/>
      <c r="Y53" s="1"/>
      <c r="Z53" s="1"/>
    </row>
    <row r="54" spans="1:26" ht="12" customHeight="1" x14ac:dyDescent="0.2">
      <c r="A54" s="29" t="s">
        <v>443</v>
      </c>
      <c r="B54" s="15">
        <v>351</v>
      </c>
      <c r="C54" s="81">
        <v>73</v>
      </c>
      <c r="D54" s="82">
        <f>IF((I54=0),"",(C54/I54))</f>
        <v>0.51773049645390068</v>
      </c>
      <c r="E54" s="66">
        <v>68</v>
      </c>
      <c r="F54" s="67">
        <f>IF((I54=0),"",(E54/I54))</f>
        <v>0.48226950354609927</v>
      </c>
      <c r="G54" s="15">
        <v>0</v>
      </c>
      <c r="H54" s="17">
        <f>IF((I54=0),"",(G54/I54))</f>
        <v>0</v>
      </c>
      <c r="I54" s="15">
        <f>SUM(C54,E54,G54)</f>
        <v>141</v>
      </c>
      <c r="J54" s="17">
        <f>IF((B54=0),"",(I54/B54))</f>
        <v>0.40170940170940173</v>
      </c>
      <c r="K54" s="29">
        <f>B54-I54</f>
        <v>210</v>
      </c>
      <c r="L54" s="17">
        <f>IF((B54=0),"",(K54/B54))</f>
        <v>0.59829059829059827</v>
      </c>
      <c r="M54" s="1"/>
      <c r="N54" s="1"/>
      <c r="O54" s="1"/>
      <c r="P54" s="1"/>
      <c r="Q54" s="1"/>
      <c r="R54" s="1"/>
      <c r="S54" s="1"/>
      <c r="T54" s="1"/>
      <c r="U54" s="1"/>
      <c r="V54" s="1"/>
      <c r="W54" s="1"/>
      <c r="X54" s="1"/>
      <c r="Y54" s="1"/>
      <c r="Z54" s="1"/>
    </row>
    <row r="55" spans="1:26" ht="12" customHeight="1" x14ac:dyDescent="0.2">
      <c r="A55" s="29" t="s">
        <v>182</v>
      </c>
      <c r="B55" s="15">
        <v>286</v>
      </c>
      <c r="C55" s="81">
        <v>66</v>
      </c>
      <c r="D55" s="82">
        <f>IF((I55=0),"",(C55/I55))</f>
        <v>0.51968503937007871</v>
      </c>
      <c r="E55" s="66">
        <v>59</v>
      </c>
      <c r="F55" s="67">
        <f>IF((I55=0),"",(E55/I55))</f>
        <v>0.46456692913385828</v>
      </c>
      <c r="G55" s="15">
        <v>2</v>
      </c>
      <c r="H55" s="17">
        <f>IF((I55=0),"",(G55/I55))</f>
        <v>1.5748031496062992E-2</v>
      </c>
      <c r="I55" s="15">
        <f>SUM(C55,E55,G55)</f>
        <v>127</v>
      </c>
      <c r="J55" s="17">
        <f>IF((B55=0),"",(I55/B55))</f>
        <v>0.44405594405594406</v>
      </c>
      <c r="K55" s="29">
        <f>B55-I55</f>
        <v>159</v>
      </c>
      <c r="L55" s="17">
        <f>IF((B55=0),"",(K55/B55))</f>
        <v>0.55594405594405594</v>
      </c>
      <c r="M55" s="1"/>
      <c r="N55" s="1"/>
      <c r="O55" s="1"/>
      <c r="P55" s="1"/>
      <c r="Q55" s="1"/>
      <c r="R55" s="1"/>
      <c r="S55" s="1"/>
      <c r="T55" s="1"/>
      <c r="U55" s="1"/>
      <c r="V55" s="1"/>
      <c r="W55" s="1"/>
      <c r="X55" s="1"/>
      <c r="Y55" s="1"/>
      <c r="Z55" s="1"/>
    </row>
    <row r="56" spans="1:26" ht="12" customHeight="1" x14ac:dyDescent="0.2">
      <c r="A56" s="47" t="s">
        <v>120</v>
      </c>
      <c r="B56" s="47">
        <f>SUM(B53:B55)</f>
        <v>1036</v>
      </c>
      <c r="C56" s="94">
        <f>SUM(C53:C55)</f>
        <v>224</v>
      </c>
      <c r="D56" s="95">
        <f>IF((I56=0),"",(C56/I56))</f>
        <v>0.49122807017543857</v>
      </c>
      <c r="E56" s="97">
        <f>SUM(E53:E55)</f>
        <v>228</v>
      </c>
      <c r="F56" s="98">
        <f>IF((I56=0),"",(E56/I56))</f>
        <v>0.5</v>
      </c>
      <c r="G56" s="47">
        <f>SUM(G53:G55)</f>
        <v>4</v>
      </c>
      <c r="H56" s="48">
        <f>IF((I56=0),"",(G56/I56))</f>
        <v>8.771929824561403E-3</v>
      </c>
      <c r="I56" s="47">
        <f>SUM(I53:I55)</f>
        <v>456</v>
      </c>
      <c r="J56" s="48">
        <f>IF((B56=0),"",(I56/B56))</f>
        <v>0.44015444015444016</v>
      </c>
      <c r="K56" s="47">
        <f>SUM(K53:K55)</f>
        <v>580</v>
      </c>
      <c r="L56" s="48">
        <f>IF((B56=0),"",(K56/B56))</f>
        <v>0.55984555984555984</v>
      </c>
      <c r="M56" s="1"/>
      <c r="N56" s="1"/>
      <c r="O56" s="1"/>
      <c r="P56" s="1"/>
      <c r="Q56" s="1"/>
      <c r="R56" s="1"/>
      <c r="S56" s="1"/>
      <c r="T56" s="1"/>
      <c r="U56" s="1"/>
      <c r="V56" s="1"/>
      <c r="W56" s="1"/>
      <c r="X56" s="1"/>
      <c r="Y56" s="1"/>
      <c r="Z56" s="1"/>
    </row>
    <row r="57" spans="1:26" ht="12.75" customHeight="1" x14ac:dyDescent="0.2">
      <c r="A57" s="49" t="s">
        <v>542</v>
      </c>
      <c r="B57" s="49">
        <v>4</v>
      </c>
      <c r="C57" s="96"/>
      <c r="D57" s="96"/>
      <c r="E57" s="99"/>
      <c r="F57" s="99"/>
      <c r="G57" s="50"/>
      <c r="H57" s="50"/>
      <c r="I57" s="50"/>
      <c r="J57" s="50"/>
      <c r="K57" s="50"/>
      <c r="L57" s="50"/>
      <c r="M57" s="1"/>
      <c r="N57" s="1"/>
      <c r="O57" s="1"/>
      <c r="P57" s="1"/>
      <c r="Q57" s="1"/>
      <c r="R57" s="1"/>
      <c r="S57" s="1"/>
      <c r="T57" s="1"/>
      <c r="U57" s="1"/>
      <c r="V57" s="1"/>
      <c r="W57" s="1"/>
      <c r="X57" s="1"/>
      <c r="Y57" s="1"/>
      <c r="Z57" s="1"/>
    </row>
    <row r="58" spans="1:26" ht="12.75" customHeight="1" x14ac:dyDescent="0.2">
      <c r="A58" s="1"/>
      <c r="B58" s="1"/>
      <c r="C58" s="89"/>
      <c r="D58" s="89"/>
      <c r="E58" s="93"/>
      <c r="F58" s="93"/>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89"/>
      <c r="D59" s="89"/>
      <c r="E59" s="93"/>
      <c r="F59" s="93"/>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89"/>
      <c r="D60" s="89"/>
      <c r="E60" s="93"/>
      <c r="F60" s="93"/>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89"/>
      <c r="D61" s="89"/>
      <c r="E61" s="93"/>
      <c r="F61" s="93"/>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89"/>
      <c r="D62" s="89"/>
      <c r="E62" s="93"/>
      <c r="F62" s="93"/>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89"/>
      <c r="D63" s="89"/>
      <c r="E63" s="93"/>
      <c r="F63" s="93"/>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89"/>
      <c r="D64" s="89"/>
      <c r="E64" s="93"/>
      <c r="F64" s="93"/>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89"/>
      <c r="D65" s="89"/>
      <c r="E65" s="93"/>
      <c r="F65" s="93"/>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89"/>
      <c r="D66" s="89"/>
      <c r="E66" s="93"/>
      <c r="F66" s="93"/>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89"/>
      <c r="D67" s="89"/>
      <c r="E67" s="93"/>
      <c r="F67" s="93"/>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89"/>
      <c r="D68" s="89"/>
      <c r="E68" s="93"/>
      <c r="F68" s="93"/>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89"/>
      <c r="D69" s="89"/>
      <c r="E69" s="93"/>
      <c r="F69" s="93"/>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89"/>
      <c r="D70" s="89"/>
      <c r="E70" s="93"/>
      <c r="F70" s="93"/>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89"/>
      <c r="D71" s="89"/>
      <c r="E71" s="93"/>
      <c r="F71" s="93"/>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89"/>
      <c r="D72" s="89"/>
      <c r="E72" s="93"/>
      <c r="F72" s="93"/>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89"/>
      <c r="D73" s="89"/>
      <c r="E73" s="93"/>
      <c r="F73" s="93"/>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89"/>
      <c r="D74" s="89"/>
      <c r="E74" s="93"/>
      <c r="F74" s="93"/>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89"/>
      <c r="D75" s="89"/>
      <c r="E75" s="93"/>
      <c r="F75" s="93"/>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89"/>
      <c r="D76" s="89"/>
      <c r="E76" s="93"/>
      <c r="F76" s="93"/>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89"/>
      <c r="D77" s="89"/>
      <c r="E77" s="93"/>
      <c r="F77" s="93"/>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89"/>
      <c r="D78" s="89"/>
      <c r="E78" s="93"/>
      <c r="F78" s="93"/>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89"/>
      <c r="D79" s="89"/>
      <c r="E79" s="93"/>
      <c r="F79" s="93"/>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89"/>
      <c r="D80" s="89"/>
      <c r="E80" s="93"/>
      <c r="F80" s="93"/>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89"/>
      <c r="D81" s="89"/>
      <c r="E81" s="93"/>
      <c r="F81" s="93"/>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89"/>
      <c r="D82" s="89"/>
      <c r="E82" s="93"/>
      <c r="F82" s="93"/>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89"/>
      <c r="D83" s="89"/>
      <c r="E83" s="93"/>
      <c r="F83" s="93"/>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89"/>
      <c r="D84" s="89"/>
      <c r="E84" s="93"/>
      <c r="F84" s="93"/>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89"/>
      <c r="D85" s="89"/>
      <c r="E85" s="93"/>
      <c r="F85" s="93"/>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89"/>
      <c r="D86" s="89"/>
      <c r="E86" s="93"/>
      <c r="F86" s="93"/>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89"/>
      <c r="D87" s="89"/>
      <c r="E87" s="93"/>
      <c r="F87" s="93"/>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89"/>
      <c r="D88" s="89"/>
      <c r="E88" s="93"/>
      <c r="F88" s="93"/>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89"/>
      <c r="D89" s="89"/>
      <c r="E89" s="93"/>
      <c r="F89" s="93"/>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89"/>
      <c r="D90" s="89"/>
      <c r="E90" s="93"/>
      <c r="F90" s="93"/>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89"/>
      <c r="D91" s="89"/>
      <c r="E91" s="93"/>
      <c r="F91" s="93"/>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89"/>
      <c r="D92" s="89"/>
      <c r="E92" s="93"/>
      <c r="F92" s="93"/>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89"/>
      <c r="D93" s="89"/>
      <c r="E93" s="93"/>
      <c r="F93" s="93"/>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89"/>
      <c r="D94" s="89"/>
      <c r="E94" s="93"/>
      <c r="F94" s="93"/>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89"/>
      <c r="D95" s="89"/>
      <c r="E95" s="93"/>
      <c r="F95" s="93"/>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89"/>
      <c r="D96" s="89"/>
      <c r="E96" s="93"/>
      <c r="F96" s="93"/>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89"/>
      <c r="D97" s="89"/>
      <c r="E97" s="93"/>
      <c r="F97" s="93"/>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89"/>
      <c r="D98" s="89"/>
      <c r="E98" s="93"/>
      <c r="F98" s="93"/>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89"/>
      <c r="D99" s="89"/>
      <c r="E99" s="93"/>
      <c r="F99" s="93"/>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89"/>
      <c r="D100" s="89"/>
      <c r="E100" s="93"/>
      <c r="F100" s="93"/>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89"/>
      <c r="D101" s="89"/>
      <c r="E101" s="93"/>
      <c r="F101" s="93"/>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89"/>
      <c r="D102" s="89"/>
      <c r="E102" s="93"/>
      <c r="F102" s="93"/>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89"/>
      <c r="D103" s="89"/>
      <c r="E103" s="93"/>
      <c r="F103" s="93"/>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89"/>
      <c r="D104" s="89"/>
      <c r="E104" s="93"/>
      <c r="F104" s="93"/>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89"/>
      <c r="D105" s="89"/>
      <c r="E105" s="93"/>
      <c r="F105" s="93"/>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89"/>
      <c r="D106" s="89"/>
      <c r="E106" s="93"/>
      <c r="F106" s="93"/>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89"/>
      <c r="D107" s="89"/>
      <c r="E107" s="93"/>
      <c r="F107" s="93"/>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89"/>
      <c r="D108" s="89"/>
      <c r="E108" s="93"/>
      <c r="F108" s="93"/>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89"/>
      <c r="D109" s="89"/>
      <c r="E109" s="93"/>
      <c r="F109" s="93"/>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89"/>
      <c r="D110" s="89"/>
      <c r="E110" s="93"/>
      <c r="F110" s="93"/>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89"/>
      <c r="D111" s="89"/>
      <c r="E111" s="93"/>
      <c r="F111" s="93"/>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89"/>
      <c r="D112" s="89"/>
      <c r="E112" s="93"/>
      <c r="F112" s="93"/>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89"/>
      <c r="D113" s="89"/>
      <c r="E113" s="93"/>
      <c r="F113" s="93"/>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89"/>
      <c r="D114" s="89"/>
      <c r="E114" s="93"/>
      <c r="F114" s="93"/>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89"/>
      <c r="D115" s="89"/>
      <c r="E115" s="93"/>
      <c r="F115" s="93"/>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89"/>
      <c r="D116" s="89"/>
      <c r="E116" s="93"/>
      <c r="F116" s="93"/>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89"/>
      <c r="D117" s="89"/>
      <c r="E117" s="93"/>
      <c r="F117" s="93"/>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89"/>
      <c r="D118" s="89"/>
      <c r="E118" s="93"/>
      <c r="F118" s="93"/>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89"/>
      <c r="D119" s="89"/>
      <c r="E119" s="93"/>
      <c r="F119" s="93"/>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89"/>
      <c r="D120" s="89"/>
      <c r="E120" s="93"/>
      <c r="F120" s="93"/>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89"/>
      <c r="D121" s="89"/>
      <c r="E121" s="93"/>
      <c r="F121" s="93"/>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89"/>
      <c r="D122" s="89"/>
      <c r="E122" s="93"/>
      <c r="F122" s="93"/>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89"/>
      <c r="D123" s="89"/>
      <c r="E123" s="93"/>
      <c r="F123" s="93"/>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89"/>
      <c r="D124" s="89"/>
      <c r="E124" s="93"/>
      <c r="F124" s="93"/>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89"/>
      <c r="D125" s="89"/>
      <c r="E125" s="93"/>
      <c r="F125" s="93"/>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89"/>
      <c r="D126" s="89"/>
      <c r="E126" s="93"/>
      <c r="F126" s="93"/>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89"/>
      <c r="D127" s="89"/>
      <c r="E127" s="93"/>
      <c r="F127" s="93"/>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89"/>
      <c r="D128" s="89"/>
      <c r="E128" s="93"/>
      <c r="F128" s="93"/>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89"/>
      <c r="D129" s="89"/>
      <c r="E129" s="93"/>
      <c r="F129" s="93"/>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89"/>
      <c r="D130" s="89"/>
      <c r="E130" s="93"/>
      <c r="F130" s="93"/>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89"/>
      <c r="D131" s="89"/>
      <c r="E131" s="93"/>
      <c r="F131" s="93"/>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89"/>
      <c r="D132" s="89"/>
      <c r="E132" s="93"/>
      <c r="F132" s="93"/>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89"/>
      <c r="D133" s="89"/>
      <c r="E133" s="93"/>
      <c r="F133" s="93"/>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89"/>
      <c r="D134" s="89"/>
      <c r="E134" s="93"/>
      <c r="F134" s="93"/>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89"/>
      <c r="D135" s="89"/>
      <c r="E135" s="93"/>
      <c r="F135" s="93"/>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89"/>
      <c r="D136" s="89"/>
      <c r="E136" s="93"/>
      <c r="F136" s="93"/>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89"/>
      <c r="D137" s="89"/>
      <c r="E137" s="93"/>
      <c r="F137" s="93"/>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89"/>
      <c r="D138" s="89"/>
      <c r="E138" s="93"/>
      <c r="F138" s="93"/>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89"/>
      <c r="D139" s="89"/>
      <c r="E139" s="93"/>
      <c r="F139" s="93"/>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89"/>
      <c r="D140" s="89"/>
      <c r="E140" s="93"/>
      <c r="F140" s="93"/>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89"/>
      <c r="D141" s="89"/>
      <c r="E141" s="93"/>
      <c r="F141" s="93"/>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89"/>
      <c r="D142" s="89"/>
      <c r="E142" s="93"/>
      <c r="F142" s="93"/>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89"/>
      <c r="D143" s="89"/>
      <c r="E143" s="93"/>
      <c r="F143" s="93"/>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89"/>
      <c r="D144" s="89"/>
      <c r="E144" s="93"/>
      <c r="F144" s="93"/>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89"/>
      <c r="D145" s="89"/>
      <c r="E145" s="93"/>
      <c r="F145" s="93"/>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89"/>
      <c r="D146" s="89"/>
      <c r="E146" s="93"/>
      <c r="F146" s="93"/>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89"/>
      <c r="D147" s="89"/>
      <c r="E147" s="93"/>
      <c r="F147" s="93"/>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89"/>
      <c r="D148" s="89"/>
      <c r="E148" s="93"/>
      <c r="F148" s="93"/>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89"/>
      <c r="D149" s="89"/>
      <c r="E149" s="93"/>
      <c r="F149" s="93"/>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89"/>
      <c r="D150" s="89"/>
      <c r="E150" s="93"/>
      <c r="F150" s="93"/>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89"/>
      <c r="D151" s="89"/>
      <c r="E151" s="93"/>
      <c r="F151" s="93"/>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89"/>
      <c r="D152" s="89"/>
      <c r="E152" s="93"/>
      <c r="F152" s="93"/>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89"/>
      <c r="D153" s="89"/>
      <c r="E153" s="93"/>
      <c r="F153" s="93"/>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89"/>
      <c r="D154" s="89"/>
      <c r="E154" s="93"/>
      <c r="F154" s="93"/>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89"/>
      <c r="D155" s="89"/>
      <c r="E155" s="93"/>
      <c r="F155" s="93"/>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89"/>
      <c r="D156" s="89"/>
      <c r="E156" s="93"/>
      <c r="F156" s="93"/>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89"/>
      <c r="D157" s="89"/>
      <c r="E157" s="93"/>
      <c r="F157" s="93"/>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89"/>
      <c r="D158" s="89"/>
      <c r="E158" s="93"/>
      <c r="F158" s="93"/>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89"/>
      <c r="D159" s="89"/>
      <c r="E159" s="93"/>
      <c r="F159" s="93"/>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89"/>
      <c r="D160" s="89"/>
      <c r="E160" s="93"/>
      <c r="F160" s="93"/>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89"/>
      <c r="D161" s="89"/>
      <c r="E161" s="93"/>
      <c r="F161" s="93"/>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89"/>
      <c r="D162" s="89"/>
      <c r="E162" s="93"/>
      <c r="F162" s="93"/>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89"/>
      <c r="D163" s="89"/>
      <c r="E163" s="93"/>
      <c r="F163" s="93"/>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89"/>
      <c r="D164" s="89"/>
      <c r="E164" s="93"/>
      <c r="F164" s="93"/>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89"/>
      <c r="D165" s="89"/>
      <c r="E165" s="93"/>
      <c r="F165" s="93"/>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89"/>
      <c r="D166" s="89"/>
      <c r="E166" s="93"/>
      <c r="F166" s="93"/>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89"/>
      <c r="D167" s="89"/>
      <c r="E167" s="93"/>
      <c r="F167" s="93"/>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89"/>
      <c r="D168" s="89"/>
      <c r="E168" s="93"/>
      <c r="F168" s="93"/>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89"/>
      <c r="D169" s="89"/>
      <c r="E169" s="93"/>
      <c r="F169" s="93"/>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89"/>
      <c r="D170" s="89"/>
      <c r="E170" s="93"/>
      <c r="F170" s="93"/>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89"/>
      <c r="D171" s="89"/>
      <c r="E171" s="93"/>
      <c r="F171" s="93"/>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89"/>
      <c r="D172" s="89"/>
      <c r="E172" s="93"/>
      <c r="F172" s="93"/>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89"/>
      <c r="D173" s="89"/>
      <c r="E173" s="93"/>
      <c r="F173" s="93"/>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89"/>
      <c r="D174" s="89"/>
      <c r="E174" s="93"/>
      <c r="F174" s="93"/>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89"/>
      <c r="D175" s="89"/>
      <c r="E175" s="93"/>
      <c r="F175" s="93"/>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89"/>
      <c r="D176" s="89"/>
      <c r="E176" s="93"/>
      <c r="F176" s="93"/>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89"/>
      <c r="D177" s="89"/>
      <c r="E177" s="93"/>
      <c r="F177" s="93"/>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89"/>
      <c r="D178" s="89"/>
      <c r="E178" s="93"/>
      <c r="F178" s="93"/>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89"/>
      <c r="D179" s="89"/>
      <c r="E179" s="93"/>
      <c r="F179" s="93"/>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89"/>
      <c r="D180" s="89"/>
      <c r="E180" s="93"/>
      <c r="F180" s="93"/>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89"/>
      <c r="D181" s="89"/>
      <c r="E181" s="93"/>
      <c r="F181" s="93"/>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89"/>
      <c r="D182" s="89"/>
      <c r="E182" s="93"/>
      <c r="F182" s="93"/>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89"/>
      <c r="D183" s="89"/>
      <c r="E183" s="93"/>
      <c r="F183" s="93"/>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89"/>
      <c r="D184" s="89"/>
      <c r="E184" s="93"/>
      <c r="F184" s="93"/>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89"/>
      <c r="D185" s="89"/>
      <c r="E185" s="93"/>
      <c r="F185" s="93"/>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89"/>
      <c r="D186" s="89"/>
      <c r="E186" s="93"/>
      <c r="F186" s="93"/>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89"/>
      <c r="D187" s="89"/>
      <c r="E187" s="93"/>
      <c r="F187" s="93"/>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89"/>
      <c r="D188" s="89"/>
      <c r="E188" s="93"/>
      <c r="F188" s="93"/>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89"/>
      <c r="D189" s="89"/>
      <c r="E189" s="93"/>
      <c r="F189" s="93"/>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89"/>
      <c r="D190" s="89"/>
      <c r="E190" s="93"/>
      <c r="F190" s="93"/>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89"/>
      <c r="D191" s="89"/>
      <c r="E191" s="93"/>
      <c r="F191" s="93"/>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89"/>
      <c r="D192" s="89"/>
      <c r="E192" s="93"/>
      <c r="F192" s="93"/>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89"/>
      <c r="D193" s="89"/>
      <c r="E193" s="93"/>
      <c r="F193" s="93"/>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89"/>
      <c r="D194" s="89"/>
      <c r="E194" s="93"/>
      <c r="F194" s="93"/>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89"/>
      <c r="D195" s="89"/>
      <c r="E195" s="93"/>
      <c r="F195" s="93"/>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89"/>
      <c r="D196" s="89"/>
      <c r="E196" s="93"/>
      <c r="F196" s="93"/>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89"/>
      <c r="D197" s="89"/>
      <c r="E197" s="93"/>
      <c r="F197" s="93"/>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89"/>
      <c r="D198" s="89"/>
      <c r="E198" s="93"/>
      <c r="F198" s="93"/>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89"/>
      <c r="D199" s="89"/>
      <c r="E199" s="93"/>
      <c r="F199" s="93"/>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89"/>
      <c r="D200" s="89"/>
      <c r="E200" s="93"/>
      <c r="F200" s="93"/>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89"/>
      <c r="D201" s="89"/>
      <c r="E201" s="93"/>
      <c r="F201" s="93"/>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89"/>
      <c r="D202" s="89"/>
      <c r="E202" s="93"/>
      <c r="F202" s="93"/>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89"/>
      <c r="D203" s="89"/>
      <c r="E203" s="93"/>
      <c r="F203" s="93"/>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89"/>
      <c r="D204" s="89"/>
      <c r="E204" s="93"/>
      <c r="F204" s="93"/>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89"/>
      <c r="D205" s="89"/>
      <c r="E205" s="93"/>
      <c r="F205" s="93"/>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89"/>
      <c r="D206" s="89"/>
      <c r="E206" s="93"/>
      <c r="F206" s="93"/>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89"/>
      <c r="D207" s="89"/>
      <c r="E207" s="93"/>
      <c r="F207" s="93"/>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89"/>
      <c r="D208" s="89"/>
      <c r="E208" s="93"/>
      <c r="F208" s="93"/>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89"/>
      <c r="D209" s="89"/>
      <c r="E209" s="93"/>
      <c r="F209" s="93"/>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89"/>
      <c r="D210" s="89"/>
      <c r="E210" s="93"/>
      <c r="F210" s="93"/>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89"/>
      <c r="D211" s="89"/>
      <c r="E211" s="93"/>
      <c r="F211" s="93"/>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89"/>
      <c r="D212" s="89"/>
      <c r="E212" s="93"/>
      <c r="F212" s="93"/>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89"/>
      <c r="D213" s="89"/>
      <c r="E213" s="93"/>
      <c r="F213" s="93"/>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89"/>
      <c r="D214" s="89"/>
      <c r="E214" s="93"/>
      <c r="F214" s="93"/>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89"/>
      <c r="D215" s="89"/>
      <c r="E215" s="93"/>
      <c r="F215" s="93"/>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89"/>
      <c r="D216" s="89"/>
      <c r="E216" s="93"/>
      <c r="F216" s="93"/>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89"/>
      <c r="D217" s="89"/>
      <c r="E217" s="93"/>
      <c r="F217" s="93"/>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89"/>
      <c r="D218" s="89"/>
      <c r="E218" s="93"/>
      <c r="F218" s="93"/>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89"/>
      <c r="D219" s="89"/>
      <c r="E219" s="93"/>
      <c r="F219" s="93"/>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89"/>
      <c r="D220" s="89"/>
      <c r="E220" s="93"/>
      <c r="F220" s="93"/>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89"/>
      <c r="D221" s="89"/>
      <c r="E221" s="93"/>
      <c r="F221" s="93"/>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89"/>
      <c r="D222" s="89"/>
      <c r="E222" s="93"/>
      <c r="F222" s="93"/>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89"/>
      <c r="D223" s="89"/>
      <c r="E223" s="93"/>
      <c r="F223" s="93"/>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89"/>
      <c r="D224" s="89"/>
      <c r="E224" s="93"/>
      <c r="F224" s="93"/>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89"/>
      <c r="D225" s="89"/>
      <c r="E225" s="93"/>
      <c r="F225" s="93"/>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89"/>
      <c r="D226" s="89"/>
      <c r="E226" s="93"/>
      <c r="F226" s="93"/>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89"/>
      <c r="D227" s="89"/>
      <c r="E227" s="93"/>
      <c r="F227" s="93"/>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89"/>
      <c r="D228" s="89"/>
      <c r="E228" s="93"/>
      <c r="F228" s="93"/>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89"/>
      <c r="D229" s="89"/>
      <c r="E229" s="93"/>
      <c r="F229" s="93"/>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89"/>
      <c r="D230" s="89"/>
      <c r="E230" s="93"/>
      <c r="F230" s="93"/>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89"/>
      <c r="D231" s="89"/>
      <c r="E231" s="93"/>
      <c r="F231" s="93"/>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89"/>
      <c r="D232" s="89"/>
      <c r="E232" s="93"/>
      <c r="F232" s="93"/>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89"/>
      <c r="D233" s="89"/>
      <c r="E233" s="93"/>
      <c r="F233" s="93"/>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89"/>
      <c r="D234" s="89"/>
      <c r="E234" s="93"/>
      <c r="F234" s="93"/>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89"/>
      <c r="D235" s="89"/>
      <c r="E235" s="93"/>
      <c r="F235" s="93"/>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89"/>
      <c r="D236" s="89"/>
      <c r="E236" s="93"/>
      <c r="F236" s="93"/>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89"/>
      <c r="D237" s="89"/>
      <c r="E237" s="93"/>
      <c r="F237" s="93"/>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89"/>
      <c r="D238" s="89"/>
      <c r="E238" s="93"/>
      <c r="F238" s="93"/>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89"/>
      <c r="D239" s="89"/>
      <c r="E239" s="93"/>
      <c r="F239" s="93"/>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89"/>
      <c r="D240" s="89"/>
      <c r="E240" s="93"/>
      <c r="F240" s="93"/>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89"/>
      <c r="D241" s="89"/>
      <c r="E241" s="93"/>
      <c r="F241" s="93"/>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89"/>
      <c r="D242" s="89"/>
      <c r="E242" s="93"/>
      <c r="F242" s="93"/>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89"/>
      <c r="D243" s="89"/>
      <c r="E243" s="93"/>
      <c r="F243" s="93"/>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89"/>
      <c r="D244" s="89"/>
      <c r="E244" s="93"/>
      <c r="F244" s="93"/>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89"/>
      <c r="D245" s="89"/>
      <c r="E245" s="93"/>
      <c r="F245" s="93"/>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89"/>
      <c r="D246" s="89"/>
      <c r="E246" s="93"/>
      <c r="F246" s="93"/>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89"/>
      <c r="D247" s="89"/>
      <c r="E247" s="93"/>
      <c r="F247" s="93"/>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89"/>
      <c r="D248" s="89"/>
      <c r="E248" s="93"/>
      <c r="F248" s="93"/>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89"/>
      <c r="D249" s="89"/>
      <c r="E249" s="93"/>
      <c r="F249" s="93"/>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89"/>
      <c r="D250" s="89"/>
      <c r="E250" s="93"/>
      <c r="F250" s="93"/>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89"/>
      <c r="D251" s="89"/>
      <c r="E251" s="93"/>
      <c r="F251" s="93"/>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89"/>
      <c r="D252" s="89"/>
      <c r="E252" s="93"/>
      <c r="F252" s="93"/>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89"/>
      <c r="D253" s="89"/>
      <c r="E253" s="93"/>
      <c r="F253" s="93"/>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89"/>
      <c r="D254" s="89"/>
      <c r="E254" s="93"/>
      <c r="F254" s="93"/>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89"/>
      <c r="D255" s="89"/>
      <c r="E255" s="93"/>
      <c r="F255" s="93"/>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89"/>
      <c r="D256" s="89"/>
      <c r="E256" s="93"/>
      <c r="F256" s="93"/>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89"/>
      <c r="D257" s="89"/>
      <c r="E257" s="93"/>
      <c r="F257" s="93"/>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89"/>
      <c r="D258" s="89"/>
      <c r="E258" s="93"/>
      <c r="F258" s="93"/>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89"/>
      <c r="D259" s="89"/>
      <c r="E259" s="93"/>
      <c r="F259" s="93"/>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89"/>
      <c r="D260" s="89"/>
      <c r="E260" s="93"/>
      <c r="F260" s="93"/>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89"/>
      <c r="D261" s="89"/>
      <c r="E261" s="93"/>
      <c r="F261" s="93"/>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89"/>
      <c r="D262" s="89"/>
      <c r="E262" s="93"/>
      <c r="F262" s="93"/>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89"/>
      <c r="D263" s="89"/>
      <c r="E263" s="93"/>
      <c r="F263" s="93"/>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89"/>
      <c r="D264" s="89"/>
      <c r="E264" s="93"/>
      <c r="F264" s="93"/>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89"/>
      <c r="D265" s="89"/>
      <c r="E265" s="93"/>
      <c r="F265" s="93"/>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89"/>
      <c r="D266" s="89"/>
      <c r="E266" s="93"/>
      <c r="F266" s="93"/>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89"/>
      <c r="D267" s="89"/>
      <c r="E267" s="93"/>
      <c r="F267" s="93"/>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89"/>
      <c r="D268" s="89"/>
      <c r="E268" s="93"/>
      <c r="F268" s="93"/>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89"/>
      <c r="D269" s="89"/>
      <c r="E269" s="93"/>
      <c r="F269" s="93"/>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89"/>
      <c r="D270" s="89"/>
      <c r="E270" s="93"/>
      <c r="F270" s="93"/>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89"/>
      <c r="D271" s="89"/>
      <c r="E271" s="93"/>
      <c r="F271" s="93"/>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89"/>
      <c r="D272" s="89"/>
      <c r="E272" s="93"/>
      <c r="F272" s="93"/>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89"/>
      <c r="D273" s="89"/>
      <c r="E273" s="93"/>
      <c r="F273" s="93"/>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89"/>
      <c r="D274" s="89"/>
      <c r="E274" s="93"/>
      <c r="F274" s="93"/>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89"/>
      <c r="D275" s="89"/>
      <c r="E275" s="93"/>
      <c r="F275" s="93"/>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89"/>
      <c r="D276" s="89"/>
      <c r="E276" s="93"/>
      <c r="F276" s="93"/>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89"/>
      <c r="D277" s="89"/>
      <c r="E277" s="93"/>
      <c r="F277" s="93"/>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89"/>
      <c r="D278" s="89"/>
      <c r="E278" s="93"/>
      <c r="F278" s="93"/>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89"/>
      <c r="D279" s="89"/>
      <c r="E279" s="93"/>
      <c r="F279" s="93"/>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89"/>
      <c r="D280" s="89"/>
      <c r="E280" s="93"/>
      <c r="F280" s="93"/>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89"/>
      <c r="D281" s="89"/>
      <c r="E281" s="93"/>
      <c r="F281" s="93"/>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89"/>
      <c r="D282" s="89"/>
      <c r="E282" s="93"/>
      <c r="F282" s="93"/>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89"/>
      <c r="D283" s="89"/>
      <c r="E283" s="93"/>
      <c r="F283" s="93"/>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89"/>
      <c r="D284" s="89"/>
      <c r="E284" s="93"/>
      <c r="F284" s="93"/>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89"/>
      <c r="D285" s="89"/>
      <c r="E285" s="93"/>
      <c r="F285" s="93"/>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89"/>
      <c r="D286" s="89"/>
      <c r="E286" s="93"/>
      <c r="F286" s="93"/>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89"/>
      <c r="D287" s="89"/>
      <c r="E287" s="93"/>
      <c r="F287" s="93"/>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89"/>
      <c r="D288" s="89"/>
      <c r="E288" s="93"/>
      <c r="F288" s="93"/>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89"/>
      <c r="D289" s="89"/>
      <c r="E289" s="93"/>
      <c r="F289" s="93"/>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89"/>
      <c r="D290" s="89"/>
      <c r="E290" s="93"/>
      <c r="F290" s="93"/>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89"/>
      <c r="D291" s="89"/>
      <c r="E291" s="93"/>
      <c r="F291" s="93"/>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89"/>
      <c r="D292" s="89"/>
      <c r="E292" s="93"/>
      <c r="F292" s="93"/>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89"/>
      <c r="D293" s="89"/>
      <c r="E293" s="93"/>
      <c r="F293" s="93"/>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89"/>
      <c r="D294" s="89"/>
      <c r="E294" s="93"/>
      <c r="F294" s="93"/>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89"/>
      <c r="D295" s="89"/>
      <c r="E295" s="93"/>
      <c r="F295" s="93"/>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89"/>
      <c r="D296" s="89"/>
      <c r="E296" s="93"/>
      <c r="F296" s="93"/>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89"/>
      <c r="D297" s="89"/>
      <c r="E297" s="93"/>
      <c r="F297" s="93"/>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89"/>
      <c r="D298" s="89"/>
      <c r="E298" s="93"/>
      <c r="F298" s="93"/>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89"/>
      <c r="D299" s="89"/>
      <c r="E299" s="93"/>
      <c r="F299" s="93"/>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89"/>
      <c r="D300" s="89"/>
      <c r="E300" s="93"/>
      <c r="F300" s="93"/>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89"/>
      <c r="D301" s="89"/>
      <c r="E301" s="93"/>
      <c r="F301" s="93"/>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89"/>
      <c r="D302" s="89"/>
      <c r="E302" s="93"/>
      <c r="F302" s="93"/>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89"/>
      <c r="D303" s="89"/>
      <c r="E303" s="93"/>
      <c r="F303" s="93"/>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89"/>
      <c r="D304" s="89"/>
      <c r="E304" s="93"/>
      <c r="F304" s="93"/>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89"/>
      <c r="D305" s="89"/>
      <c r="E305" s="93"/>
      <c r="F305" s="93"/>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89"/>
      <c r="D306" s="89"/>
      <c r="E306" s="93"/>
      <c r="F306" s="93"/>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89"/>
      <c r="D307" s="89"/>
      <c r="E307" s="93"/>
      <c r="F307" s="93"/>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89"/>
      <c r="D308" s="89"/>
      <c r="E308" s="93"/>
      <c r="F308" s="93"/>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89"/>
      <c r="D309" s="89"/>
      <c r="E309" s="93"/>
      <c r="F309" s="93"/>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89"/>
      <c r="D310" s="89"/>
      <c r="E310" s="93"/>
      <c r="F310" s="93"/>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89"/>
      <c r="D311" s="89"/>
      <c r="E311" s="93"/>
      <c r="F311" s="93"/>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89"/>
      <c r="D312" s="89"/>
      <c r="E312" s="93"/>
      <c r="F312" s="93"/>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89"/>
      <c r="D313" s="89"/>
      <c r="E313" s="93"/>
      <c r="F313" s="93"/>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89"/>
      <c r="D314" s="89"/>
      <c r="E314" s="93"/>
      <c r="F314" s="93"/>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89"/>
      <c r="D315" s="89"/>
      <c r="E315" s="93"/>
      <c r="F315" s="93"/>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89"/>
      <c r="D316" s="89"/>
      <c r="E316" s="93"/>
      <c r="F316" s="93"/>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89"/>
      <c r="D317" s="89"/>
      <c r="E317" s="93"/>
      <c r="F317" s="93"/>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89"/>
      <c r="D318" s="89"/>
      <c r="E318" s="93"/>
      <c r="F318" s="93"/>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89"/>
      <c r="D319" s="89"/>
      <c r="E319" s="93"/>
      <c r="F319" s="93"/>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89"/>
      <c r="D320" s="89"/>
      <c r="E320" s="93"/>
      <c r="F320" s="93"/>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89"/>
      <c r="D321" s="89"/>
      <c r="E321" s="93"/>
      <c r="F321" s="93"/>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89"/>
      <c r="D322" s="89"/>
      <c r="E322" s="93"/>
      <c r="F322" s="93"/>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89"/>
      <c r="D323" s="89"/>
      <c r="E323" s="93"/>
      <c r="F323" s="93"/>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89"/>
      <c r="D324" s="89"/>
      <c r="E324" s="93"/>
      <c r="F324" s="93"/>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89"/>
      <c r="D325" s="89"/>
      <c r="E325" s="93"/>
      <c r="F325" s="93"/>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89"/>
      <c r="D326" s="89"/>
      <c r="E326" s="93"/>
      <c r="F326" s="93"/>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89"/>
      <c r="D327" s="89"/>
      <c r="E327" s="93"/>
      <c r="F327" s="93"/>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89"/>
      <c r="D328" s="89"/>
      <c r="E328" s="93"/>
      <c r="F328" s="93"/>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89"/>
      <c r="D329" s="89"/>
      <c r="E329" s="93"/>
      <c r="F329" s="93"/>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89"/>
      <c r="D330" s="89"/>
      <c r="E330" s="93"/>
      <c r="F330" s="93"/>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89"/>
      <c r="D331" s="89"/>
      <c r="E331" s="93"/>
      <c r="F331" s="93"/>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89"/>
      <c r="D332" s="89"/>
      <c r="E332" s="93"/>
      <c r="F332" s="93"/>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89"/>
      <c r="D333" s="89"/>
      <c r="E333" s="93"/>
      <c r="F333" s="93"/>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89"/>
      <c r="D334" s="89"/>
      <c r="E334" s="93"/>
      <c r="F334" s="93"/>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89"/>
      <c r="D335" s="89"/>
      <c r="E335" s="93"/>
      <c r="F335" s="93"/>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89"/>
      <c r="D336" s="89"/>
      <c r="E336" s="93"/>
      <c r="F336" s="93"/>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89"/>
      <c r="D337" s="89"/>
      <c r="E337" s="93"/>
      <c r="F337" s="93"/>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89"/>
      <c r="D338" s="89"/>
      <c r="E338" s="93"/>
      <c r="F338" s="93"/>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89"/>
      <c r="D339" s="89"/>
      <c r="E339" s="93"/>
      <c r="F339" s="93"/>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89"/>
      <c r="D340" s="89"/>
      <c r="E340" s="93"/>
      <c r="F340" s="93"/>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89"/>
      <c r="D341" s="89"/>
      <c r="E341" s="93"/>
      <c r="F341" s="93"/>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89"/>
      <c r="D342" s="89"/>
      <c r="E342" s="93"/>
      <c r="F342" s="93"/>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89"/>
      <c r="D343" s="89"/>
      <c r="E343" s="93"/>
      <c r="F343" s="93"/>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89"/>
      <c r="D344" s="89"/>
      <c r="E344" s="93"/>
      <c r="F344" s="93"/>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89"/>
      <c r="D345" s="89"/>
      <c r="E345" s="93"/>
      <c r="F345" s="93"/>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89"/>
      <c r="D346" s="89"/>
      <c r="E346" s="93"/>
      <c r="F346" s="93"/>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89"/>
      <c r="D347" s="89"/>
      <c r="E347" s="93"/>
      <c r="F347" s="93"/>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89"/>
      <c r="D348" s="89"/>
      <c r="E348" s="93"/>
      <c r="F348" s="93"/>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89"/>
      <c r="D349" s="89"/>
      <c r="E349" s="93"/>
      <c r="F349" s="93"/>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89"/>
      <c r="D350" s="89"/>
      <c r="E350" s="93"/>
      <c r="F350" s="93"/>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89"/>
      <c r="D351" s="89"/>
      <c r="E351" s="93"/>
      <c r="F351" s="93"/>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89"/>
      <c r="D352" s="89"/>
      <c r="E352" s="93"/>
      <c r="F352" s="93"/>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89"/>
      <c r="D353" s="89"/>
      <c r="E353" s="93"/>
      <c r="F353" s="93"/>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89"/>
      <c r="D354" s="89"/>
      <c r="E354" s="93"/>
      <c r="F354" s="93"/>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89"/>
      <c r="D355" s="89"/>
      <c r="E355" s="93"/>
      <c r="F355" s="93"/>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89"/>
      <c r="D356" s="89"/>
      <c r="E356" s="93"/>
      <c r="F356" s="93"/>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89"/>
      <c r="D357" s="89"/>
      <c r="E357" s="93"/>
      <c r="F357" s="93"/>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89"/>
      <c r="D358" s="89"/>
      <c r="E358" s="93"/>
      <c r="F358" s="93"/>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89"/>
      <c r="D359" s="89"/>
      <c r="E359" s="93"/>
      <c r="F359" s="93"/>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89"/>
      <c r="D360" s="89"/>
      <c r="E360" s="93"/>
      <c r="F360" s="93"/>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89"/>
      <c r="D361" s="89"/>
      <c r="E361" s="93"/>
      <c r="F361" s="93"/>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89"/>
      <c r="D362" s="89"/>
      <c r="E362" s="93"/>
      <c r="F362" s="93"/>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89"/>
      <c r="D363" s="89"/>
      <c r="E363" s="93"/>
      <c r="F363" s="93"/>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89"/>
      <c r="D364" s="89"/>
      <c r="E364" s="93"/>
      <c r="F364" s="93"/>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89"/>
      <c r="D365" s="89"/>
      <c r="E365" s="93"/>
      <c r="F365" s="93"/>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89"/>
      <c r="D366" s="89"/>
      <c r="E366" s="93"/>
      <c r="F366" s="93"/>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89"/>
      <c r="D367" s="89"/>
      <c r="E367" s="93"/>
      <c r="F367" s="93"/>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89"/>
      <c r="D368" s="89"/>
      <c r="E368" s="93"/>
      <c r="F368" s="93"/>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89"/>
      <c r="D369" s="89"/>
      <c r="E369" s="93"/>
      <c r="F369" s="93"/>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89"/>
      <c r="D370" s="89"/>
      <c r="E370" s="93"/>
      <c r="F370" s="93"/>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89"/>
      <c r="D371" s="89"/>
      <c r="E371" s="93"/>
      <c r="F371" s="93"/>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89"/>
      <c r="D372" s="89"/>
      <c r="E372" s="93"/>
      <c r="F372" s="93"/>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89"/>
      <c r="D373" s="89"/>
      <c r="E373" s="93"/>
      <c r="F373" s="93"/>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89"/>
      <c r="D374" s="89"/>
      <c r="E374" s="93"/>
      <c r="F374" s="93"/>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89"/>
      <c r="D375" s="89"/>
      <c r="E375" s="93"/>
      <c r="F375" s="93"/>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89"/>
      <c r="D376" s="89"/>
      <c r="E376" s="93"/>
      <c r="F376" s="93"/>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89"/>
      <c r="D377" s="89"/>
      <c r="E377" s="93"/>
      <c r="F377" s="93"/>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89"/>
      <c r="D378" s="89"/>
      <c r="E378" s="93"/>
      <c r="F378" s="93"/>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89"/>
      <c r="D379" s="89"/>
      <c r="E379" s="93"/>
      <c r="F379" s="93"/>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89"/>
      <c r="D380" s="89"/>
      <c r="E380" s="93"/>
      <c r="F380" s="93"/>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89"/>
      <c r="D381" s="89"/>
      <c r="E381" s="93"/>
      <c r="F381" s="93"/>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89"/>
      <c r="D382" s="89"/>
      <c r="E382" s="93"/>
      <c r="F382" s="93"/>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89"/>
      <c r="D383" s="89"/>
      <c r="E383" s="93"/>
      <c r="F383" s="93"/>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89"/>
      <c r="D384" s="89"/>
      <c r="E384" s="93"/>
      <c r="F384" s="93"/>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89"/>
      <c r="D385" s="89"/>
      <c r="E385" s="93"/>
      <c r="F385" s="93"/>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89"/>
      <c r="D386" s="89"/>
      <c r="E386" s="93"/>
      <c r="F386" s="93"/>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89"/>
      <c r="D387" s="89"/>
      <c r="E387" s="93"/>
      <c r="F387" s="93"/>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89"/>
      <c r="D388" s="89"/>
      <c r="E388" s="93"/>
      <c r="F388" s="93"/>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89"/>
      <c r="D389" s="89"/>
      <c r="E389" s="93"/>
      <c r="F389" s="93"/>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89"/>
      <c r="D390" s="89"/>
      <c r="E390" s="93"/>
      <c r="F390" s="93"/>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89"/>
      <c r="D391" s="89"/>
      <c r="E391" s="93"/>
      <c r="F391" s="93"/>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89"/>
      <c r="D392" s="89"/>
      <c r="E392" s="93"/>
      <c r="F392" s="93"/>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89"/>
      <c r="D393" s="89"/>
      <c r="E393" s="93"/>
      <c r="F393" s="93"/>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89"/>
      <c r="D394" s="89"/>
      <c r="E394" s="93"/>
      <c r="F394" s="93"/>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89"/>
      <c r="D395" s="89"/>
      <c r="E395" s="93"/>
      <c r="F395" s="93"/>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89"/>
      <c r="D396" s="89"/>
      <c r="E396" s="93"/>
      <c r="F396" s="93"/>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89"/>
      <c r="D397" s="89"/>
      <c r="E397" s="93"/>
      <c r="F397" s="93"/>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89"/>
      <c r="D398" s="89"/>
      <c r="E398" s="93"/>
      <c r="F398" s="93"/>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89"/>
      <c r="D399" s="89"/>
      <c r="E399" s="93"/>
      <c r="F399" s="93"/>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89"/>
      <c r="D400" s="89"/>
      <c r="E400" s="93"/>
      <c r="F400" s="93"/>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89"/>
      <c r="D401" s="89"/>
      <c r="E401" s="93"/>
      <c r="F401" s="93"/>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89"/>
      <c r="D402" s="89"/>
      <c r="E402" s="93"/>
      <c r="F402" s="93"/>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89"/>
      <c r="D403" s="89"/>
      <c r="E403" s="93"/>
      <c r="F403" s="93"/>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89"/>
      <c r="D404" s="89"/>
      <c r="E404" s="93"/>
      <c r="F404" s="93"/>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89"/>
      <c r="D405" s="89"/>
      <c r="E405" s="93"/>
      <c r="F405" s="93"/>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89"/>
      <c r="D406" s="89"/>
      <c r="E406" s="93"/>
      <c r="F406" s="93"/>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89"/>
      <c r="D407" s="89"/>
      <c r="E407" s="93"/>
      <c r="F407" s="93"/>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89"/>
      <c r="D408" s="89"/>
      <c r="E408" s="93"/>
      <c r="F408" s="93"/>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89"/>
      <c r="D409" s="89"/>
      <c r="E409" s="93"/>
      <c r="F409" s="93"/>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89"/>
      <c r="D410" s="89"/>
      <c r="E410" s="93"/>
      <c r="F410" s="93"/>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89"/>
      <c r="D411" s="89"/>
      <c r="E411" s="93"/>
      <c r="F411" s="93"/>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89"/>
      <c r="D412" s="89"/>
      <c r="E412" s="93"/>
      <c r="F412" s="93"/>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89"/>
      <c r="D413" s="89"/>
      <c r="E413" s="93"/>
      <c r="F413" s="93"/>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89"/>
      <c r="D414" s="89"/>
      <c r="E414" s="93"/>
      <c r="F414" s="93"/>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89"/>
      <c r="D415" s="89"/>
      <c r="E415" s="93"/>
      <c r="F415" s="93"/>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89"/>
      <c r="D416" s="89"/>
      <c r="E416" s="93"/>
      <c r="F416" s="93"/>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89"/>
      <c r="D417" s="89"/>
      <c r="E417" s="93"/>
      <c r="F417" s="93"/>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89"/>
      <c r="D418" s="89"/>
      <c r="E418" s="93"/>
      <c r="F418" s="93"/>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89"/>
      <c r="D419" s="89"/>
      <c r="E419" s="93"/>
      <c r="F419" s="93"/>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89"/>
      <c r="D420" s="89"/>
      <c r="E420" s="93"/>
      <c r="F420" s="93"/>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89"/>
      <c r="D421" s="89"/>
      <c r="E421" s="93"/>
      <c r="F421" s="93"/>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89"/>
      <c r="D422" s="89"/>
      <c r="E422" s="93"/>
      <c r="F422" s="93"/>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89"/>
      <c r="D423" s="89"/>
      <c r="E423" s="93"/>
      <c r="F423" s="93"/>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89"/>
      <c r="D424" s="89"/>
      <c r="E424" s="93"/>
      <c r="F424" s="93"/>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89"/>
      <c r="D425" s="89"/>
      <c r="E425" s="93"/>
      <c r="F425" s="93"/>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89"/>
      <c r="D426" s="89"/>
      <c r="E426" s="93"/>
      <c r="F426" s="93"/>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89"/>
      <c r="D427" s="89"/>
      <c r="E427" s="93"/>
      <c r="F427" s="93"/>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89"/>
      <c r="D428" s="89"/>
      <c r="E428" s="93"/>
      <c r="F428" s="93"/>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89"/>
      <c r="D429" s="89"/>
      <c r="E429" s="93"/>
      <c r="F429" s="93"/>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89"/>
      <c r="D430" s="89"/>
      <c r="E430" s="93"/>
      <c r="F430" s="93"/>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89"/>
      <c r="D431" s="89"/>
      <c r="E431" s="93"/>
      <c r="F431" s="93"/>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89"/>
      <c r="D432" s="89"/>
      <c r="E432" s="93"/>
      <c r="F432" s="93"/>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89"/>
      <c r="D433" s="89"/>
      <c r="E433" s="93"/>
      <c r="F433" s="93"/>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89"/>
      <c r="D434" s="89"/>
      <c r="E434" s="93"/>
      <c r="F434" s="93"/>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89"/>
      <c r="D435" s="89"/>
      <c r="E435" s="93"/>
      <c r="F435" s="93"/>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89"/>
      <c r="D436" s="89"/>
      <c r="E436" s="93"/>
      <c r="F436" s="93"/>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89"/>
      <c r="D437" s="89"/>
      <c r="E437" s="93"/>
      <c r="F437" s="93"/>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89"/>
      <c r="D438" s="89"/>
      <c r="E438" s="93"/>
      <c r="F438" s="93"/>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89"/>
      <c r="D439" s="89"/>
      <c r="E439" s="93"/>
      <c r="F439" s="93"/>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89"/>
      <c r="D440" s="89"/>
      <c r="E440" s="93"/>
      <c r="F440" s="93"/>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89"/>
      <c r="D441" s="89"/>
      <c r="E441" s="93"/>
      <c r="F441" s="93"/>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89"/>
      <c r="D442" s="89"/>
      <c r="E442" s="93"/>
      <c r="F442" s="93"/>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89"/>
      <c r="D443" s="89"/>
      <c r="E443" s="93"/>
      <c r="F443" s="93"/>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89"/>
      <c r="D444" s="89"/>
      <c r="E444" s="93"/>
      <c r="F444" s="93"/>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89"/>
      <c r="D445" s="89"/>
      <c r="E445" s="93"/>
      <c r="F445" s="93"/>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89"/>
      <c r="D446" s="89"/>
      <c r="E446" s="93"/>
      <c r="F446" s="93"/>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89"/>
      <c r="D447" s="89"/>
      <c r="E447" s="93"/>
      <c r="F447" s="93"/>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89"/>
      <c r="D448" s="89"/>
      <c r="E448" s="93"/>
      <c r="F448" s="93"/>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89"/>
      <c r="D449" s="89"/>
      <c r="E449" s="93"/>
      <c r="F449" s="93"/>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89"/>
      <c r="D450" s="89"/>
      <c r="E450" s="93"/>
      <c r="F450" s="93"/>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89"/>
      <c r="D451" s="89"/>
      <c r="E451" s="93"/>
      <c r="F451" s="93"/>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89"/>
      <c r="D452" s="89"/>
      <c r="E452" s="93"/>
      <c r="F452" s="93"/>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89"/>
      <c r="D453" s="89"/>
      <c r="E453" s="93"/>
      <c r="F453" s="93"/>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89"/>
      <c r="D454" s="89"/>
      <c r="E454" s="93"/>
      <c r="F454" s="93"/>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89"/>
      <c r="D455" s="89"/>
      <c r="E455" s="93"/>
      <c r="F455" s="93"/>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89"/>
      <c r="D456" s="89"/>
      <c r="E456" s="93"/>
      <c r="F456" s="93"/>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89"/>
      <c r="D457" s="89"/>
      <c r="E457" s="93"/>
      <c r="F457" s="93"/>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89"/>
      <c r="D458" s="89"/>
      <c r="E458" s="93"/>
      <c r="F458" s="93"/>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89"/>
      <c r="D459" s="89"/>
      <c r="E459" s="93"/>
      <c r="F459" s="93"/>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89"/>
      <c r="D460" s="89"/>
      <c r="E460" s="93"/>
      <c r="F460" s="93"/>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89"/>
      <c r="D461" s="89"/>
      <c r="E461" s="93"/>
      <c r="F461" s="93"/>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89"/>
      <c r="D462" s="89"/>
      <c r="E462" s="93"/>
      <c r="F462" s="93"/>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89"/>
      <c r="D463" s="89"/>
      <c r="E463" s="93"/>
      <c r="F463" s="93"/>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89"/>
      <c r="D464" s="89"/>
      <c r="E464" s="93"/>
      <c r="F464" s="93"/>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89"/>
      <c r="D465" s="89"/>
      <c r="E465" s="93"/>
      <c r="F465" s="93"/>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89"/>
      <c r="D466" s="89"/>
      <c r="E466" s="93"/>
      <c r="F466" s="93"/>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89"/>
      <c r="D467" s="89"/>
      <c r="E467" s="93"/>
      <c r="F467" s="93"/>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89"/>
      <c r="D468" s="89"/>
      <c r="E468" s="93"/>
      <c r="F468" s="93"/>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89"/>
      <c r="D469" s="89"/>
      <c r="E469" s="93"/>
      <c r="F469" s="93"/>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89"/>
      <c r="D470" s="89"/>
      <c r="E470" s="93"/>
      <c r="F470" s="93"/>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89"/>
      <c r="D471" s="89"/>
      <c r="E471" s="93"/>
      <c r="F471" s="93"/>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89"/>
      <c r="D472" s="89"/>
      <c r="E472" s="93"/>
      <c r="F472" s="93"/>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89"/>
      <c r="D473" s="89"/>
      <c r="E473" s="93"/>
      <c r="F473" s="93"/>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89"/>
      <c r="D474" s="89"/>
      <c r="E474" s="93"/>
      <c r="F474" s="93"/>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89"/>
      <c r="D475" s="89"/>
      <c r="E475" s="93"/>
      <c r="F475" s="93"/>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89"/>
      <c r="D476" s="89"/>
      <c r="E476" s="93"/>
      <c r="F476" s="93"/>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89"/>
      <c r="D477" s="89"/>
      <c r="E477" s="93"/>
      <c r="F477" s="93"/>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89"/>
      <c r="D478" s="89"/>
      <c r="E478" s="93"/>
      <c r="F478" s="93"/>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89"/>
      <c r="D479" s="89"/>
      <c r="E479" s="93"/>
      <c r="F479" s="93"/>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89"/>
      <c r="D480" s="89"/>
      <c r="E480" s="93"/>
      <c r="F480" s="93"/>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89"/>
      <c r="D481" s="89"/>
      <c r="E481" s="93"/>
      <c r="F481" s="93"/>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89"/>
      <c r="D482" s="89"/>
      <c r="E482" s="93"/>
      <c r="F482" s="93"/>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89"/>
      <c r="D483" s="89"/>
      <c r="E483" s="93"/>
      <c r="F483" s="93"/>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89"/>
      <c r="D484" s="89"/>
      <c r="E484" s="93"/>
      <c r="F484" s="93"/>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89"/>
      <c r="D485" s="89"/>
      <c r="E485" s="93"/>
      <c r="F485" s="93"/>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89"/>
      <c r="D486" s="89"/>
      <c r="E486" s="93"/>
      <c r="F486" s="93"/>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89"/>
      <c r="D487" s="89"/>
      <c r="E487" s="93"/>
      <c r="F487" s="93"/>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89"/>
      <c r="D488" s="89"/>
      <c r="E488" s="93"/>
      <c r="F488" s="93"/>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89"/>
      <c r="D489" s="89"/>
      <c r="E489" s="93"/>
      <c r="F489" s="93"/>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89"/>
      <c r="D490" s="89"/>
      <c r="E490" s="93"/>
      <c r="F490" s="93"/>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89"/>
      <c r="D491" s="89"/>
      <c r="E491" s="93"/>
      <c r="F491" s="93"/>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89"/>
      <c r="D492" s="89"/>
      <c r="E492" s="93"/>
      <c r="F492" s="93"/>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89"/>
      <c r="D493" s="89"/>
      <c r="E493" s="93"/>
      <c r="F493" s="93"/>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89"/>
      <c r="D494" s="89"/>
      <c r="E494" s="93"/>
      <c r="F494" s="93"/>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89"/>
      <c r="D495" s="89"/>
      <c r="E495" s="93"/>
      <c r="F495" s="93"/>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89"/>
      <c r="D496" s="89"/>
      <c r="E496" s="93"/>
      <c r="F496" s="93"/>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89"/>
      <c r="D497" s="89"/>
      <c r="E497" s="93"/>
      <c r="F497" s="93"/>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89"/>
      <c r="D498" s="89"/>
      <c r="E498" s="93"/>
      <c r="F498" s="93"/>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89"/>
      <c r="D499" s="89"/>
      <c r="E499" s="93"/>
      <c r="F499" s="93"/>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89"/>
      <c r="D500" s="89"/>
      <c r="E500" s="93"/>
      <c r="F500" s="93"/>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89"/>
      <c r="D501" s="89"/>
      <c r="E501" s="93"/>
      <c r="F501" s="93"/>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89"/>
      <c r="D502" s="89"/>
      <c r="E502" s="93"/>
      <c r="F502" s="93"/>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89"/>
      <c r="D503" s="89"/>
      <c r="E503" s="93"/>
      <c r="F503" s="93"/>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89"/>
      <c r="D504" s="89"/>
      <c r="E504" s="93"/>
      <c r="F504" s="93"/>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89"/>
      <c r="D505" s="89"/>
      <c r="E505" s="93"/>
      <c r="F505" s="93"/>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89"/>
      <c r="D506" s="89"/>
      <c r="E506" s="93"/>
      <c r="F506" s="93"/>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89"/>
      <c r="D507" s="89"/>
      <c r="E507" s="93"/>
      <c r="F507" s="93"/>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89"/>
      <c r="D508" s="89"/>
      <c r="E508" s="93"/>
      <c r="F508" s="93"/>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89"/>
      <c r="D509" s="89"/>
      <c r="E509" s="93"/>
      <c r="F509" s="93"/>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89"/>
      <c r="D510" s="89"/>
      <c r="E510" s="93"/>
      <c r="F510" s="93"/>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89"/>
      <c r="D511" s="89"/>
      <c r="E511" s="93"/>
      <c r="F511" s="93"/>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89"/>
      <c r="D512" s="89"/>
      <c r="E512" s="93"/>
      <c r="F512" s="93"/>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89"/>
      <c r="D513" s="89"/>
      <c r="E513" s="93"/>
      <c r="F513" s="93"/>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89"/>
      <c r="D514" s="89"/>
      <c r="E514" s="93"/>
      <c r="F514" s="93"/>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89"/>
      <c r="D515" s="89"/>
      <c r="E515" s="93"/>
      <c r="F515" s="93"/>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89"/>
      <c r="D516" s="89"/>
      <c r="E516" s="93"/>
      <c r="F516" s="93"/>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89"/>
      <c r="D517" s="89"/>
      <c r="E517" s="93"/>
      <c r="F517" s="93"/>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89"/>
      <c r="D518" s="89"/>
      <c r="E518" s="93"/>
      <c r="F518" s="93"/>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89"/>
      <c r="D519" s="89"/>
      <c r="E519" s="93"/>
      <c r="F519" s="93"/>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89"/>
      <c r="D520" s="89"/>
      <c r="E520" s="93"/>
      <c r="F520" s="93"/>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89"/>
      <c r="D521" s="89"/>
      <c r="E521" s="93"/>
      <c r="F521" s="93"/>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89"/>
      <c r="D522" s="89"/>
      <c r="E522" s="93"/>
      <c r="F522" s="93"/>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89"/>
      <c r="D523" s="89"/>
      <c r="E523" s="93"/>
      <c r="F523" s="93"/>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89"/>
      <c r="D524" s="89"/>
      <c r="E524" s="93"/>
      <c r="F524" s="93"/>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89"/>
      <c r="D525" s="89"/>
      <c r="E525" s="93"/>
      <c r="F525" s="93"/>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89"/>
      <c r="D526" s="89"/>
      <c r="E526" s="93"/>
      <c r="F526" s="93"/>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89"/>
      <c r="D527" s="89"/>
      <c r="E527" s="93"/>
      <c r="F527" s="93"/>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89"/>
      <c r="D528" s="89"/>
      <c r="E528" s="93"/>
      <c r="F528" s="93"/>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89"/>
      <c r="D529" s="89"/>
      <c r="E529" s="93"/>
      <c r="F529" s="93"/>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89"/>
      <c r="D530" s="89"/>
      <c r="E530" s="93"/>
      <c r="F530" s="93"/>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89"/>
      <c r="D531" s="89"/>
      <c r="E531" s="93"/>
      <c r="F531" s="93"/>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89"/>
      <c r="D532" s="89"/>
      <c r="E532" s="93"/>
      <c r="F532" s="93"/>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89"/>
      <c r="D533" s="89"/>
      <c r="E533" s="93"/>
      <c r="F533" s="93"/>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89"/>
      <c r="D534" s="89"/>
      <c r="E534" s="93"/>
      <c r="F534" s="93"/>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89"/>
      <c r="D535" s="89"/>
      <c r="E535" s="93"/>
      <c r="F535" s="93"/>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89"/>
      <c r="D536" s="89"/>
      <c r="E536" s="93"/>
      <c r="F536" s="93"/>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89"/>
      <c r="D537" s="89"/>
      <c r="E537" s="93"/>
      <c r="F537" s="93"/>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89"/>
      <c r="D538" s="89"/>
      <c r="E538" s="93"/>
      <c r="F538" s="93"/>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89"/>
      <c r="D539" s="89"/>
      <c r="E539" s="93"/>
      <c r="F539" s="93"/>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89"/>
      <c r="D540" s="89"/>
      <c r="E540" s="93"/>
      <c r="F540" s="93"/>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89"/>
      <c r="D541" s="89"/>
      <c r="E541" s="93"/>
      <c r="F541" s="93"/>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89"/>
      <c r="D542" s="89"/>
      <c r="E542" s="93"/>
      <c r="F542" s="93"/>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89"/>
      <c r="D543" s="89"/>
      <c r="E543" s="93"/>
      <c r="F543" s="93"/>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89"/>
      <c r="D544" s="89"/>
      <c r="E544" s="93"/>
      <c r="F544" s="93"/>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89"/>
      <c r="D545" s="89"/>
      <c r="E545" s="93"/>
      <c r="F545" s="93"/>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89"/>
      <c r="D546" s="89"/>
      <c r="E546" s="93"/>
      <c r="F546" s="93"/>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89"/>
      <c r="D547" s="89"/>
      <c r="E547" s="93"/>
      <c r="F547" s="93"/>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89"/>
      <c r="D548" s="89"/>
      <c r="E548" s="93"/>
      <c r="F548" s="93"/>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89"/>
      <c r="D549" s="89"/>
      <c r="E549" s="93"/>
      <c r="F549" s="93"/>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89"/>
      <c r="D550" s="89"/>
      <c r="E550" s="93"/>
      <c r="F550" s="93"/>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89"/>
      <c r="D551" s="89"/>
      <c r="E551" s="93"/>
      <c r="F551" s="93"/>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89"/>
      <c r="D552" s="89"/>
      <c r="E552" s="93"/>
      <c r="F552" s="93"/>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89"/>
      <c r="D553" s="89"/>
      <c r="E553" s="93"/>
      <c r="F553" s="93"/>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89"/>
      <c r="D554" s="89"/>
      <c r="E554" s="93"/>
      <c r="F554" s="93"/>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89"/>
      <c r="D555" s="89"/>
      <c r="E555" s="93"/>
      <c r="F555" s="93"/>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89"/>
      <c r="D556" s="89"/>
      <c r="E556" s="93"/>
      <c r="F556" s="93"/>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89"/>
      <c r="D557" s="89"/>
      <c r="E557" s="93"/>
      <c r="F557" s="93"/>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89"/>
      <c r="D558" s="89"/>
      <c r="E558" s="93"/>
      <c r="F558" s="93"/>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89"/>
      <c r="D559" s="89"/>
      <c r="E559" s="93"/>
      <c r="F559" s="93"/>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89"/>
      <c r="D560" s="89"/>
      <c r="E560" s="93"/>
      <c r="F560" s="93"/>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89"/>
      <c r="D561" s="89"/>
      <c r="E561" s="93"/>
      <c r="F561" s="93"/>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89"/>
      <c r="D562" s="89"/>
      <c r="E562" s="93"/>
      <c r="F562" s="93"/>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89"/>
      <c r="D563" s="89"/>
      <c r="E563" s="93"/>
      <c r="F563" s="93"/>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89"/>
      <c r="D564" s="89"/>
      <c r="E564" s="93"/>
      <c r="F564" s="93"/>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89"/>
      <c r="D565" s="89"/>
      <c r="E565" s="93"/>
      <c r="F565" s="93"/>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89"/>
      <c r="D566" s="89"/>
      <c r="E566" s="93"/>
      <c r="F566" s="93"/>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89"/>
      <c r="D567" s="89"/>
      <c r="E567" s="93"/>
      <c r="F567" s="93"/>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89"/>
      <c r="D568" s="89"/>
      <c r="E568" s="93"/>
      <c r="F568" s="93"/>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89"/>
      <c r="D569" s="89"/>
      <c r="E569" s="93"/>
      <c r="F569" s="93"/>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89"/>
      <c r="D570" s="89"/>
      <c r="E570" s="93"/>
      <c r="F570" s="93"/>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89"/>
      <c r="D571" s="89"/>
      <c r="E571" s="93"/>
      <c r="F571" s="93"/>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89"/>
      <c r="D572" s="89"/>
      <c r="E572" s="93"/>
      <c r="F572" s="93"/>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89"/>
      <c r="D573" s="89"/>
      <c r="E573" s="93"/>
      <c r="F573" s="93"/>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89"/>
      <c r="D574" s="89"/>
      <c r="E574" s="93"/>
      <c r="F574" s="93"/>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89"/>
      <c r="D575" s="89"/>
      <c r="E575" s="93"/>
      <c r="F575" s="93"/>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89"/>
      <c r="D576" s="89"/>
      <c r="E576" s="93"/>
      <c r="F576" s="93"/>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89"/>
      <c r="D577" s="89"/>
      <c r="E577" s="93"/>
      <c r="F577" s="93"/>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89"/>
      <c r="D578" s="89"/>
      <c r="E578" s="93"/>
      <c r="F578" s="93"/>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89"/>
      <c r="D579" s="89"/>
      <c r="E579" s="93"/>
      <c r="F579" s="93"/>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89"/>
      <c r="D580" s="89"/>
      <c r="E580" s="93"/>
      <c r="F580" s="93"/>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89"/>
      <c r="D581" s="89"/>
      <c r="E581" s="93"/>
      <c r="F581" s="93"/>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89"/>
      <c r="D582" s="89"/>
      <c r="E582" s="93"/>
      <c r="F582" s="93"/>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89"/>
      <c r="D583" s="89"/>
      <c r="E583" s="93"/>
      <c r="F583" s="93"/>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89"/>
      <c r="D584" s="89"/>
      <c r="E584" s="93"/>
      <c r="F584" s="93"/>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89"/>
      <c r="D585" s="89"/>
      <c r="E585" s="93"/>
      <c r="F585" s="93"/>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89"/>
      <c r="D586" s="89"/>
      <c r="E586" s="93"/>
      <c r="F586" s="93"/>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89"/>
      <c r="D587" s="89"/>
      <c r="E587" s="93"/>
      <c r="F587" s="93"/>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89"/>
      <c r="D588" s="89"/>
      <c r="E588" s="93"/>
      <c r="F588" s="93"/>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89"/>
      <c r="D589" s="89"/>
      <c r="E589" s="93"/>
      <c r="F589" s="93"/>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89"/>
      <c r="D590" s="89"/>
      <c r="E590" s="93"/>
      <c r="F590" s="93"/>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89"/>
      <c r="D591" s="89"/>
      <c r="E591" s="93"/>
      <c r="F591" s="93"/>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89"/>
      <c r="D592" s="89"/>
      <c r="E592" s="93"/>
      <c r="F592" s="93"/>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89"/>
      <c r="D593" s="89"/>
      <c r="E593" s="93"/>
      <c r="F593" s="93"/>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89"/>
      <c r="D594" s="89"/>
      <c r="E594" s="93"/>
      <c r="F594" s="93"/>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89"/>
      <c r="D595" s="89"/>
      <c r="E595" s="93"/>
      <c r="F595" s="93"/>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89"/>
      <c r="D596" s="89"/>
      <c r="E596" s="93"/>
      <c r="F596" s="93"/>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89"/>
      <c r="D597" s="89"/>
      <c r="E597" s="93"/>
      <c r="F597" s="93"/>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89"/>
      <c r="D598" s="89"/>
      <c r="E598" s="93"/>
      <c r="F598" s="93"/>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89"/>
      <c r="D599" s="89"/>
      <c r="E599" s="93"/>
      <c r="F599" s="93"/>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89"/>
      <c r="D600" s="89"/>
      <c r="E600" s="93"/>
      <c r="F600" s="93"/>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89"/>
      <c r="D601" s="89"/>
      <c r="E601" s="93"/>
      <c r="F601" s="93"/>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89"/>
      <c r="D602" s="89"/>
      <c r="E602" s="93"/>
      <c r="F602" s="93"/>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89"/>
      <c r="D603" s="89"/>
      <c r="E603" s="93"/>
      <c r="F603" s="93"/>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89"/>
      <c r="D604" s="89"/>
      <c r="E604" s="93"/>
      <c r="F604" s="93"/>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89"/>
      <c r="D605" s="89"/>
      <c r="E605" s="93"/>
      <c r="F605" s="93"/>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89"/>
      <c r="D606" s="89"/>
      <c r="E606" s="93"/>
      <c r="F606" s="93"/>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89"/>
      <c r="D607" s="89"/>
      <c r="E607" s="93"/>
      <c r="F607" s="93"/>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89"/>
      <c r="D608" s="89"/>
      <c r="E608" s="93"/>
      <c r="F608" s="93"/>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89"/>
      <c r="D609" s="89"/>
      <c r="E609" s="93"/>
      <c r="F609" s="93"/>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89"/>
      <c r="D610" s="89"/>
      <c r="E610" s="93"/>
      <c r="F610" s="93"/>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89"/>
      <c r="D611" s="89"/>
      <c r="E611" s="93"/>
      <c r="F611" s="93"/>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89"/>
      <c r="D612" s="89"/>
      <c r="E612" s="93"/>
      <c r="F612" s="93"/>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89"/>
      <c r="D613" s="89"/>
      <c r="E613" s="93"/>
      <c r="F613" s="93"/>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89"/>
      <c r="D614" s="89"/>
      <c r="E614" s="93"/>
      <c r="F614" s="93"/>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89"/>
      <c r="D615" s="89"/>
      <c r="E615" s="93"/>
      <c r="F615" s="93"/>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89"/>
      <c r="D616" s="89"/>
      <c r="E616" s="93"/>
      <c r="F616" s="93"/>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89"/>
      <c r="D617" s="89"/>
      <c r="E617" s="93"/>
      <c r="F617" s="93"/>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89"/>
      <c r="D618" s="89"/>
      <c r="E618" s="93"/>
      <c r="F618" s="93"/>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89"/>
      <c r="D619" s="89"/>
      <c r="E619" s="93"/>
      <c r="F619" s="93"/>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89"/>
      <c r="D620" s="89"/>
      <c r="E620" s="93"/>
      <c r="F620" s="93"/>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89"/>
      <c r="D621" s="89"/>
      <c r="E621" s="93"/>
      <c r="F621" s="93"/>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89"/>
      <c r="D622" s="89"/>
      <c r="E622" s="93"/>
      <c r="F622" s="93"/>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89"/>
      <c r="D623" s="89"/>
      <c r="E623" s="93"/>
      <c r="F623" s="93"/>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89"/>
      <c r="D624" s="89"/>
      <c r="E624" s="93"/>
      <c r="F624" s="93"/>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89"/>
      <c r="D625" s="89"/>
      <c r="E625" s="93"/>
      <c r="F625" s="93"/>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89"/>
      <c r="D626" s="89"/>
      <c r="E626" s="93"/>
      <c r="F626" s="93"/>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89"/>
      <c r="D627" s="89"/>
      <c r="E627" s="93"/>
      <c r="F627" s="93"/>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89"/>
      <c r="D628" s="89"/>
      <c r="E628" s="93"/>
      <c r="F628" s="93"/>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89"/>
      <c r="D629" s="89"/>
      <c r="E629" s="93"/>
      <c r="F629" s="93"/>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89"/>
      <c r="D630" s="89"/>
      <c r="E630" s="93"/>
      <c r="F630" s="93"/>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89"/>
      <c r="D631" s="89"/>
      <c r="E631" s="93"/>
      <c r="F631" s="93"/>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89"/>
      <c r="D632" s="89"/>
      <c r="E632" s="93"/>
      <c r="F632" s="93"/>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89"/>
      <c r="D633" s="89"/>
      <c r="E633" s="93"/>
      <c r="F633" s="93"/>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89"/>
      <c r="D634" s="89"/>
      <c r="E634" s="93"/>
      <c r="F634" s="93"/>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89"/>
      <c r="D635" s="89"/>
      <c r="E635" s="93"/>
      <c r="F635" s="93"/>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89"/>
      <c r="D636" s="89"/>
      <c r="E636" s="93"/>
      <c r="F636" s="93"/>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89"/>
      <c r="D637" s="89"/>
      <c r="E637" s="93"/>
      <c r="F637" s="93"/>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89"/>
      <c r="D638" s="89"/>
      <c r="E638" s="93"/>
      <c r="F638" s="93"/>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89"/>
      <c r="D639" s="89"/>
      <c r="E639" s="93"/>
      <c r="F639" s="93"/>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89"/>
      <c r="D640" s="89"/>
      <c r="E640" s="93"/>
      <c r="F640" s="93"/>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89"/>
      <c r="D641" s="89"/>
      <c r="E641" s="93"/>
      <c r="F641" s="93"/>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89"/>
      <c r="D642" s="89"/>
      <c r="E642" s="93"/>
      <c r="F642" s="93"/>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89"/>
      <c r="D643" s="89"/>
      <c r="E643" s="93"/>
      <c r="F643" s="93"/>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89"/>
      <c r="D644" s="89"/>
      <c r="E644" s="93"/>
      <c r="F644" s="93"/>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89"/>
      <c r="D645" s="89"/>
      <c r="E645" s="93"/>
      <c r="F645" s="93"/>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89"/>
      <c r="D646" s="89"/>
      <c r="E646" s="93"/>
      <c r="F646" s="93"/>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89"/>
      <c r="D647" s="89"/>
      <c r="E647" s="93"/>
      <c r="F647" s="93"/>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89"/>
      <c r="D648" s="89"/>
      <c r="E648" s="93"/>
      <c r="F648" s="93"/>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89"/>
      <c r="D649" s="89"/>
      <c r="E649" s="93"/>
      <c r="F649" s="93"/>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89"/>
      <c r="D650" s="89"/>
      <c r="E650" s="93"/>
      <c r="F650" s="93"/>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89"/>
      <c r="D651" s="89"/>
      <c r="E651" s="93"/>
      <c r="F651" s="93"/>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89"/>
      <c r="D652" s="89"/>
      <c r="E652" s="93"/>
      <c r="F652" s="93"/>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89"/>
      <c r="D653" s="89"/>
      <c r="E653" s="93"/>
      <c r="F653" s="93"/>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89"/>
      <c r="D654" s="89"/>
      <c r="E654" s="93"/>
      <c r="F654" s="93"/>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89"/>
      <c r="D655" s="89"/>
      <c r="E655" s="93"/>
      <c r="F655" s="93"/>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89"/>
      <c r="D656" s="89"/>
      <c r="E656" s="93"/>
      <c r="F656" s="93"/>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89"/>
      <c r="D657" s="89"/>
      <c r="E657" s="93"/>
      <c r="F657" s="93"/>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89"/>
      <c r="D658" s="89"/>
      <c r="E658" s="93"/>
      <c r="F658" s="93"/>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89"/>
      <c r="D659" s="89"/>
      <c r="E659" s="93"/>
      <c r="F659" s="93"/>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89"/>
      <c r="D660" s="89"/>
      <c r="E660" s="93"/>
      <c r="F660" s="93"/>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89"/>
      <c r="D661" s="89"/>
      <c r="E661" s="93"/>
      <c r="F661" s="93"/>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89"/>
      <c r="D662" s="89"/>
      <c r="E662" s="93"/>
      <c r="F662" s="93"/>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89"/>
      <c r="D663" s="89"/>
      <c r="E663" s="93"/>
      <c r="F663" s="93"/>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89"/>
      <c r="D664" s="89"/>
      <c r="E664" s="93"/>
      <c r="F664" s="93"/>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89"/>
      <c r="D665" s="89"/>
      <c r="E665" s="93"/>
      <c r="F665" s="93"/>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89"/>
      <c r="D666" s="89"/>
      <c r="E666" s="93"/>
      <c r="F666" s="93"/>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89"/>
      <c r="D667" s="89"/>
      <c r="E667" s="93"/>
      <c r="F667" s="93"/>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89"/>
      <c r="D668" s="89"/>
      <c r="E668" s="93"/>
      <c r="F668" s="93"/>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89"/>
      <c r="D669" s="89"/>
      <c r="E669" s="93"/>
      <c r="F669" s="93"/>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89"/>
      <c r="D670" s="89"/>
      <c r="E670" s="93"/>
      <c r="F670" s="93"/>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89"/>
      <c r="D671" s="89"/>
      <c r="E671" s="93"/>
      <c r="F671" s="93"/>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89"/>
      <c r="D672" s="89"/>
      <c r="E672" s="93"/>
      <c r="F672" s="93"/>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89"/>
      <c r="D673" s="89"/>
      <c r="E673" s="93"/>
      <c r="F673" s="93"/>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89"/>
      <c r="D674" s="89"/>
      <c r="E674" s="93"/>
      <c r="F674" s="93"/>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89"/>
      <c r="D675" s="89"/>
      <c r="E675" s="93"/>
      <c r="F675" s="93"/>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89"/>
      <c r="D676" s="89"/>
      <c r="E676" s="93"/>
      <c r="F676" s="93"/>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89"/>
      <c r="D677" s="89"/>
      <c r="E677" s="93"/>
      <c r="F677" s="93"/>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89"/>
      <c r="D678" s="89"/>
      <c r="E678" s="93"/>
      <c r="F678" s="93"/>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89"/>
      <c r="D679" s="89"/>
      <c r="E679" s="93"/>
      <c r="F679" s="93"/>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89"/>
      <c r="D680" s="89"/>
      <c r="E680" s="93"/>
      <c r="F680" s="93"/>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89"/>
      <c r="D681" s="89"/>
      <c r="E681" s="93"/>
      <c r="F681" s="93"/>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89"/>
      <c r="D682" s="89"/>
      <c r="E682" s="93"/>
      <c r="F682" s="93"/>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89"/>
      <c r="D683" s="89"/>
      <c r="E683" s="93"/>
      <c r="F683" s="93"/>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89"/>
      <c r="D684" s="89"/>
      <c r="E684" s="93"/>
      <c r="F684" s="93"/>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89"/>
      <c r="D685" s="89"/>
      <c r="E685" s="93"/>
      <c r="F685" s="93"/>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89"/>
      <c r="D686" s="89"/>
      <c r="E686" s="93"/>
      <c r="F686" s="93"/>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89"/>
      <c r="D687" s="89"/>
      <c r="E687" s="93"/>
      <c r="F687" s="93"/>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89"/>
      <c r="D688" s="89"/>
      <c r="E688" s="93"/>
      <c r="F688" s="93"/>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89"/>
      <c r="D689" s="89"/>
      <c r="E689" s="93"/>
      <c r="F689" s="93"/>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89"/>
      <c r="D690" s="89"/>
      <c r="E690" s="93"/>
      <c r="F690" s="93"/>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89"/>
      <c r="D691" s="89"/>
      <c r="E691" s="93"/>
      <c r="F691" s="93"/>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89"/>
      <c r="D692" s="89"/>
      <c r="E692" s="93"/>
      <c r="F692" s="93"/>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89"/>
      <c r="D693" s="89"/>
      <c r="E693" s="93"/>
      <c r="F693" s="93"/>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89"/>
      <c r="D694" s="89"/>
      <c r="E694" s="93"/>
      <c r="F694" s="93"/>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89"/>
      <c r="D695" s="89"/>
      <c r="E695" s="93"/>
      <c r="F695" s="93"/>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89"/>
      <c r="D696" s="89"/>
      <c r="E696" s="93"/>
      <c r="F696" s="93"/>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89"/>
      <c r="D697" s="89"/>
      <c r="E697" s="93"/>
      <c r="F697" s="93"/>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89"/>
      <c r="D698" s="89"/>
      <c r="E698" s="93"/>
      <c r="F698" s="93"/>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89"/>
      <c r="D699" s="89"/>
      <c r="E699" s="93"/>
      <c r="F699" s="93"/>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89"/>
      <c r="D700" s="89"/>
      <c r="E700" s="93"/>
      <c r="F700" s="93"/>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89"/>
      <c r="D701" s="89"/>
      <c r="E701" s="93"/>
      <c r="F701" s="93"/>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89"/>
      <c r="D702" s="89"/>
      <c r="E702" s="93"/>
      <c r="F702" s="93"/>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89"/>
      <c r="D703" s="89"/>
      <c r="E703" s="93"/>
      <c r="F703" s="93"/>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89"/>
      <c r="D704" s="89"/>
      <c r="E704" s="93"/>
      <c r="F704" s="93"/>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89"/>
      <c r="D705" s="89"/>
      <c r="E705" s="93"/>
      <c r="F705" s="93"/>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89"/>
      <c r="D706" s="89"/>
      <c r="E706" s="93"/>
      <c r="F706" s="93"/>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89"/>
      <c r="D707" s="89"/>
      <c r="E707" s="93"/>
      <c r="F707" s="93"/>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89"/>
      <c r="D708" s="89"/>
      <c r="E708" s="93"/>
      <c r="F708" s="93"/>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89"/>
      <c r="D709" s="89"/>
      <c r="E709" s="93"/>
      <c r="F709" s="93"/>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89"/>
      <c r="D710" s="89"/>
      <c r="E710" s="93"/>
      <c r="F710" s="93"/>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89"/>
      <c r="D711" s="89"/>
      <c r="E711" s="93"/>
      <c r="F711" s="93"/>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89"/>
      <c r="D712" s="89"/>
      <c r="E712" s="93"/>
      <c r="F712" s="93"/>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89"/>
      <c r="D713" s="89"/>
      <c r="E713" s="93"/>
      <c r="F713" s="93"/>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89"/>
      <c r="D714" s="89"/>
      <c r="E714" s="93"/>
      <c r="F714" s="93"/>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89"/>
      <c r="D715" s="89"/>
      <c r="E715" s="93"/>
      <c r="F715" s="93"/>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89"/>
      <c r="D716" s="89"/>
      <c r="E716" s="93"/>
      <c r="F716" s="93"/>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89"/>
      <c r="D717" s="89"/>
      <c r="E717" s="93"/>
      <c r="F717" s="93"/>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89"/>
      <c r="D718" s="89"/>
      <c r="E718" s="93"/>
      <c r="F718" s="93"/>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89"/>
      <c r="D719" s="89"/>
      <c r="E719" s="93"/>
      <c r="F719" s="93"/>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89"/>
      <c r="D720" s="89"/>
      <c r="E720" s="93"/>
      <c r="F720" s="93"/>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89"/>
      <c r="D721" s="89"/>
      <c r="E721" s="93"/>
      <c r="F721" s="93"/>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89"/>
      <c r="D722" s="89"/>
      <c r="E722" s="93"/>
      <c r="F722" s="93"/>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89"/>
      <c r="D723" s="89"/>
      <c r="E723" s="93"/>
      <c r="F723" s="93"/>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89"/>
      <c r="D724" s="89"/>
      <c r="E724" s="93"/>
      <c r="F724" s="93"/>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89"/>
      <c r="D725" s="89"/>
      <c r="E725" s="93"/>
      <c r="F725" s="93"/>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89"/>
      <c r="D726" s="89"/>
      <c r="E726" s="93"/>
      <c r="F726" s="93"/>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89"/>
      <c r="D727" s="89"/>
      <c r="E727" s="93"/>
      <c r="F727" s="93"/>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89"/>
      <c r="D728" s="89"/>
      <c r="E728" s="93"/>
      <c r="F728" s="93"/>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89"/>
      <c r="D729" s="89"/>
      <c r="E729" s="93"/>
      <c r="F729" s="93"/>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89"/>
      <c r="D730" s="89"/>
      <c r="E730" s="93"/>
      <c r="F730" s="93"/>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89"/>
      <c r="D731" s="89"/>
      <c r="E731" s="93"/>
      <c r="F731" s="93"/>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89"/>
      <c r="D732" s="89"/>
      <c r="E732" s="93"/>
      <c r="F732" s="93"/>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89"/>
      <c r="D733" s="89"/>
      <c r="E733" s="93"/>
      <c r="F733" s="93"/>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89"/>
      <c r="D734" s="89"/>
      <c r="E734" s="93"/>
      <c r="F734" s="93"/>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89"/>
      <c r="D735" s="89"/>
      <c r="E735" s="93"/>
      <c r="F735" s="93"/>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89"/>
      <c r="D736" s="89"/>
      <c r="E736" s="93"/>
      <c r="F736" s="93"/>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89"/>
      <c r="D737" s="89"/>
      <c r="E737" s="93"/>
      <c r="F737" s="93"/>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89"/>
      <c r="D738" s="89"/>
      <c r="E738" s="93"/>
      <c r="F738" s="93"/>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89"/>
      <c r="D739" s="89"/>
      <c r="E739" s="93"/>
      <c r="F739" s="93"/>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89"/>
      <c r="D740" s="89"/>
      <c r="E740" s="93"/>
      <c r="F740" s="93"/>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89"/>
      <c r="D741" s="89"/>
      <c r="E741" s="93"/>
      <c r="F741" s="93"/>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89"/>
      <c r="D742" s="89"/>
      <c r="E742" s="93"/>
      <c r="F742" s="93"/>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89"/>
      <c r="D743" s="89"/>
      <c r="E743" s="93"/>
      <c r="F743" s="93"/>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89"/>
      <c r="D744" s="89"/>
      <c r="E744" s="93"/>
      <c r="F744" s="93"/>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89"/>
      <c r="D745" s="89"/>
      <c r="E745" s="93"/>
      <c r="F745" s="93"/>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89"/>
      <c r="D746" s="89"/>
      <c r="E746" s="93"/>
      <c r="F746" s="93"/>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89"/>
      <c r="D747" s="89"/>
      <c r="E747" s="93"/>
      <c r="F747" s="93"/>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89"/>
      <c r="D748" s="89"/>
      <c r="E748" s="93"/>
      <c r="F748" s="93"/>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89"/>
      <c r="D749" s="89"/>
      <c r="E749" s="93"/>
      <c r="F749" s="93"/>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89"/>
      <c r="D750" s="89"/>
      <c r="E750" s="93"/>
      <c r="F750" s="93"/>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89"/>
      <c r="D751" s="89"/>
      <c r="E751" s="93"/>
      <c r="F751" s="93"/>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89"/>
      <c r="D752" s="89"/>
      <c r="E752" s="93"/>
      <c r="F752" s="93"/>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89"/>
      <c r="D753" s="89"/>
      <c r="E753" s="93"/>
      <c r="F753" s="93"/>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89"/>
      <c r="D754" s="89"/>
      <c r="E754" s="93"/>
      <c r="F754" s="93"/>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89"/>
      <c r="D755" s="89"/>
      <c r="E755" s="93"/>
      <c r="F755" s="93"/>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89"/>
      <c r="D756" s="89"/>
      <c r="E756" s="93"/>
      <c r="F756" s="93"/>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89"/>
      <c r="D757" s="89"/>
      <c r="E757" s="93"/>
      <c r="F757" s="93"/>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89"/>
      <c r="D758" s="89"/>
      <c r="E758" s="93"/>
      <c r="F758" s="93"/>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89"/>
      <c r="D759" s="89"/>
      <c r="E759" s="93"/>
      <c r="F759" s="93"/>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89"/>
      <c r="D760" s="89"/>
      <c r="E760" s="93"/>
      <c r="F760" s="93"/>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89"/>
      <c r="D761" s="89"/>
      <c r="E761" s="93"/>
      <c r="F761" s="93"/>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89"/>
      <c r="D762" s="89"/>
      <c r="E762" s="93"/>
      <c r="F762" s="93"/>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89"/>
      <c r="D763" s="89"/>
      <c r="E763" s="93"/>
      <c r="F763" s="93"/>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89"/>
      <c r="D764" s="89"/>
      <c r="E764" s="93"/>
      <c r="F764" s="93"/>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89"/>
      <c r="D765" s="89"/>
      <c r="E765" s="93"/>
      <c r="F765" s="93"/>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89"/>
      <c r="D766" s="89"/>
      <c r="E766" s="93"/>
      <c r="F766" s="93"/>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89"/>
      <c r="D767" s="89"/>
      <c r="E767" s="93"/>
      <c r="F767" s="93"/>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89"/>
      <c r="D768" s="89"/>
      <c r="E768" s="93"/>
      <c r="F768" s="93"/>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89"/>
      <c r="D769" s="89"/>
      <c r="E769" s="93"/>
      <c r="F769" s="93"/>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89"/>
      <c r="D770" s="89"/>
      <c r="E770" s="93"/>
      <c r="F770" s="93"/>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89"/>
      <c r="D771" s="89"/>
      <c r="E771" s="93"/>
      <c r="F771" s="93"/>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89"/>
      <c r="D772" s="89"/>
      <c r="E772" s="93"/>
      <c r="F772" s="93"/>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89"/>
      <c r="D773" s="89"/>
      <c r="E773" s="93"/>
      <c r="F773" s="93"/>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89"/>
      <c r="D774" s="89"/>
      <c r="E774" s="93"/>
      <c r="F774" s="93"/>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89"/>
      <c r="D775" s="89"/>
      <c r="E775" s="93"/>
      <c r="F775" s="93"/>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89"/>
      <c r="D776" s="89"/>
      <c r="E776" s="93"/>
      <c r="F776" s="93"/>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89"/>
      <c r="D777" s="89"/>
      <c r="E777" s="93"/>
      <c r="F777" s="93"/>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89"/>
      <c r="D778" s="89"/>
      <c r="E778" s="93"/>
      <c r="F778" s="93"/>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89"/>
      <c r="D779" s="89"/>
      <c r="E779" s="93"/>
      <c r="F779" s="93"/>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89"/>
      <c r="D780" s="89"/>
      <c r="E780" s="93"/>
      <c r="F780" s="93"/>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89"/>
      <c r="D781" s="89"/>
      <c r="E781" s="93"/>
      <c r="F781" s="93"/>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89"/>
      <c r="D782" s="89"/>
      <c r="E782" s="93"/>
      <c r="F782" s="93"/>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89"/>
      <c r="D783" s="89"/>
      <c r="E783" s="93"/>
      <c r="F783" s="93"/>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89"/>
      <c r="D784" s="89"/>
      <c r="E784" s="93"/>
      <c r="F784" s="93"/>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89"/>
      <c r="D785" s="89"/>
      <c r="E785" s="93"/>
      <c r="F785" s="93"/>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89"/>
      <c r="D786" s="89"/>
      <c r="E786" s="93"/>
      <c r="F786" s="93"/>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89"/>
      <c r="D787" s="89"/>
      <c r="E787" s="93"/>
      <c r="F787" s="93"/>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89"/>
      <c r="D788" s="89"/>
      <c r="E788" s="93"/>
      <c r="F788" s="93"/>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89"/>
      <c r="D789" s="89"/>
      <c r="E789" s="93"/>
      <c r="F789" s="93"/>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89"/>
      <c r="D790" s="89"/>
      <c r="E790" s="93"/>
      <c r="F790" s="93"/>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89"/>
      <c r="D791" s="89"/>
      <c r="E791" s="93"/>
      <c r="F791" s="93"/>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89"/>
      <c r="D792" s="89"/>
      <c r="E792" s="93"/>
      <c r="F792" s="93"/>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89"/>
      <c r="D793" s="89"/>
      <c r="E793" s="93"/>
      <c r="F793" s="93"/>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89"/>
      <c r="D794" s="89"/>
      <c r="E794" s="93"/>
      <c r="F794" s="93"/>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89"/>
      <c r="D795" s="89"/>
      <c r="E795" s="93"/>
      <c r="F795" s="93"/>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89"/>
      <c r="D796" s="89"/>
      <c r="E796" s="93"/>
      <c r="F796" s="93"/>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89"/>
      <c r="D797" s="89"/>
      <c r="E797" s="93"/>
      <c r="F797" s="93"/>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89"/>
      <c r="D798" s="89"/>
      <c r="E798" s="93"/>
      <c r="F798" s="93"/>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89"/>
      <c r="D799" s="89"/>
      <c r="E799" s="93"/>
      <c r="F799" s="93"/>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89"/>
      <c r="D800" s="89"/>
      <c r="E800" s="93"/>
      <c r="F800" s="93"/>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89"/>
      <c r="D801" s="89"/>
      <c r="E801" s="93"/>
      <c r="F801" s="93"/>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89"/>
      <c r="D802" s="89"/>
      <c r="E802" s="93"/>
      <c r="F802" s="93"/>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89"/>
      <c r="D803" s="89"/>
      <c r="E803" s="93"/>
      <c r="F803" s="93"/>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89"/>
      <c r="D804" s="89"/>
      <c r="E804" s="93"/>
      <c r="F804" s="93"/>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89"/>
      <c r="D805" s="89"/>
      <c r="E805" s="93"/>
      <c r="F805" s="93"/>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89"/>
      <c r="D806" s="89"/>
      <c r="E806" s="93"/>
      <c r="F806" s="93"/>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89"/>
      <c r="D807" s="89"/>
      <c r="E807" s="93"/>
      <c r="F807" s="93"/>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89"/>
      <c r="D808" s="89"/>
      <c r="E808" s="93"/>
      <c r="F808" s="93"/>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89"/>
      <c r="D809" s="89"/>
      <c r="E809" s="93"/>
      <c r="F809" s="93"/>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89"/>
      <c r="D810" s="89"/>
      <c r="E810" s="93"/>
      <c r="F810" s="93"/>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89"/>
      <c r="D811" s="89"/>
      <c r="E811" s="93"/>
      <c r="F811" s="93"/>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89"/>
      <c r="D812" s="89"/>
      <c r="E812" s="93"/>
      <c r="F812" s="93"/>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89"/>
      <c r="D813" s="89"/>
      <c r="E813" s="93"/>
      <c r="F813" s="93"/>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89"/>
      <c r="D814" s="89"/>
      <c r="E814" s="93"/>
      <c r="F814" s="93"/>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89"/>
      <c r="D815" s="89"/>
      <c r="E815" s="93"/>
      <c r="F815" s="93"/>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89"/>
      <c r="D816" s="89"/>
      <c r="E816" s="93"/>
      <c r="F816" s="93"/>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89"/>
      <c r="D817" s="89"/>
      <c r="E817" s="93"/>
      <c r="F817" s="93"/>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89"/>
      <c r="D818" s="89"/>
      <c r="E818" s="93"/>
      <c r="F818" s="93"/>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89"/>
      <c r="D819" s="89"/>
      <c r="E819" s="93"/>
      <c r="F819" s="93"/>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89"/>
      <c r="D820" s="89"/>
      <c r="E820" s="93"/>
      <c r="F820" s="93"/>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89"/>
      <c r="D821" s="89"/>
      <c r="E821" s="93"/>
      <c r="F821" s="93"/>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89"/>
      <c r="D822" s="89"/>
      <c r="E822" s="93"/>
      <c r="F822" s="93"/>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89"/>
      <c r="D823" s="89"/>
      <c r="E823" s="93"/>
      <c r="F823" s="93"/>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89"/>
      <c r="D824" s="89"/>
      <c r="E824" s="93"/>
      <c r="F824" s="93"/>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89"/>
      <c r="D825" s="89"/>
      <c r="E825" s="93"/>
      <c r="F825" s="93"/>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89"/>
      <c r="D826" s="89"/>
      <c r="E826" s="93"/>
      <c r="F826" s="93"/>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89"/>
      <c r="D827" s="89"/>
      <c r="E827" s="93"/>
      <c r="F827" s="93"/>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89"/>
      <c r="D828" s="89"/>
      <c r="E828" s="93"/>
      <c r="F828" s="93"/>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89"/>
      <c r="D829" s="89"/>
      <c r="E829" s="93"/>
      <c r="F829" s="93"/>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89"/>
      <c r="D830" s="89"/>
      <c r="E830" s="93"/>
      <c r="F830" s="93"/>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89"/>
      <c r="D831" s="89"/>
      <c r="E831" s="93"/>
      <c r="F831" s="93"/>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89"/>
      <c r="D832" s="89"/>
      <c r="E832" s="93"/>
      <c r="F832" s="93"/>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89"/>
      <c r="D833" s="89"/>
      <c r="E833" s="93"/>
      <c r="F833" s="93"/>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89"/>
      <c r="D834" s="89"/>
      <c r="E834" s="93"/>
      <c r="F834" s="93"/>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89"/>
      <c r="D835" s="89"/>
      <c r="E835" s="93"/>
      <c r="F835" s="93"/>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89"/>
      <c r="D836" s="89"/>
      <c r="E836" s="93"/>
      <c r="F836" s="93"/>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89"/>
      <c r="D837" s="89"/>
      <c r="E837" s="93"/>
      <c r="F837" s="93"/>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89"/>
      <c r="D838" s="89"/>
      <c r="E838" s="93"/>
      <c r="F838" s="93"/>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89"/>
      <c r="D839" s="89"/>
      <c r="E839" s="93"/>
      <c r="F839" s="93"/>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89"/>
      <c r="D840" s="89"/>
      <c r="E840" s="93"/>
      <c r="F840" s="93"/>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89"/>
      <c r="D841" s="89"/>
      <c r="E841" s="93"/>
      <c r="F841" s="93"/>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89"/>
      <c r="D842" s="89"/>
      <c r="E842" s="93"/>
      <c r="F842" s="93"/>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89"/>
      <c r="D843" s="89"/>
      <c r="E843" s="93"/>
      <c r="F843" s="93"/>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89"/>
      <c r="D844" s="89"/>
      <c r="E844" s="93"/>
      <c r="F844" s="93"/>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89"/>
      <c r="D845" s="89"/>
      <c r="E845" s="93"/>
      <c r="F845" s="93"/>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89"/>
      <c r="D846" s="89"/>
      <c r="E846" s="93"/>
      <c r="F846" s="93"/>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89"/>
      <c r="D847" s="89"/>
      <c r="E847" s="93"/>
      <c r="F847" s="93"/>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89"/>
      <c r="D848" s="89"/>
      <c r="E848" s="93"/>
      <c r="F848" s="93"/>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89"/>
      <c r="D849" s="89"/>
      <c r="E849" s="93"/>
      <c r="F849" s="93"/>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89"/>
      <c r="D850" s="89"/>
      <c r="E850" s="93"/>
      <c r="F850" s="93"/>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89"/>
      <c r="D851" s="89"/>
      <c r="E851" s="93"/>
      <c r="F851" s="93"/>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89"/>
      <c r="D852" s="89"/>
      <c r="E852" s="93"/>
      <c r="F852" s="93"/>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89"/>
      <c r="D853" s="89"/>
      <c r="E853" s="93"/>
      <c r="F853" s="93"/>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89"/>
      <c r="D854" s="89"/>
      <c r="E854" s="93"/>
      <c r="F854" s="93"/>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89"/>
      <c r="D855" s="89"/>
      <c r="E855" s="93"/>
      <c r="F855" s="93"/>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89"/>
      <c r="D856" s="89"/>
      <c r="E856" s="93"/>
      <c r="F856" s="93"/>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89"/>
      <c r="D857" s="89"/>
      <c r="E857" s="93"/>
      <c r="F857" s="93"/>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89"/>
      <c r="D858" s="89"/>
      <c r="E858" s="93"/>
      <c r="F858" s="93"/>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89"/>
      <c r="D859" s="89"/>
      <c r="E859" s="93"/>
      <c r="F859" s="93"/>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89"/>
      <c r="D860" s="89"/>
      <c r="E860" s="93"/>
      <c r="F860" s="93"/>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89"/>
      <c r="D861" s="89"/>
      <c r="E861" s="93"/>
      <c r="F861" s="93"/>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89"/>
      <c r="D862" s="89"/>
      <c r="E862" s="93"/>
      <c r="F862" s="93"/>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89"/>
      <c r="D863" s="89"/>
      <c r="E863" s="93"/>
      <c r="F863" s="93"/>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89"/>
      <c r="D864" s="89"/>
      <c r="E864" s="93"/>
      <c r="F864" s="93"/>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89"/>
      <c r="D865" s="89"/>
      <c r="E865" s="93"/>
      <c r="F865" s="93"/>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89"/>
      <c r="D866" s="89"/>
      <c r="E866" s="93"/>
      <c r="F866" s="93"/>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89"/>
      <c r="D867" s="89"/>
      <c r="E867" s="93"/>
      <c r="F867" s="93"/>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89"/>
      <c r="D868" s="89"/>
      <c r="E868" s="93"/>
      <c r="F868" s="93"/>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89"/>
      <c r="D869" s="89"/>
      <c r="E869" s="93"/>
      <c r="F869" s="93"/>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89"/>
      <c r="D870" s="89"/>
      <c r="E870" s="93"/>
      <c r="F870" s="93"/>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89"/>
      <c r="D871" s="89"/>
      <c r="E871" s="93"/>
      <c r="F871" s="93"/>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89"/>
      <c r="D872" s="89"/>
      <c r="E872" s="93"/>
      <c r="F872" s="93"/>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89"/>
      <c r="D873" s="89"/>
      <c r="E873" s="93"/>
      <c r="F873" s="93"/>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89"/>
      <c r="D874" s="89"/>
      <c r="E874" s="93"/>
      <c r="F874" s="93"/>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89"/>
      <c r="D875" s="89"/>
      <c r="E875" s="93"/>
      <c r="F875" s="93"/>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89"/>
      <c r="D876" s="89"/>
      <c r="E876" s="93"/>
      <c r="F876" s="93"/>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89"/>
      <c r="D877" s="89"/>
      <c r="E877" s="93"/>
      <c r="F877" s="93"/>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89"/>
      <c r="D878" s="89"/>
      <c r="E878" s="93"/>
      <c r="F878" s="93"/>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89"/>
      <c r="D879" s="89"/>
      <c r="E879" s="93"/>
      <c r="F879" s="93"/>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89"/>
      <c r="D880" s="89"/>
      <c r="E880" s="93"/>
      <c r="F880" s="93"/>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89"/>
      <c r="D881" s="89"/>
      <c r="E881" s="93"/>
      <c r="F881" s="93"/>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89"/>
      <c r="D882" s="89"/>
      <c r="E882" s="93"/>
      <c r="F882" s="93"/>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89"/>
      <c r="D883" s="89"/>
      <c r="E883" s="93"/>
      <c r="F883" s="93"/>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89"/>
      <c r="D884" s="89"/>
      <c r="E884" s="93"/>
      <c r="F884" s="93"/>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89"/>
      <c r="D885" s="89"/>
      <c r="E885" s="93"/>
      <c r="F885" s="93"/>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89"/>
      <c r="D886" s="89"/>
      <c r="E886" s="93"/>
      <c r="F886" s="93"/>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89"/>
      <c r="D887" s="89"/>
      <c r="E887" s="93"/>
      <c r="F887" s="93"/>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89"/>
      <c r="D888" s="89"/>
      <c r="E888" s="93"/>
      <c r="F888" s="93"/>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89"/>
      <c r="D889" s="89"/>
      <c r="E889" s="93"/>
      <c r="F889" s="93"/>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89"/>
      <c r="D890" s="89"/>
      <c r="E890" s="93"/>
      <c r="F890" s="93"/>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89"/>
      <c r="D891" s="89"/>
      <c r="E891" s="93"/>
      <c r="F891" s="93"/>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89"/>
      <c r="D892" s="89"/>
      <c r="E892" s="93"/>
      <c r="F892" s="93"/>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89"/>
      <c r="D893" s="89"/>
      <c r="E893" s="93"/>
      <c r="F893" s="93"/>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89"/>
      <c r="D894" s="89"/>
      <c r="E894" s="93"/>
      <c r="F894" s="93"/>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89"/>
      <c r="D895" s="89"/>
      <c r="E895" s="93"/>
      <c r="F895" s="93"/>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89"/>
      <c r="D896" s="89"/>
      <c r="E896" s="93"/>
      <c r="F896" s="93"/>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89"/>
      <c r="D897" s="89"/>
      <c r="E897" s="93"/>
      <c r="F897" s="93"/>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89"/>
      <c r="D898" s="89"/>
      <c r="E898" s="93"/>
      <c r="F898" s="93"/>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89"/>
      <c r="D899" s="89"/>
      <c r="E899" s="93"/>
      <c r="F899" s="93"/>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89"/>
      <c r="D900" s="89"/>
      <c r="E900" s="93"/>
      <c r="F900" s="93"/>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89"/>
      <c r="D901" s="89"/>
      <c r="E901" s="93"/>
      <c r="F901" s="93"/>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89"/>
      <c r="D902" s="89"/>
      <c r="E902" s="93"/>
      <c r="F902" s="93"/>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89"/>
      <c r="D903" s="89"/>
      <c r="E903" s="93"/>
      <c r="F903" s="93"/>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89"/>
      <c r="D904" s="89"/>
      <c r="E904" s="93"/>
      <c r="F904" s="93"/>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89"/>
      <c r="D905" s="89"/>
      <c r="E905" s="93"/>
      <c r="F905" s="93"/>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89"/>
      <c r="D906" s="89"/>
      <c r="E906" s="93"/>
      <c r="F906" s="93"/>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89"/>
      <c r="D907" s="89"/>
      <c r="E907" s="93"/>
      <c r="F907" s="93"/>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89"/>
      <c r="D908" s="89"/>
      <c r="E908" s="93"/>
      <c r="F908" s="93"/>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89"/>
      <c r="D909" s="89"/>
      <c r="E909" s="93"/>
      <c r="F909" s="93"/>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89"/>
      <c r="D910" s="89"/>
      <c r="E910" s="93"/>
      <c r="F910" s="93"/>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89"/>
      <c r="D911" s="89"/>
      <c r="E911" s="93"/>
      <c r="F911" s="93"/>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89"/>
      <c r="D912" s="89"/>
      <c r="E912" s="93"/>
      <c r="F912" s="93"/>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89"/>
      <c r="D913" s="89"/>
      <c r="E913" s="93"/>
      <c r="F913" s="93"/>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89"/>
      <c r="D914" s="89"/>
      <c r="E914" s="93"/>
      <c r="F914" s="93"/>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89"/>
      <c r="D915" s="89"/>
      <c r="E915" s="93"/>
      <c r="F915" s="93"/>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89"/>
      <c r="D916" s="89"/>
      <c r="E916" s="93"/>
      <c r="F916" s="93"/>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89"/>
      <c r="D917" s="89"/>
      <c r="E917" s="93"/>
      <c r="F917" s="93"/>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89"/>
      <c r="D918" s="89"/>
      <c r="E918" s="93"/>
      <c r="F918" s="93"/>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89"/>
      <c r="D919" s="89"/>
      <c r="E919" s="93"/>
      <c r="F919" s="93"/>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89"/>
      <c r="D920" s="89"/>
      <c r="E920" s="93"/>
      <c r="F920" s="93"/>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89"/>
      <c r="D921" s="89"/>
      <c r="E921" s="93"/>
      <c r="F921" s="93"/>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89"/>
      <c r="D922" s="89"/>
      <c r="E922" s="93"/>
      <c r="F922" s="93"/>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89"/>
      <c r="D923" s="89"/>
      <c r="E923" s="93"/>
      <c r="F923" s="93"/>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89"/>
      <c r="D924" s="89"/>
      <c r="E924" s="93"/>
      <c r="F924" s="93"/>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89"/>
      <c r="D925" s="89"/>
      <c r="E925" s="93"/>
      <c r="F925" s="93"/>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89"/>
      <c r="D926" s="89"/>
      <c r="E926" s="93"/>
      <c r="F926" s="93"/>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89"/>
      <c r="D927" s="89"/>
      <c r="E927" s="93"/>
      <c r="F927" s="93"/>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89"/>
      <c r="D928" s="89"/>
      <c r="E928" s="93"/>
      <c r="F928" s="93"/>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89"/>
      <c r="D929" s="89"/>
      <c r="E929" s="93"/>
      <c r="F929" s="93"/>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89"/>
      <c r="D930" s="89"/>
      <c r="E930" s="93"/>
      <c r="F930" s="93"/>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89"/>
      <c r="D931" s="89"/>
      <c r="E931" s="93"/>
      <c r="F931" s="93"/>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89"/>
      <c r="D932" s="89"/>
      <c r="E932" s="93"/>
      <c r="F932" s="93"/>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89"/>
      <c r="D933" s="89"/>
      <c r="E933" s="93"/>
      <c r="F933" s="93"/>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89"/>
      <c r="D934" s="89"/>
      <c r="E934" s="93"/>
      <c r="F934" s="93"/>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89"/>
      <c r="D935" s="89"/>
      <c r="E935" s="93"/>
      <c r="F935" s="93"/>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89"/>
      <c r="D936" s="89"/>
      <c r="E936" s="93"/>
      <c r="F936" s="93"/>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89"/>
      <c r="D937" s="89"/>
      <c r="E937" s="93"/>
      <c r="F937" s="93"/>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89"/>
      <c r="D938" s="89"/>
      <c r="E938" s="93"/>
      <c r="F938" s="93"/>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89"/>
      <c r="D939" s="89"/>
      <c r="E939" s="93"/>
      <c r="F939" s="93"/>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89"/>
      <c r="D940" s="89"/>
      <c r="E940" s="93"/>
      <c r="F940" s="93"/>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89"/>
      <c r="D941" s="89"/>
      <c r="E941" s="93"/>
      <c r="F941" s="93"/>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89"/>
      <c r="D942" s="89"/>
      <c r="E942" s="93"/>
      <c r="F942" s="93"/>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89"/>
      <c r="D943" s="89"/>
      <c r="E943" s="93"/>
      <c r="F943" s="93"/>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89"/>
      <c r="D944" s="89"/>
      <c r="E944" s="93"/>
      <c r="F944" s="93"/>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89"/>
      <c r="D945" s="89"/>
      <c r="E945" s="93"/>
      <c r="F945" s="93"/>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89"/>
      <c r="D946" s="89"/>
      <c r="E946" s="93"/>
      <c r="F946" s="93"/>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89"/>
      <c r="D947" s="89"/>
      <c r="E947" s="93"/>
      <c r="F947" s="93"/>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89"/>
      <c r="D948" s="89"/>
      <c r="E948" s="93"/>
      <c r="F948" s="93"/>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89"/>
      <c r="D949" s="89"/>
      <c r="E949" s="93"/>
      <c r="F949" s="93"/>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89"/>
      <c r="D950" s="89"/>
      <c r="E950" s="93"/>
      <c r="F950" s="93"/>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89"/>
      <c r="D951" s="89"/>
      <c r="E951" s="93"/>
      <c r="F951" s="93"/>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89"/>
      <c r="D952" s="89"/>
      <c r="E952" s="93"/>
      <c r="F952" s="93"/>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89"/>
      <c r="D953" s="89"/>
      <c r="E953" s="93"/>
      <c r="F953" s="93"/>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89"/>
      <c r="D954" s="89"/>
      <c r="E954" s="93"/>
      <c r="F954" s="93"/>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89"/>
      <c r="D955" s="89"/>
      <c r="E955" s="93"/>
      <c r="F955" s="93"/>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89"/>
      <c r="D956" s="89"/>
      <c r="E956" s="93"/>
      <c r="F956" s="93"/>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89"/>
      <c r="D957" s="89"/>
      <c r="E957" s="93"/>
      <c r="F957" s="93"/>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89"/>
      <c r="D958" s="89"/>
      <c r="E958" s="93"/>
      <c r="F958" s="93"/>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89"/>
      <c r="D959" s="89"/>
      <c r="E959" s="93"/>
      <c r="F959" s="93"/>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89"/>
      <c r="D960" s="89"/>
      <c r="E960" s="93"/>
      <c r="F960" s="93"/>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89"/>
      <c r="D961" s="89"/>
      <c r="E961" s="93"/>
      <c r="F961" s="93"/>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89"/>
      <c r="D962" s="89"/>
      <c r="E962" s="93"/>
      <c r="F962" s="93"/>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89"/>
      <c r="D963" s="89"/>
      <c r="E963" s="93"/>
      <c r="F963" s="93"/>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89"/>
      <c r="D964" s="89"/>
      <c r="E964" s="93"/>
      <c r="F964" s="93"/>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89"/>
      <c r="D965" s="89"/>
      <c r="E965" s="93"/>
      <c r="F965" s="93"/>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89"/>
      <c r="D966" s="89"/>
      <c r="E966" s="93"/>
      <c r="F966" s="93"/>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89"/>
      <c r="D967" s="89"/>
      <c r="E967" s="93"/>
      <c r="F967" s="93"/>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89"/>
      <c r="D968" s="89"/>
      <c r="E968" s="93"/>
      <c r="F968" s="93"/>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89"/>
      <c r="D969" s="89"/>
      <c r="E969" s="93"/>
      <c r="F969" s="93"/>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89"/>
      <c r="D970" s="89"/>
      <c r="E970" s="93"/>
      <c r="F970" s="93"/>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89"/>
      <c r="D971" s="89"/>
      <c r="E971" s="93"/>
      <c r="F971" s="93"/>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89"/>
      <c r="D972" s="89"/>
      <c r="E972" s="93"/>
      <c r="F972" s="93"/>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89"/>
      <c r="D973" s="89"/>
      <c r="E973" s="93"/>
      <c r="F973" s="93"/>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89"/>
      <c r="D974" s="89"/>
      <c r="E974" s="93"/>
      <c r="F974" s="93"/>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89"/>
      <c r="D975" s="89"/>
      <c r="E975" s="93"/>
      <c r="F975" s="93"/>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89"/>
      <c r="D976" s="89"/>
      <c r="E976" s="93"/>
      <c r="F976" s="93"/>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89"/>
      <c r="D977" s="89"/>
      <c r="E977" s="93"/>
      <c r="F977" s="93"/>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89"/>
      <c r="D978" s="89"/>
      <c r="E978" s="93"/>
      <c r="F978" s="93"/>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89"/>
      <c r="D979" s="89"/>
      <c r="E979" s="93"/>
      <c r="F979" s="93"/>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89"/>
      <c r="D980" s="89"/>
      <c r="E980" s="93"/>
      <c r="F980" s="93"/>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89"/>
      <c r="D981" s="89"/>
      <c r="E981" s="93"/>
      <c r="F981" s="93"/>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89"/>
      <c r="D982" s="89"/>
      <c r="E982" s="93"/>
      <c r="F982" s="93"/>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89"/>
      <c r="D983" s="89"/>
      <c r="E983" s="93"/>
      <c r="F983" s="93"/>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89"/>
      <c r="D984" s="89"/>
      <c r="E984" s="93"/>
      <c r="F984" s="93"/>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89"/>
      <c r="D985" s="89"/>
      <c r="E985" s="93"/>
      <c r="F985" s="93"/>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89"/>
      <c r="D986" s="89"/>
      <c r="E986" s="93"/>
      <c r="F986" s="93"/>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89"/>
      <c r="D987" s="89"/>
      <c r="E987" s="93"/>
      <c r="F987" s="93"/>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89"/>
      <c r="D988" s="89"/>
      <c r="E988" s="93"/>
      <c r="F988" s="93"/>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89"/>
      <c r="D989" s="89"/>
      <c r="E989" s="93"/>
      <c r="F989" s="93"/>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89"/>
      <c r="D990" s="89"/>
      <c r="E990" s="93"/>
      <c r="F990" s="93"/>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89"/>
      <c r="D991" s="89"/>
      <c r="E991" s="93"/>
      <c r="F991" s="93"/>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89"/>
      <c r="D992" s="89"/>
      <c r="E992" s="93"/>
      <c r="F992" s="93"/>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89"/>
      <c r="D993" s="89"/>
      <c r="E993" s="93"/>
      <c r="F993" s="93"/>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89"/>
      <c r="D994" s="89"/>
      <c r="E994" s="93"/>
      <c r="F994" s="93"/>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89"/>
      <c r="D995" s="89"/>
      <c r="E995" s="93"/>
      <c r="F995" s="93"/>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89"/>
      <c r="D996" s="89"/>
      <c r="E996" s="93"/>
      <c r="F996" s="93"/>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89"/>
      <c r="D997" s="89"/>
      <c r="E997" s="93"/>
      <c r="F997" s="93"/>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89"/>
      <c r="D998" s="89"/>
      <c r="E998" s="93"/>
      <c r="F998" s="93"/>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89"/>
      <c r="D999" s="89"/>
      <c r="E999" s="93"/>
      <c r="F999" s="93"/>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89"/>
      <c r="D1000" s="89"/>
      <c r="E1000" s="93"/>
      <c r="F1000" s="93"/>
      <c r="G1000" s="1"/>
      <c r="H1000" s="1"/>
      <c r="I1000" s="1"/>
      <c r="J1000" s="1"/>
      <c r="K1000" s="1"/>
      <c r="L1000" s="1"/>
      <c r="M1000" s="1"/>
      <c r="N1000" s="1"/>
      <c r="O1000" s="1"/>
      <c r="P1000" s="1"/>
      <c r="Q1000" s="1"/>
      <c r="R1000" s="1"/>
      <c r="S1000" s="1"/>
      <c r="T1000" s="1"/>
      <c r="U1000" s="1"/>
      <c r="V1000" s="1"/>
      <c r="W1000" s="1"/>
      <c r="X1000" s="1"/>
      <c r="Y1000" s="1"/>
      <c r="Z1000" s="1"/>
    </row>
  </sheetData>
  <mergeCells count="11">
    <mergeCell ref="E3:F3"/>
    <mergeCell ref="G3:H3"/>
    <mergeCell ref="A1:L1"/>
    <mergeCell ref="I3:J3"/>
    <mergeCell ref="K3:L3"/>
    <mergeCell ref="C2:D2"/>
    <mergeCell ref="A2:B2"/>
    <mergeCell ref="C3:D3"/>
    <mergeCell ref="A3:B3"/>
    <mergeCell ref="G2:L2"/>
    <mergeCell ref="E2:F2"/>
  </mergeCells>
  <pageMargins left="0.75" right="0.75" top="1" bottom="1" header="0.3" footer="0.3"/>
  <pageSetup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994"/>
  <sheetViews>
    <sheetView workbookViewId="0">
      <pane xSplit="1" ySplit="4" topLeftCell="B5" activePane="bottomRight" state="frozen"/>
      <selection pane="topRight" activeCell="B1" sqref="B1"/>
      <selection pane="bottomLeft" activeCell="A5" sqref="A5"/>
      <selection pane="bottomRight" activeCell="P23" sqref="P23"/>
    </sheetView>
  </sheetViews>
  <sheetFormatPr defaultColWidth="17.28515625" defaultRowHeight="15" customHeight="1" x14ac:dyDescent="0.2"/>
  <cols>
    <col min="1" max="1" width="6.140625" customWidth="1"/>
    <col min="2" max="2" width="13.28515625" customWidth="1"/>
    <col min="3" max="3" width="8.42578125" style="85" customWidth="1"/>
    <col min="4" max="4" width="10.42578125" style="85" customWidth="1"/>
    <col min="5" max="5" width="9.5703125" style="70" customWidth="1"/>
    <col min="6" max="6" width="9" style="70" customWidth="1"/>
    <col min="7" max="7" width="6.140625" style="107" customWidth="1"/>
    <col min="8" max="8" width="8" style="107" customWidth="1"/>
    <col min="9" max="9" width="5.42578125" customWidth="1"/>
    <col min="10" max="10" width="8.5703125" customWidth="1"/>
    <col min="11" max="11" width="8" customWidth="1"/>
    <col min="12" max="12" width="7.7109375" customWidth="1"/>
    <col min="13" max="13" width="8" customWidth="1"/>
    <col min="14" max="14" width="9.85546875" customWidth="1"/>
    <col min="15" max="24" width="11.42578125" customWidth="1"/>
  </cols>
  <sheetData>
    <row r="1" spans="1:24" ht="12.75" customHeight="1" x14ac:dyDescent="0.2">
      <c r="A1" s="163" t="s">
        <v>209</v>
      </c>
      <c r="B1" s="162"/>
      <c r="C1" s="162"/>
      <c r="D1" s="162"/>
      <c r="E1" s="162"/>
      <c r="F1" s="162"/>
      <c r="G1" s="162"/>
      <c r="H1" s="162"/>
      <c r="I1" s="162"/>
      <c r="J1" s="162"/>
      <c r="K1" s="162"/>
      <c r="L1" s="162"/>
      <c r="M1" s="162"/>
      <c r="N1" s="160"/>
      <c r="O1" s="1"/>
      <c r="P1" s="1"/>
      <c r="Q1" s="1"/>
      <c r="R1" s="1"/>
      <c r="S1" s="1"/>
      <c r="T1" s="1"/>
      <c r="U1" s="1"/>
      <c r="V1" s="1"/>
      <c r="W1" s="1"/>
      <c r="X1" s="1"/>
    </row>
    <row r="2" spans="1:24" ht="12" customHeight="1" x14ac:dyDescent="0.2">
      <c r="A2" s="155" t="s">
        <v>103</v>
      </c>
      <c r="B2" s="160"/>
      <c r="C2" s="156" t="s">
        <v>210</v>
      </c>
      <c r="D2" s="167"/>
      <c r="E2" s="157" t="s">
        <v>467</v>
      </c>
      <c r="F2" s="164"/>
      <c r="G2" s="170" t="s">
        <v>468</v>
      </c>
      <c r="H2" s="169"/>
      <c r="I2" s="161"/>
      <c r="J2" s="162"/>
      <c r="K2" s="162"/>
      <c r="L2" s="162"/>
      <c r="M2" s="162"/>
      <c r="N2" s="160"/>
      <c r="O2" s="1"/>
      <c r="P2" s="1"/>
      <c r="Q2" s="1"/>
      <c r="R2" s="1"/>
      <c r="S2" s="1"/>
      <c r="T2" s="1"/>
      <c r="U2" s="1"/>
      <c r="V2" s="1"/>
      <c r="W2" s="1"/>
      <c r="X2" s="1"/>
    </row>
    <row r="3" spans="1:24" ht="12" customHeight="1" x14ac:dyDescent="0.2">
      <c r="A3" s="154" t="s">
        <v>101</v>
      </c>
      <c r="B3" s="160"/>
      <c r="C3" s="152" t="s">
        <v>40</v>
      </c>
      <c r="D3" s="167"/>
      <c r="E3" s="148" t="s">
        <v>43</v>
      </c>
      <c r="F3" s="164"/>
      <c r="G3" s="168" t="s">
        <v>392</v>
      </c>
      <c r="H3" s="169"/>
      <c r="I3" s="147" t="s">
        <v>107</v>
      </c>
      <c r="J3" s="160"/>
      <c r="K3" s="147" t="s">
        <v>30</v>
      </c>
      <c r="L3" s="160"/>
      <c r="M3" s="147" t="s">
        <v>108</v>
      </c>
      <c r="N3" s="160"/>
      <c r="O3" s="1"/>
      <c r="P3" s="1"/>
      <c r="Q3" s="1"/>
      <c r="R3" s="1"/>
      <c r="S3" s="1"/>
      <c r="T3" s="1"/>
      <c r="U3" s="1"/>
      <c r="V3" s="1"/>
      <c r="W3" s="1"/>
      <c r="X3" s="1"/>
    </row>
    <row r="4" spans="1:24" ht="12" customHeight="1" x14ac:dyDescent="0.2">
      <c r="A4" s="12"/>
      <c r="B4" s="12">
        <f>+B9+B10+B16+B17+B23+B24+B31+B32+B38+B43+B44+B50+B51</f>
        <v>9392</v>
      </c>
      <c r="C4" s="78">
        <f>SUM(C9,C16,C23,C31,C38,C43,C50,C51)</f>
        <v>1876</v>
      </c>
      <c r="D4" s="79">
        <f>IF((K4=0),"",(C4/K4))</f>
        <v>0.4489112227805695</v>
      </c>
      <c r="E4" s="63">
        <f>SUM(E9,E16,E23,E31,E38,E43,E50,E51)</f>
        <v>2249</v>
      </c>
      <c r="F4" s="64">
        <f>IF((K4=0),"",(E4/K4))</f>
        <v>0.53816702560421148</v>
      </c>
      <c r="G4" s="100">
        <f>SUM(G9,G16,G23,G31,G38,G43,G50,G51)</f>
        <v>13</v>
      </c>
      <c r="H4" s="101">
        <f>IF((K4=0),"",(G4/K4))</f>
        <v>3.1107920555156735E-3</v>
      </c>
      <c r="I4" s="12">
        <f>SUM(I9,I16,I23,I31,I38,I43,I50,I51)</f>
        <v>41</v>
      </c>
      <c r="J4" s="13">
        <f>IF((K4=0),"",(I4/K4))</f>
        <v>9.8109595597032778E-3</v>
      </c>
      <c r="K4" s="12">
        <f>SUM(C4,E4,G4,I4)</f>
        <v>4179</v>
      </c>
      <c r="L4" s="13">
        <f>IF((B4=0),"",(K4/B4))</f>
        <v>0.44495315161839866</v>
      </c>
      <c r="M4" s="12">
        <f>+M9+M16+M23+M31+M38+M43+M50</f>
        <v>5138</v>
      </c>
      <c r="N4" s="13">
        <f>IF((B4=0),"",(M4/B4))</f>
        <v>0.54706132879045999</v>
      </c>
      <c r="O4" s="1"/>
      <c r="P4" s="1"/>
      <c r="Q4" s="1"/>
      <c r="R4" s="1"/>
      <c r="S4" s="1"/>
      <c r="T4" s="1"/>
      <c r="U4" s="1"/>
      <c r="V4" s="1"/>
      <c r="W4" s="1"/>
      <c r="X4" s="1"/>
    </row>
    <row r="5" spans="1:24" ht="12" customHeight="1" x14ac:dyDescent="0.2">
      <c r="A5" s="14" t="s">
        <v>211</v>
      </c>
      <c r="B5" s="32" t="s">
        <v>212</v>
      </c>
      <c r="C5" s="86"/>
      <c r="D5" s="86"/>
      <c r="E5" s="90"/>
      <c r="F5" s="90"/>
      <c r="G5" s="102"/>
      <c r="H5" s="102"/>
      <c r="I5" s="16"/>
      <c r="J5" s="16"/>
      <c r="K5" s="16"/>
      <c r="L5" s="16"/>
      <c r="M5" s="16"/>
      <c r="N5" s="16"/>
      <c r="O5" s="1"/>
      <c r="P5" s="1"/>
      <c r="Q5" s="1"/>
      <c r="R5" s="1"/>
      <c r="S5" s="1"/>
      <c r="T5" s="1"/>
      <c r="U5" s="1"/>
      <c r="V5" s="1"/>
      <c r="W5" s="1"/>
      <c r="X5" s="1"/>
    </row>
    <row r="6" spans="1:24" ht="12" customHeight="1" x14ac:dyDescent="0.2">
      <c r="A6" s="15" t="s">
        <v>191</v>
      </c>
      <c r="B6" s="15">
        <v>369</v>
      </c>
      <c r="C6" s="81">
        <v>52</v>
      </c>
      <c r="D6" s="82">
        <f>IF((K6=0),"",(C6/K6))</f>
        <v>0.33986928104575165</v>
      </c>
      <c r="E6" s="66">
        <v>100</v>
      </c>
      <c r="F6" s="67">
        <f>IF((K6=0),"",(E6/K6))</f>
        <v>0.65359477124183007</v>
      </c>
      <c r="G6" s="103">
        <v>1</v>
      </c>
      <c r="H6" s="104">
        <f>IF((K6=0),"",(G6/K6))</f>
        <v>6.5359477124183009E-3</v>
      </c>
      <c r="I6" s="15">
        <v>0</v>
      </c>
      <c r="J6" s="17">
        <f>IF((K6=0),"",(I6/K6))</f>
        <v>0</v>
      </c>
      <c r="K6" s="15">
        <f>SUM(C6,E6,G6,I6)</f>
        <v>153</v>
      </c>
      <c r="L6" s="17">
        <f>IF((B6=0),"",(K6/B6))</f>
        <v>0.41463414634146339</v>
      </c>
      <c r="M6" s="15">
        <f>B6-K6</f>
        <v>216</v>
      </c>
      <c r="N6" s="17">
        <f>IF((B6=0),"",(M6/B6))</f>
        <v>0.58536585365853655</v>
      </c>
      <c r="O6" s="1"/>
      <c r="P6" s="1"/>
      <c r="Q6" s="1"/>
      <c r="R6" s="1"/>
      <c r="S6" s="1"/>
      <c r="T6" s="1"/>
      <c r="U6" s="1"/>
      <c r="V6" s="1"/>
      <c r="W6" s="1"/>
      <c r="X6" s="1"/>
    </row>
    <row r="7" spans="1:24" ht="12" customHeight="1" x14ac:dyDescent="0.2">
      <c r="A7" s="15" t="s">
        <v>192</v>
      </c>
      <c r="B7" s="15">
        <v>307</v>
      </c>
      <c r="C7" s="81">
        <v>38</v>
      </c>
      <c r="D7" s="82">
        <f>IF((K7=0),"",(C7/K7))</f>
        <v>0.29457364341085274</v>
      </c>
      <c r="E7" s="66">
        <v>90</v>
      </c>
      <c r="F7" s="67">
        <f>IF((K7=0),"",(E7/K7))</f>
        <v>0.69767441860465118</v>
      </c>
      <c r="G7" s="103">
        <v>0</v>
      </c>
      <c r="H7" s="104">
        <f>IF((K7=0),"",(G7/K7))</f>
        <v>0</v>
      </c>
      <c r="I7" s="15">
        <v>1</v>
      </c>
      <c r="J7" s="17">
        <f>IF((K7=0),"",(I7/K7))</f>
        <v>7.7519379844961239E-3</v>
      </c>
      <c r="K7" s="15">
        <f>SUM(C7,E7,G7,I7)</f>
        <v>129</v>
      </c>
      <c r="L7" s="17">
        <f>IF((B7=0),"",(K7/B7))</f>
        <v>0.4201954397394137</v>
      </c>
      <c r="M7" s="29">
        <f>B7-K7</f>
        <v>178</v>
      </c>
      <c r="N7" s="17">
        <f>IF((B7=0),"",(M7/B7))</f>
        <v>0.57980456026058635</v>
      </c>
      <c r="O7" s="1"/>
      <c r="P7" s="1"/>
      <c r="Q7" s="1"/>
      <c r="R7" s="1"/>
      <c r="S7" s="1"/>
      <c r="T7" s="1"/>
      <c r="U7" s="1"/>
      <c r="V7" s="1"/>
      <c r="W7" s="1"/>
      <c r="X7" s="1"/>
    </row>
    <row r="8" spans="1:24" ht="12" customHeight="1" x14ac:dyDescent="0.2">
      <c r="A8" s="15" t="s">
        <v>193</v>
      </c>
      <c r="B8" s="15">
        <v>374</v>
      </c>
      <c r="C8" s="81">
        <v>56</v>
      </c>
      <c r="D8" s="82">
        <f>IF((K8=0),"",(C8/K8))</f>
        <v>0.34146341463414637</v>
      </c>
      <c r="E8" s="66">
        <v>106</v>
      </c>
      <c r="F8" s="67">
        <f>IF((K8=0),"",(E8/K8))</f>
        <v>0.64634146341463417</v>
      </c>
      <c r="G8" s="103">
        <v>0</v>
      </c>
      <c r="H8" s="104">
        <f>IF((K8=0),"",(G8/K8))</f>
        <v>0</v>
      </c>
      <c r="I8" s="15">
        <v>2</v>
      </c>
      <c r="J8" s="17">
        <f>IF((K8=0),"",(I8/K8))</f>
        <v>1.2195121951219513E-2</v>
      </c>
      <c r="K8" s="15">
        <f>SUM(C8,E8,G8,I8)</f>
        <v>164</v>
      </c>
      <c r="L8" s="17">
        <f>IF((B8=0),"",(K8/B8))</f>
        <v>0.43850267379679142</v>
      </c>
      <c r="M8" s="29">
        <f>B8-K8</f>
        <v>210</v>
      </c>
      <c r="N8" s="17">
        <f>IF((B8=0),"",(M8/B8))</f>
        <v>0.56149732620320858</v>
      </c>
      <c r="O8" s="1"/>
      <c r="P8" s="1"/>
      <c r="Q8" s="1"/>
      <c r="R8" s="1"/>
      <c r="S8" s="1"/>
      <c r="T8" s="1"/>
      <c r="U8" s="1"/>
      <c r="V8" s="1"/>
      <c r="W8" s="1"/>
      <c r="X8" s="1"/>
    </row>
    <row r="9" spans="1:24" ht="12" customHeight="1" x14ac:dyDescent="0.2">
      <c r="A9" s="12" t="s">
        <v>120</v>
      </c>
      <c r="B9" s="12">
        <f>SUM(B6:B8)</f>
        <v>1050</v>
      </c>
      <c r="C9" s="78">
        <f>SUM(C6:C8)</f>
        <v>146</v>
      </c>
      <c r="D9" s="79">
        <f>IF((K9=0),"",(C9/K9))</f>
        <v>0.3273542600896861</v>
      </c>
      <c r="E9" s="63">
        <f>SUM(E6:E8)</f>
        <v>296</v>
      </c>
      <c r="F9" s="64">
        <f>IF((K9=0),"",(E9/K9))</f>
        <v>0.66367713004484308</v>
      </c>
      <c r="G9" s="100">
        <f>SUM(G6:G8)</f>
        <v>1</v>
      </c>
      <c r="H9" s="101">
        <f>IF((K9=0),"",(G9/K9))</f>
        <v>2.242152466367713E-3</v>
      </c>
      <c r="I9" s="12">
        <f>SUM(I6:I8)</f>
        <v>3</v>
      </c>
      <c r="J9" s="13">
        <f>IF((K9=0),"",(I9/K9))</f>
        <v>6.7264573991031393E-3</v>
      </c>
      <c r="K9" s="12">
        <f>SUM(C9,E9,G9,I9)</f>
        <v>446</v>
      </c>
      <c r="L9" s="13">
        <f>IF((B9=0),"",(K9/B9))</f>
        <v>0.42476190476190478</v>
      </c>
      <c r="M9" s="12">
        <f>SUM(M6:M8)</f>
        <v>604</v>
      </c>
      <c r="N9" s="13">
        <f>IF((B9=0),"",(M9/B9))</f>
        <v>0.57523809523809522</v>
      </c>
      <c r="O9" s="1"/>
      <c r="P9" s="1"/>
      <c r="Q9" s="1"/>
      <c r="R9" s="1"/>
      <c r="S9" s="1"/>
      <c r="T9" s="1"/>
      <c r="U9" s="1"/>
      <c r="V9" s="1"/>
      <c r="W9" s="1"/>
      <c r="X9" s="1"/>
    </row>
    <row r="10" spans="1:24" s="46" customFormat="1" ht="12" customHeight="1" x14ac:dyDescent="0.2">
      <c r="A10" s="32" t="s">
        <v>542</v>
      </c>
      <c r="B10" s="32">
        <v>4</v>
      </c>
      <c r="C10" s="78"/>
      <c r="D10" s="79"/>
      <c r="E10" s="63"/>
      <c r="F10" s="64"/>
      <c r="G10" s="100"/>
      <c r="H10" s="101"/>
      <c r="I10" s="32"/>
      <c r="J10" s="28"/>
      <c r="K10" s="32"/>
      <c r="L10" s="28"/>
      <c r="M10" s="32"/>
      <c r="N10" s="28"/>
      <c r="O10" s="1"/>
      <c r="P10" s="1"/>
      <c r="Q10" s="1"/>
      <c r="R10" s="1"/>
      <c r="S10" s="1"/>
      <c r="T10" s="1"/>
      <c r="U10" s="1"/>
      <c r="V10" s="1"/>
      <c r="W10" s="1"/>
      <c r="X10" s="1"/>
    </row>
    <row r="11" spans="1:24" ht="12" customHeight="1" x14ac:dyDescent="0.2">
      <c r="A11" s="14" t="s">
        <v>213</v>
      </c>
      <c r="B11" s="32" t="s">
        <v>214</v>
      </c>
      <c r="C11" s="86"/>
      <c r="D11" s="86"/>
      <c r="E11" s="90"/>
      <c r="F11" s="90"/>
      <c r="G11" s="102"/>
      <c r="H11" s="102"/>
      <c r="I11" s="16"/>
      <c r="J11" s="16"/>
      <c r="K11" s="16"/>
      <c r="L11" s="16"/>
      <c r="M11" s="16"/>
      <c r="N11" s="16"/>
      <c r="O11" s="1"/>
      <c r="P11" s="1"/>
      <c r="Q11" s="1"/>
      <c r="R11" s="1"/>
      <c r="S11" s="1"/>
      <c r="T11" s="1"/>
      <c r="U11" s="1"/>
      <c r="V11" s="1"/>
      <c r="W11" s="1"/>
      <c r="X11" s="1"/>
    </row>
    <row r="12" spans="1:24" ht="12" customHeight="1" x14ac:dyDescent="0.2">
      <c r="A12" s="15" t="s">
        <v>191</v>
      </c>
      <c r="B12" s="15">
        <v>435</v>
      </c>
      <c r="C12" s="81">
        <v>85</v>
      </c>
      <c r="D12" s="82">
        <f>IF((K12=0),"",(C12/K12))</f>
        <v>0.4913294797687861</v>
      </c>
      <c r="E12" s="66">
        <v>87</v>
      </c>
      <c r="F12" s="67">
        <f>IF((K12=0),"",(E12/K12))</f>
        <v>0.50289017341040465</v>
      </c>
      <c r="G12" s="103">
        <v>0</v>
      </c>
      <c r="H12" s="104">
        <f>IF((K12=0),"",(G12/K12))</f>
        <v>0</v>
      </c>
      <c r="I12" s="15">
        <v>1</v>
      </c>
      <c r="J12" s="17">
        <f>IF((K12=0),"",(I12/K12))</f>
        <v>5.7803468208092483E-3</v>
      </c>
      <c r="K12" s="15">
        <f>SUM(C12,E12,G12,I12)</f>
        <v>173</v>
      </c>
      <c r="L12" s="17">
        <f>IF((B12=0),"",(K12/B12))</f>
        <v>0.39770114942528734</v>
      </c>
      <c r="M12" s="29">
        <f>B12-K12</f>
        <v>262</v>
      </c>
      <c r="N12" s="17">
        <f>IF((B12=0),"",(M12/B12))</f>
        <v>0.60229885057471266</v>
      </c>
      <c r="O12" s="1"/>
      <c r="P12" s="1"/>
      <c r="Q12" s="1"/>
      <c r="R12" s="1"/>
      <c r="S12" s="1"/>
      <c r="T12" s="1"/>
      <c r="U12" s="1"/>
      <c r="V12" s="1"/>
      <c r="W12" s="1"/>
      <c r="X12" s="1"/>
    </row>
    <row r="13" spans="1:24" ht="12" customHeight="1" x14ac:dyDescent="0.2">
      <c r="A13" s="15" t="s">
        <v>330</v>
      </c>
      <c r="B13" s="15">
        <v>335</v>
      </c>
      <c r="C13" s="81">
        <v>72</v>
      </c>
      <c r="D13" s="82">
        <f>IF((K13=0),"",(C13/K13))</f>
        <v>0.44444444444444442</v>
      </c>
      <c r="E13" s="66">
        <v>88</v>
      </c>
      <c r="F13" s="67">
        <f>IF((K13=0),"",(E13/K13))</f>
        <v>0.54320987654320985</v>
      </c>
      <c r="G13" s="103">
        <v>0</v>
      </c>
      <c r="H13" s="104">
        <f>IF((K13=0),"",(G13/K13))</f>
        <v>0</v>
      </c>
      <c r="I13" s="15">
        <v>2</v>
      </c>
      <c r="J13" s="17">
        <f>IF((K13=0),"",(I13/K13))</f>
        <v>1.2345679012345678E-2</v>
      </c>
      <c r="K13" s="15">
        <f>SUM(C13,E13,G13,I13)</f>
        <v>162</v>
      </c>
      <c r="L13" s="17">
        <f>IF((B13=0),"",(K13/B13))</f>
        <v>0.4835820895522388</v>
      </c>
      <c r="M13" s="29">
        <f>B13-K13</f>
        <v>173</v>
      </c>
      <c r="N13" s="17">
        <f>IF((B13=0),"",(M13/B13))</f>
        <v>0.5164179104477612</v>
      </c>
      <c r="O13" s="1"/>
      <c r="P13" s="1"/>
      <c r="Q13" s="1"/>
      <c r="R13" s="1"/>
      <c r="S13" s="1"/>
      <c r="T13" s="1"/>
      <c r="U13" s="1"/>
      <c r="V13" s="1"/>
      <c r="W13" s="1"/>
      <c r="X13" s="1"/>
    </row>
    <row r="14" spans="1:24" ht="12" customHeight="1" x14ac:dyDescent="0.2">
      <c r="A14" s="15" t="s">
        <v>469</v>
      </c>
      <c r="B14" s="15">
        <v>311</v>
      </c>
      <c r="C14" s="81">
        <v>54</v>
      </c>
      <c r="D14" s="82">
        <f>IF((K14=0),"",(C14/K14))</f>
        <v>0.421875</v>
      </c>
      <c r="E14" s="66">
        <v>72</v>
      </c>
      <c r="F14" s="67">
        <f>IF((K14=0),"",(E14/K14))</f>
        <v>0.5625</v>
      </c>
      <c r="G14" s="103">
        <v>0</v>
      </c>
      <c r="H14" s="104">
        <f>IF((K14=0),"",(G14/K14))</f>
        <v>0</v>
      </c>
      <c r="I14" s="15">
        <v>2</v>
      </c>
      <c r="J14" s="17">
        <f>IF((K14=0),"",(I14/K14))</f>
        <v>1.5625E-2</v>
      </c>
      <c r="K14" s="15">
        <f>SUM(C14,E14,G14,I14)</f>
        <v>128</v>
      </c>
      <c r="L14" s="17">
        <f>IF((B14=0),"",(K14/B14))</f>
        <v>0.41157556270096463</v>
      </c>
      <c r="M14" s="29">
        <f>B14-K14</f>
        <v>183</v>
      </c>
      <c r="N14" s="17">
        <f>IF((B14=0),"",(M14/B14))</f>
        <v>0.58842443729903537</v>
      </c>
      <c r="O14" s="1"/>
      <c r="P14" s="1"/>
      <c r="Q14" s="1"/>
      <c r="R14" s="1"/>
      <c r="S14" s="1"/>
      <c r="T14" s="1"/>
      <c r="U14" s="1"/>
      <c r="V14" s="1"/>
      <c r="W14" s="1"/>
      <c r="X14" s="1"/>
    </row>
    <row r="15" spans="1:24" ht="12" customHeight="1" x14ac:dyDescent="0.2">
      <c r="A15" s="15" t="s">
        <v>123</v>
      </c>
      <c r="B15" s="15">
        <v>210</v>
      </c>
      <c r="C15" s="81">
        <v>33</v>
      </c>
      <c r="D15" s="82">
        <f>IF((K15=0),"",(C15/K15))</f>
        <v>0.3473684210526316</v>
      </c>
      <c r="E15" s="66">
        <v>59</v>
      </c>
      <c r="F15" s="67">
        <f>IF((K15=0),"",(E15/K15))</f>
        <v>0.62105263157894741</v>
      </c>
      <c r="G15" s="103">
        <v>0</v>
      </c>
      <c r="H15" s="104">
        <f>IF((K15=0),"",(G15/K15))</f>
        <v>0</v>
      </c>
      <c r="I15" s="15">
        <v>3</v>
      </c>
      <c r="J15" s="17">
        <f>IF((K15=0),"",(I15/K15))</f>
        <v>3.1578947368421054E-2</v>
      </c>
      <c r="K15" s="15">
        <f>SUM(C15,E15,G15,I15)</f>
        <v>95</v>
      </c>
      <c r="L15" s="17">
        <f>IF((B15=0),"",(K15/B15))</f>
        <v>0.45238095238095238</v>
      </c>
      <c r="M15" s="29">
        <f>B15-K15</f>
        <v>115</v>
      </c>
      <c r="N15" s="17">
        <f>IF((B15=0),"",(M15/B15))</f>
        <v>0.54761904761904767</v>
      </c>
      <c r="O15" s="1"/>
      <c r="P15" s="1"/>
      <c r="Q15" s="1"/>
      <c r="R15" s="1"/>
      <c r="S15" s="1"/>
      <c r="T15" s="1"/>
      <c r="U15" s="1"/>
      <c r="V15" s="1"/>
      <c r="W15" s="1"/>
      <c r="X15" s="1"/>
    </row>
    <row r="16" spans="1:24" ht="12" customHeight="1" x14ac:dyDescent="0.2">
      <c r="A16" s="12" t="s">
        <v>120</v>
      </c>
      <c r="B16" s="12">
        <f>SUM(B12:B15)</f>
        <v>1291</v>
      </c>
      <c r="C16" s="78">
        <f>SUM(C12:C15)</f>
        <v>244</v>
      </c>
      <c r="D16" s="79">
        <f>IF((K16=0),"",(C16/K16))</f>
        <v>0.43727598566308246</v>
      </c>
      <c r="E16" s="63">
        <f>SUM(E12:E15)</f>
        <v>306</v>
      </c>
      <c r="F16" s="64">
        <f>IF((K16=0),"",(E16/K16))</f>
        <v>0.54838709677419351</v>
      </c>
      <c r="G16" s="100">
        <f>SUM(G12:G15)</f>
        <v>0</v>
      </c>
      <c r="H16" s="104">
        <f>IF((K16=0),"",(G16/K16))</f>
        <v>0</v>
      </c>
      <c r="I16" s="12">
        <f>SUM(I12:I15)</f>
        <v>8</v>
      </c>
      <c r="J16" s="13">
        <f>IF((K16=0),"",(I16/K16))</f>
        <v>1.4336917562724014E-2</v>
      </c>
      <c r="K16" s="12">
        <f>SUM(C16,E16,G16,I16)</f>
        <v>558</v>
      </c>
      <c r="L16" s="13">
        <f>IF((B16=0),"",(K16/B16))</f>
        <v>0.4322230828814872</v>
      </c>
      <c r="M16" s="12">
        <f>SUM(M12:M15)</f>
        <v>733</v>
      </c>
      <c r="N16" s="13">
        <f>IF((B16=0),"",(M16/B16))</f>
        <v>0.56777691711851275</v>
      </c>
      <c r="O16" s="1"/>
      <c r="P16" s="1"/>
      <c r="Q16" s="1"/>
      <c r="R16" s="1"/>
      <c r="S16" s="1"/>
      <c r="T16" s="1"/>
      <c r="U16" s="1"/>
      <c r="V16" s="1"/>
      <c r="W16" s="1"/>
      <c r="X16" s="1"/>
    </row>
    <row r="17" spans="1:24" s="46" customFormat="1" ht="12" customHeight="1" x14ac:dyDescent="0.2">
      <c r="A17" s="32" t="s">
        <v>542</v>
      </c>
      <c r="B17" s="32">
        <v>13</v>
      </c>
      <c r="C17" s="78"/>
      <c r="D17" s="79"/>
      <c r="E17" s="63"/>
      <c r="F17" s="64"/>
      <c r="G17" s="100"/>
      <c r="H17" s="104"/>
      <c r="I17" s="32"/>
      <c r="J17" s="28"/>
      <c r="K17" s="32"/>
      <c r="L17" s="28"/>
      <c r="M17" s="32"/>
      <c r="N17" s="28"/>
      <c r="O17" s="1"/>
      <c r="P17" s="1"/>
      <c r="Q17" s="1"/>
      <c r="R17" s="1"/>
      <c r="S17" s="1"/>
      <c r="T17" s="1"/>
      <c r="U17" s="1"/>
      <c r="V17" s="1"/>
      <c r="W17" s="1"/>
      <c r="X17" s="1"/>
    </row>
    <row r="18" spans="1:24" ht="12" customHeight="1" x14ac:dyDescent="0.2">
      <c r="A18" s="36" t="s">
        <v>470</v>
      </c>
      <c r="B18" s="32" t="s">
        <v>216</v>
      </c>
      <c r="C18" s="86"/>
      <c r="D18" s="86"/>
      <c r="E18" s="90"/>
      <c r="F18" s="90"/>
      <c r="G18" s="102"/>
      <c r="H18" s="102"/>
      <c r="I18" s="16"/>
      <c r="J18" s="16"/>
      <c r="K18" s="16"/>
      <c r="L18" s="16"/>
      <c r="M18" s="16"/>
      <c r="N18" s="16"/>
      <c r="O18" s="1"/>
      <c r="P18" s="1"/>
      <c r="Q18" s="1"/>
      <c r="R18" s="1"/>
      <c r="S18" s="1"/>
      <c r="T18" s="1"/>
      <c r="U18" s="1"/>
      <c r="V18" s="1"/>
      <c r="W18" s="1"/>
      <c r="X18" s="1"/>
    </row>
    <row r="19" spans="1:24" ht="12" customHeight="1" x14ac:dyDescent="0.2">
      <c r="A19" s="29" t="s">
        <v>191</v>
      </c>
      <c r="B19" s="15">
        <v>363</v>
      </c>
      <c r="C19" s="81">
        <v>63</v>
      </c>
      <c r="D19" s="82">
        <f>IF((K19=0),"",(C19/K19))</f>
        <v>0.47368421052631576</v>
      </c>
      <c r="E19" s="66">
        <v>69</v>
      </c>
      <c r="F19" s="67">
        <f>IF((K19=0),"",(E19/K19))</f>
        <v>0.51879699248120303</v>
      </c>
      <c r="G19" s="103">
        <v>0</v>
      </c>
      <c r="H19" s="104">
        <f>IF((K19=0),"",(G19/K19))</f>
        <v>0</v>
      </c>
      <c r="I19" s="15">
        <v>1</v>
      </c>
      <c r="J19" s="17">
        <f>IF((K19=0),"",(I19/K19))</f>
        <v>7.5187969924812026E-3</v>
      </c>
      <c r="K19" s="15">
        <f>SUM(C19,E19,G19,I19)</f>
        <v>133</v>
      </c>
      <c r="L19" s="17">
        <f>IF((B19=0),"",(K19/B19))</f>
        <v>0.36639118457300274</v>
      </c>
      <c r="M19" s="29">
        <f>B19-K19</f>
        <v>230</v>
      </c>
      <c r="N19" s="17">
        <f>IF((B19=0),"",(M19/B19))</f>
        <v>0.63360881542699721</v>
      </c>
      <c r="O19" s="1"/>
      <c r="P19" s="1"/>
      <c r="Q19" s="1"/>
      <c r="R19" s="1"/>
      <c r="S19" s="1"/>
      <c r="T19" s="1"/>
      <c r="U19" s="1"/>
      <c r="V19" s="1"/>
      <c r="W19" s="1"/>
      <c r="X19" s="1"/>
    </row>
    <row r="20" spans="1:24" ht="12" customHeight="1" x14ac:dyDescent="0.2">
      <c r="A20" s="29" t="s">
        <v>132</v>
      </c>
      <c r="B20" s="15">
        <v>383</v>
      </c>
      <c r="C20" s="81">
        <v>84</v>
      </c>
      <c r="D20" s="82">
        <f>IF((K20=0),"",(C20/K20))</f>
        <v>0.52500000000000002</v>
      </c>
      <c r="E20" s="66">
        <v>71</v>
      </c>
      <c r="F20" s="67">
        <f>IF((K20=0),"",(E20/K20))</f>
        <v>0.44374999999999998</v>
      </c>
      <c r="G20" s="103">
        <v>1</v>
      </c>
      <c r="H20" s="104">
        <f>IF((K20=0),"",(G20/K20))</f>
        <v>6.2500000000000003E-3</v>
      </c>
      <c r="I20" s="15">
        <v>4</v>
      </c>
      <c r="J20" s="17">
        <f>IF((K20=0),"",(I20/K20))</f>
        <v>2.5000000000000001E-2</v>
      </c>
      <c r="K20" s="15">
        <f>SUM(C20,E20,G20,I20)</f>
        <v>160</v>
      </c>
      <c r="L20" s="17">
        <f>IF((B20=0),"",(K20/B20))</f>
        <v>0.4177545691906005</v>
      </c>
      <c r="M20" s="29">
        <f>B20-K20</f>
        <v>223</v>
      </c>
      <c r="N20" s="17">
        <f>IF((B20=0),"",(M20/B20))</f>
        <v>0.5822454308093995</v>
      </c>
      <c r="O20" s="1"/>
      <c r="P20" s="1"/>
      <c r="Q20" s="1"/>
      <c r="R20" s="1"/>
      <c r="S20" s="1"/>
      <c r="T20" s="1"/>
      <c r="U20" s="1"/>
      <c r="V20" s="1"/>
      <c r="W20" s="1"/>
      <c r="X20" s="1"/>
    </row>
    <row r="21" spans="1:24" ht="12" customHeight="1" x14ac:dyDescent="0.2">
      <c r="A21" s="29" t="s">
        <v>356</v>
      </c>
      <c r="B21" s="15">
        <v>311</v>
      </c>
      <c r="C21" s="81">
        <v>43</v>
      </c>
      <c r="D21" s="82">
        <f>IF((K21=0),"",(C21/K21))</f>
        <v>0.36752136752136755</v>
      </c>
      <c r="E21" s="66">
        <v>73</v>
      </c>
      <c r="F21" s="67">
        <f>IF((K21=0),"",(E21/K21))</f>
        <v>0.62393162393162394</v>
      </c>
      <c r="G21" s="103">
        <v>0</v>
      </c>
      <c r="H21" s="104">
        <f>IF((K21=0),"",(G21/K21))</f>
        <v>0</v>
      </c>
      <c r="I21" s="15">
        <v>1</v>
      </c>
      <c r="J21" s="17">
        <f>IF((K21=0),"",(I21/K21))</f>
        <v>8.5470085470085479E-3</v>
      </c>
      <c r="K21" s="15">
        <f>SUM(C21,E21,G21,I21)</f>
        <v>117</v>
      </c>
      <c r="L21" s="17">
        <f>IF((B21=0),"",(K21/B21))</f>
        <v>0.3762057877813505</v>
      </c>
      <c r="M21" s="29">
        <f>B21-K21</f>
        <v>194</v>
      </c>
      <c r="N21" s="17">
        <f>IF((B21=0),"",(M21/B21))</f>
        <v>0.6237942122186495</v>
      </c>
      <c r="O21" s="1"/>
      <c r="P21" s="1"/>
      <c r="Q21" s="1"/>
      <c r="R21" s="1"/>
      <c r="S21" s="1"/>
      <c r="T21" s="1"/>
      <c r="U21" s="1"/>
      <c r="V21" s="1"/>
      <c r="W21" s="1"/>
      <c r="X21" s="1"/>
    </row>
    <row r="22" spans="1:24" s="38" customFormat="1" ht="12" customHeight="1" x14ac:dyDescent="0.2">
      <c r="A22" s="29" t="s">
        <v>173</v>
      </c>
      <c r="B22" s="15">
        <v>288</v>
      </c>
      <c r="C22" s="81">
        <v>40</v>
      </c>
      <c r="D22" s="82">
        <f>IF((K22=0),"",(C22/K22))</f>
        <v>0.33613445378151263</v>
      </c>
      <c r="E22" s="66">
        <v>79</v>
      </c>
      <c r="F22" s="67">
        <f>IF((K22=0),"",(E22/K22))</f>
        <v>0.66386554621848737</v>
      </c>
      <c r="G22" s="103">
        <v>0</v>
      </c>
      <c r="H22" s="104">
        <f>IF((K22=0),"",(G22/K22))</f>
        <v>0</v>
      </c>
      <c r="I22" s="15">
        <v>0</v>
      </c>
      <c r="J22" s="17">
        <f>IF((K22=0),"",(I22/K22))</f>
        <v>0</v>
      </c>
      <c r="K22" s="15">
        <f>SUM(C22,E22,G22,I22)</f>
        <v>119</v>
      </c>
      <c r="L22" s="17">
        <f>IF((B22=0),"",(K22/B22))</f>
        <v>0.41319444444444442</v>
      </c>
      <c r="M22" s="29">
        <f>B22-K22</f>
        <v>169</v>
      </c>
      <c r="N22" s="17">
        <f>IF((B22=0),"",(M22/B22))</f>
        <v>0.58680555555555558</v>
      </c>
      <c r="O22" s="1"/>
      <c r="P22" s="1"/>
      <c r="Q22" s="1"/>
      <c r="R22" s="1"/>
      <c r="S22" s="1"/>
      <c r="T22" s="1"/>
      <c r="U22" s="1"/>
      <c r="V22" s="1"/>
      <c r="W22" s="1"/>
      <c r="X22" s="1"/>
    </row>
    <row r="23" spans="1:24" ht="12" customHeight="1" x14ac:dyDescent="0.2">
      <c r="A23" s="32" t="s">
        <v>120</v>
      </c>
      <c r="B23" s="12">
        <f>SUM(B19:B22)</f>
        <v>1345</v>
      </c>
      <c r="C23" s="78">
        <f>SUM(C19:C22)</f>
        <v>230</v>
      </c>
      <c r="D23" s="79">
        <f>IF((K23=0),"",(C23/K23))</f>
        <v>0.43478260869565216</v>
      </c>
      <c r="E23" s="63">
        <f>SUM(E19:E22)</f>
        <v>292</v>
      </c>
      <c r="F23" s="64">
        <f>IF((K23=0),"",(E23/K23))</f>
        <v>0.55198487712665412</v>
      </c>
      <c r="G23" s="100">
        <f>SUM(G19:G22)</f>
        <v>1</v>
      </c>
      <c r="H23" s="104">
        <f>IF((K23=0),"",(G23/K23))</f>
        <v>1.890359168241966E-3</v>
      </c>
      <c r="I23" s="12">
        <f>SUM(I19:I22)</f>
        <v>6</v>
      </c>
      <c r="J23" s="13">
        <f>IF((K23=0),"",(I23/K23))</f>
        <v>1.1342155009451797E-2</v>
      </c>
      <c r="K23" s="12">
        <f>SUM(C23,E23,G23,I23)</f>
        <v>529</v>
      </c>
      <c r="L23" s="13">
        <f>IF((B23=0),"",(K23/B23))</f>
        <v>0.39330855018587363</v>
      </c>
      <c r="M23" s="12">
        <f>SUM(M19:M22)</f>
        <v>816</v>
      </c>
      <c r="N23" s="13">
        <f>IF((B23=0),"",(M23/B23))</f>
        <v>0.60669144981412637</v>
      </c>
      <c r="O23" s="1"/>
      <c r="P23" s="1"/>
      <c r="Q23" s="1"/>
      <c r="R23" s="1"/>
      <c r="S23" s="1"/>
      <c r="T23" s="1"/>
      <c r="U23" s="1"/>
      <c r="V23" s="1"/>
      <c r="W23" s="1"/>
      <c r="X23" s="1"/>
    </row>
    <row r="24" spans="1:24" s="46" customFormat="1" ht="12" customHeight="1" x14ac:dyDescent="0.2">
      <c r="A24" s="32" t="s">
        <v>542</v>
      </c>
      <c r="B24" s="32">
        <v>27</v>
      </c>
      <c r="C24" s="78"/>
      <c r="D24" s="79"/>
      <c r="E24" s="63"/>
      <c r="F24" s="64"/>
      <c r="G24" s="100"/>
      <c r="H24" s="104"/>
      <c r="I24" s="32"/>
      <c r="J24" s="28"/>
      <c r="K24" s="32"/>
      <c r="L24" s="28"/>
      <c r="M24" s="32"/>
      <c r="N24" s="28"/>
      <c r="O24" s="1"/>
      <c r="P24" s="1"/>
      <c r="Q24" s="1"/>
      <c r="R24" s="1"/>
      <c r="S24" s="1"/>
      <c r="T24" s="1"/>
      <c r="U24" s="1"/>
      <c r="V24" s="1"/>
      <c r="W24" s="1"/>
      <c r="X24" s="1"/>
    </row>
    <row r="25" spans="1:24" ht="12" customHeight="1" x14ac:dyDescent="0.2">
      <c r="A25" s="36" t="s">
        <v>471</v>
      </c>
      <c r="B25" s="32" t="s">
        <v>217</v>
      </c>
      <c r="C25" s="86"/>
      <c r="D25" s="86"/>
      <c r="E25" s="90"/>
      <c r="F25" s="90"/>
      <c r="G25" s="102"/>
      <c r="H25" s="102"/>
      <c r="I25" s="16"/>
      <c r="J25" s="16"/>
      <c r="K25" s="16"/>
      <c r="L25" s="16"/>
      <c r="M25" s="16"/>
      <c r="N25" s="16"/>
      <c r="O25" s="1"/>
      <c r="P25" s="1"/>
      <c r="Q25" s="1"/>
      <c r="R25" s="1"/>
      <c r="S25" s="1"/>
      <c r="T25" s="1"/>
      <c r="U25" s="1"/>
      <c r="V25" s="1"/>
      <c r="W25" s="1"/>
      <c r="X25" s="1"/>
    </row>
    <row r="26" spans="1:24" ht="12" customHeight="1" x14ac:dyDescent="0.2">
      <c r="A26" s="29" t="s">
        <v>136</v>
      </c>
      <c r="B26" s="15">
        <v>395</v>
      </c>
      <c r="C26" s="81">
        <v>84</v>
      </c>
      <c r="D26" s="82">
        <f t="shared" ref="D26:D31" si="0">IF((K26=0),"",(C26/K26))</f>
        <v>0.47191011235955055</v>
      </c>
      <c r="E26" s="66">
        <v>93</v>
      </c>
      <c r="F26" s="67">
        <f t="shared" ref="F26:F31" si="1">IF((K26=0),"",(E26/K26))</f>
        <v>0.52247191011235961</v>
      </c>
      <c r="G26" s="103">
        <v>0</v>
      </c>
      <c r="H26" s="104">
        <f t="shared" ref="H26:H31" si="2">IF((K26=0),"",(G26/K26))</f>
        <v>0</v>
      </c>
      <c r="I26" s="15">
        <v>1</v>
      </c>
      <c r="J26" s="17">
        <f t="shared" ref="J26:J31" si="3">IF((K26=0),"",(I26/K26))</f>
        <v>5.6179775280898875E-3</v>
      </c>
      <c r="K26" s="15">
        <f t="shared" ref="K26:K31" si="4">SUM(C26,E26,G26,I26)</f>
        <v>178</v>
      </c>
      <c r="L26" s="17">
        <f t="shared" ref="L26:L31" si="5">IF((B26=0),"",(K26/B26))</f>
        <v>0.45063291139240508</v>
      </c>
      <c r="M26" s="29">
        <f>B26-K26</f>
        <v>217</v>
      </c>
      <c r="N26" s="17">
        <f t="shared" ref="N26:N31" si="6">IF((B26=0),"",(M26/B26))</f>
        <v>0.54936708860759498</v>
      </c>
      <c r="O26" s="1"/>
      <c r="P26" s="1"/>
      <c r="Q26" s="1"/>
      <c r="R26" s="1"/>
      <c r="S26" s="1"/>
      <c r="T26" s="1"/>
      <c r="U26" s="1"/>
      <c r="V26" s="1"/>
      <c r="W26" s="1"/>
      <c r="X26" s="1"/>
    </row>
    <row r="27" spans="1:24" s="38" customFormat="1" ht="12" customHeight="1" x14ac:dyDescent="0.2">
      <c r="A27" s="29" t="s">
        <v>167</v>
      </c>
      <c r="B27" s="15">
        <v>337</v>
      </c>
      <c r="C27" s="81">
        <v>74</v>
      </c>
      <c r="D27" s="82">
        <f t="shared" si="0"/>
        <v>0.52482269503546097</v>
      </c>
      <c r="E27" s="66">
        <v>64</v>
      </c>
      <c r="F27" s="67">
        <f t="shared" si="1"/>
        <v>0.45390070921985815</v>
      </c>
      <c r="G27" s="103">
        <v>0</v>
      </c>
      <c r="H27" s="104">
        <f t="shared" si="2"/>
        <v>0</v>
      </c>
      <c r="I27" s="15">
        <v>3</v>
      </c>
      <c r="J27" s="17">
        <f t="shared" si="3"/>
        <v>2.1276595744680851E-2</v>
      </c>
      <c r="K27" s="15">
        <f t="shared" si="4"/>
        <v>141</v>
      </c>
      <c r="L27" s="17">
        <f t="shared" si="5"/>
        <v>0.41839762611275966</v>
      </c>
      <c r="M27" s="29">
        <f>B27-K27</f>
        <v>196</v>
      </c>
      <c r="N27" s="17">
        <f t="shared" si="6"/>
        <v>0.58160237388724034</v>
      </c>
      <c r="O27" s="1"/>
      <c r="P27" s="1"/>
      <c r="Q27" s="1"/>
      <c r="R27" s="1"/>
      <c r="S27" s="1"/>
      <c r="T27" s="1"/>
      <c r="U27" s="1"/>
      <c r="V27" s="1"/>
      <c r="W27" s="1"/>
      <c r="X27" s="1"/>
    </row>
    <row r="28" spans="1:24" s="38" customFormat="1" ht="12" customHeight="1" x14ac:dyDescent="0.2">
      <c r="A28" s="29" t="s">
        <v>215</v>
      </c>
      <c r="B28" s="15">
        <v>333</v>
      </c>
      <c r="C28" s="81">
        <v>78</v>
      </c>
      <c r="D28" s="82">
        <f t="shared" si="0"/>
        <v>0.50980392156862742</v>
      </c>
      <c r="E28" s="66">
        <v>74</v>
      </c>
      <c r="F28" s="67">
        <f t="shared" si="1"/>
        <v>0.48366013071895425</v>
      </c>
      <c r="G28" s="103">
        <v>1</v>
      </c>
      <c r="H28" s="104">
        <f t="shared" si="2"/>
        <v>6.5359477124183009E-3</v>
      </c>
      <c r="I28" s="15">
        <v>0</v>
      </c>
      <c r="J28" s="17">
        <f t="shared" si="3"/>
        <v>0</v>
      </c>
      <c r="K28" s="15">
        <f t="shared" si="4"/>
        <v>153</v>
      </c>
      <c r="L28" s="17">
        <f t="shared" si="5"/>
        <v>0.45945945945945948</v>
      </c>
      <c r="M28" s="29">
        <f>B28-K28</f>
        <v>180</v>
      </c>
      <c r="N28" s="17">
        <f t="shared" si="6"/>
        <v>0.54054054054054057</v>
      </c>
      <c r="O28" s="1"/>
      <c r="P28" s="1"/>
      <c r="Q28" s="1"/>
      <c r="R28" s="1"/>
      <c r="S28" s="1"/>
      <c r="T28" s="1"/>
      <c r="U28" s="1"/>
      <c r="V28" s="1"/>
      <c r="W28" s="1"/>
      <c r="X28" s="1"/>
    </row>
    <row r="29" spans="1:24" s="38" customFormat="1" ht="12" customHeight="1" x14ac:dyDescent="0.2">
      <c r="A29" s="29" t="s">
        <v>472</v>
      </c>
      <c r="B29" s="15">
        <v>354</v>
      </c>
      <c r="C29" s="81">
        <v>64</v>
      </c>
      <c r="D29" s="82">
        <f t="shared" si="0"/>
        <v>0.46043165467625902</v>
      </c>
      <c r="E29" s="66">
        <v>72</v>
      </c>
      <c r="F29" s="67">
        <f t="shared" si="1"/>
        <v>0.51798561151079137</v>
      </c>
      <c r="G29" s="103">
        <v>1</v>
      </c>
      <c r="H29" s="104">
        <f t="shared" si="2"/>
        <v>7.1942446043165471E-3</v>
      </c>
      <c r="I29" s="15">
        <v>2</v>
      </c>
      <c r="J29" s="17">
        <f t="shared" si="3"/>
        <v>1.4388489208633094E-2</v>
      </c>
      <c r="K29" s="15">
        <f t="shared" si="4"/>
        <v>139</v>
      </c>
      <c r="L29" s="17">
        <f t="shared" si="5"/>
        <v>0.39265536723163841</v>
      </c>
      <c r="M29" s="29">
        <f>B29-K29</f>
        <v>215</v>
      </c>
      <c r="N29" s="17">
        <f t="shared" si="6"/>
        <v>0.60734463276836159</v>
      </c>
      <c r="O29" s="1"/>
      <c r="P29" s="1"/>
      <c r="Q29" s="1"/>
      <c r="R29" s="1"/>
      <c r="S29" s="1"/>
      <c r="T29" s="1"/>
      <c r="U29" s="1"/>
      <c r="V29" s="1"/>
      <c r="W29" s="1"/>
      <c r="X29" s="1"/>
    </row>
    <row r="30" spans="1:24" ht="12" customHeight="1" x14ac:dyDescent="0.2">
      <c r="A30" s="29" t="s">
        <v>173</v>
      </c>
      <c r="B30" s="15">
        <v>337</v>
      </c>
      <c r="C30" s="81">
        <v>67</v>
      </c>
      <c r="D30" s="82">
        <f t="shared" si="0"/>
        <v>0.5</v>
      </c>
      <c r="E30" s="66">
        <v>66</v>
      </c>
      <c r="F30" s="67">
        <f t="shared" si="1"/>
        <v>0.4925373134328358</v>
      </c>
      <c r="G30" s="103">
        <v>0</v>
      </c>
      <c r="H30" s="104">
        <f t="shared" si="2"/>
        <v>0</v>
      </c>
      <c r="I30" s="15">
        <v>1</v>
      </c>
      <c r="J30" s="17">
        <f t="shared" si="3"/>
        <v>7.462686567164179E-3</v>
      </c>
      <c r="K30" s="15">
        <f t="shared" si="4"/>
        <v>134</v>
      </c>
      <c r="L30" s="17">
        <f t="shared" si="5"/>
        <v>0.39762611275964393</v>
      </c>
      <c r="M30" s="29">
        <f>B30-K30</f>
        <v>203</v>
      </c>
      <c r="N30" s="17">
        <f t="shared" si="6"/>
        <v>0.60237388724035612</v>
      </c>
      <c r="O30" s="1"/>
      <c r="P30" s="1"/>
      <c r="Q30" s="1"/>
      <c r="R30" s="1"/>
      <c r="S30" s="1"/>
      <c r="T30" s="1"/>
      <c r="U30" s="1"/>
      <c r="V30" s="1"/>
      <c r="W30" s="1"/>
      <c r="X30" s="1"/>
    </row>
    <row r="31" spans="1:24" ht="12" customHeight="1" x14ac:dyDescent="0.2">
      <c r="A31" s="12" t="s">
        <v>120</v>
      </c>
      <c r="B31" s="12">
        <f>SUM(B26:B30)</f>
        <v>1756</v>
      </c>
      <c r="C31" s="78">
        <f>SUM(C26:C30)</f>
        <v>367</v>
      </c>
      <c r="D31" s="79">
        <f t="shared" si="0"/>
        <v>0.49261744966442955</v>
      </c>
      <c r="E31" s="63">
        <f>SUM(E26:E30)</f>
        <v>369</v>
      </c>
      <c r="F31" s="64">
        <f t="shared" si="1"/>
        <v>0.49530201342281877</v>
      </c>
      <c r="G31" s="100">
        <f>SUM(G26:G30)</f>
        <v>2</v>
      </c>
      <c r="H31" s="104">
        <f t="shared" si="2"/>
        <v>2.6845637583892616E-3</v>
      </c>
      <c r="I31" s="12">
        <f>SUM(I26:I30)</f>
        <v>7</v>
      </c>
      <c r="J31" s="13">
        <f t="shared" si="3"/>
        <v>9.3959731543624154E-3</v>
      </c>
      <c r="K31" s="12">
        <f t="shared" si="4"/>
        <v>745</v>
      </c>
      <c r="L31" s="13">
        <f t="shared" si="5"/>
        <v>0.42425968109339407</v>
      </c>
      <c r="M31" s="12">
        <f>SUM(M26:M30)</f>
        <v>1011</v>
      </c>
      <c r="N31" s="13">
        <f t="shared" si="6"/>
        <v>0.57574031890660593</v>
      </c>
      <c r="O31" s="1"/>
      <c r="P31" s="1"/>
      <c r="Q31" s="1"/>
      <c r="R31" s="1"/>
      <c r="S31" s="1"/>
      <c r="T31" s="1"/>
      <c r="U31" s="1"/>
      <c r="V31" s="1"/>
      <c r="W31" s="1"/>
      <c r="X31" s="1"/>
    </row>
    <row r="32" spans="1:24" s="46" customFormat="1" ht="12" customHeight="1" x14ac:dyDescent="0.2">
      <c r="A32" s="32" t="s">
        <v>542</v>
      </c>
      <c r="B32" s="32">
        <v>9</v>
      </c>
      <c r="C32" s="78"/>
      <c r="D32" s="79"/>
      <c r="E32" s="63"/>
      <c r="F32" s="64"/>
      <c r="G32" s="100"/>
      <c r="H32" s="104"/>
      <c r="I32" s="32"/>
      <c r="J32" s="28"/>
      <c r="K32" s="32"/>
      <c r="L32" s="28"/>
      <c r="M32" s="32"/>
      <c r="N32" s="28"/>
      <c r="O32" s="1"/>
      <c r="P32" s="1"/>
      <c r="Q32" s="1"/>
      <c r="R32" s="1"/>
      <c r="S32" s="1"/>
      <c r="T32" s="1"/>
      <c r="U32" s="1"/>
      <c r="V32" s="1"/>
      <c r="W32" s="1"/>
      <c r="X32" s="1"/>
    </row>
    <row r="33" spans="1:24" ht="12" customHeight="1" x14ac:dyDescent="0.2">
      <c r="A33" s="36" t="s">
        <v>473</v>
      </c>
      <c r="B33" s="32" t="s">
        <v>218</v>
      </c>
      <c r="C33" s="86"/>
      <c r="D33" s="86"/>
      <c r="E33" s="90"/>
      <c r="F33" s="90"/>
      <c r="G33" s="102"/>
      <c r="H33" s="102"/>
      <c r="I33" s="16"/>
      <c r="J33" s="16"/>
      <c r="K33" s="16"/>
      <c r="L33" s="16"/>
      <c r="M33" s="16"/>
      <c r="N33" s="16"/>
      <c r="O33" s="1"/>
      <c r="P33" s="1"/>
      <c r="Q33" s="1"/>
      <c r="R33" s="1"/>
      <c r="S33" s="1"/>
      <c r="T33" s="1"/>
      <c r="U33" s="1"/>
      <c r="V33" s="1"/>
      <c r="W33" s="1"/>
      <c r="X33" s="1"/>
    </row>
    <row r="34" spans="1:24" ht="12" customHeight="1" x14ac:dyDescent="0.2">
      <c r="A34" s="29" t="s">
        <v>474</v>
      </c>
      <c r="B34" s="15">
        <v>446</v>
      </c>
      <c r="C34" s="81">
        <v>97</v>
      </c>
      <c r="D34" s="82">
        <f>IF((K34=0),"",(C34/K34))</f>
        <v>0.48743718592964824</v>
      </c>
      <c r="E34" s="66">
        <v>101</v>
      </c>
      <c r="F34" s="67">
        <f>IF((K34=0),"",(E34/K34))</f>
        <v>0.50753768844221103</v>
      </c>
      <c r="G34" s="103">
        <v>0</v>
      </c>
      <c r="H34" s="104">
        <f>IF((K34=0),"",(G34/K34))</f>
        <v>0</v>
      </c>
      <c r="I34" s="15">
        <v>1</v>
      </c>
      <c r="J34" s="17">
        <f>IF((K34=0),"",(I34/K34))</f>
        <v>5.0251256281407036E-3</v>
      </c>
      <c r="K34" s="15">
        <f>SUM(C34,E34,G34,I34)</f>
        <v>199</v>
      </c>
      <c r="L34" s="17">
        <f>IF((B34=0),"",(K34/B34))</f>
        <v>0.4461883408071749</v>
      </c>
      <c r="M34" s="29">
        <f>B34-K34</f>
        <v>247</v>
      </c>
      <c r="N34" s="17">
        <f>IF((B34=0),"",(M34/B34))</f>
        <v>0.55381165919282516</v>
      </c>
      <c r="O34" s="1"/>
      <c r="P34" s="1"/>
      <c r="Q34" s="1"/>
      <c r="R34" s="1"/>
      <c r="S34" s="1"/>
      <c r="T34" s="1"/>
      <c r="U34" s="1"/>
      <c r="V34" s="1"/>
      <c r="W34" s="1"/>
      <c r="X34" s="1"/>
    </row>
    <row r="35" spans="1:24" ht="12" customHeight="1" x14ac:dyDescent="0.2">
      <c r="A35" s="29" t="s">
        <v>475</v>
      </c>
      <c r="B35" s="15">
        <v>320</v>
      </c>
      <c r="C35" s="81">
        <v>71</v>
      </c>
      <c r="D35" s="82">
        <f>IF((K35=0),"",(C35/K35))</f>
        <v>0.43827160493827161</v>
      </c>
      <c r="E35" s="66">
        <v>90</v>
      </c>
      <c r="F35" s="67">
        <f>IF((K35=0),"",(E35/K35))</f>
        <v>0.55555555555555558</v>
      </c>
      <c r="G35" s="103">
        <v>0</v>
      </c>
      <c r="H35" s="104">
        <f>IF((K35=0),"",(G35/K35))</f>
        <v>0</v>
      </c>
      <c r="I35" s="15">
        <v>1</v>
      </c>
      <c r="J35" s="17">
        <f>IF((K35=0),"",(I35/K35))</f>
        <v>6.1728395061728392E-3</v>
      </c>
      <c r="K35" s="15">
        <f>SUM(C35,E35,G35,I35)</f>
        <v>162</v>
      </c>
      <c r="L35" s="17">
        <f>IF((B35=0),"",(K35/B35))</f>
        <v>0.50624999999999998</v>
      </c>
      <c r="M35" s="29">
        <f>B35-K35</f>
        <v>158</v>
      </c>
      <c r="N35" s="17">
        <f>IF((B35=0),"",(M35/B35))</f>
        <v>0.49375000000000002</v>
      </c>
      <c r="O35" s="1"/>
      <c r="P35" s="1"/>
      <c r="Q35" s="1"/>
      <c r="R35" s="1"/>
      <c r="S35" s="1"/>
      <c r="T35" s="1"/>
      <c r="U35" s="1"/>
      <c r="V35" s="1"/>
      <c r="W35" s="1"/>
      <c r="X35" s="1"/>
    </row>
    <row r="36" spans="1:24" ht="12" customHeight="1" x14ac:dyDescent="0.2">
      <c r="A36" s="29" t="s">
        <v>222</v>
      </c>
      <c r="B36" s="15">
        <v>402</v>
      </c>
      <c r="C36" s="81">
        <v>94</v>
      </c>
      <c r="D36" s="82">
        <f>IF((K36=0),"",(C36/K36))</f>
        <v>0.49735449735449733</v>
      </c>
      <c r="E36" s="66">
        <v>94</v>
      </c>
      <c r="F36" s="67">
        <f>IF((K36=0),"",(E36/K36))</f>
        <v>0.49735449735449733</v>
      </c>
      <c r="G36" s="103">
        <v>0</v>
      </c>
      <c r="H36" s="104">
        <f>IF((K36=0),"",(G36/K36))</f>
        <v>0</v>
      </c>
      <c r="I36" s="15">
        <v>1</v>
      </c>
      <c r="J36" s="17">
        <f>IF((K36=0),"",(I36/K36))</f>
        <v>5.2910052910052907E-3</v>
      </c>
      <c r="K36" s="15">
        <f>SUM(C36,E36,G36,I36)</f>
        <v>189</v>
      </c>
      <c r="L36" s="17">
        <f>IF((B36=0),"",(K36/B36))</f>
        <v>0.47014925373134331</v>
      </c>
      <c r="M36" s="29">
        <f>B36-K36</f>
        <v>213</v>
      </c>
      <c r="N36" s="17">
        <f>IF((B36=0),"",(M36/B36))</f>
        <v>0.52985074626865669</v>
      </c>
      <c r="O36" s="1"/>
      <c r="P36" s="1"/>
      <c r="Q36" s="1"/>
      <c r="R36" s="1"/>
      <c r="S36" s="1"/>
      <c r="T36" s="1"/>
      <c r="U36" s="1"/>
      <c r="V36" s="1"/>
      <c r="W36" s="1"/>
      <c r="X36" s="1"/>
    </row>
    <row r="37" spans="1:24" ht="12" customHeight="1" x14ac:dyDescent="0.2">
      <c r="A37" s="29" t="s">
        <v>115</v>
      </c>
      <c r="B37" s="15">
        <v>354</v>
      </c>
      <c r="C37" s="81">
        <v>66</v>
      </c>
      <c r="D37" s="82">
        <f>IF((K37=0),"",(C37/K37))</f>
        <v>0.38823529411764707</v>
      </c>
      <c r="E37" s="66">
        <v>102</v>
      </c>
      <c r="F37" s="67">
        <f>IF((K37=0),"",(E37/K37))</f>
        <v>0.6</v>
      </c>
      <c r="G37" s="103">
        <v>2</v>
      </c>
      <c r="H37" s="104">
        <f>IF((K37=0),"",(G37/K37))</f>
        <v>1.1764705882352941E-2</v>
      </c>
      <c r="I37" s="15">
        <v>0</v>
      </c>
      <c r="J37" s="17">
        <f>IF((K37=0),"",(I37/K37))</f>
        <v>0</v>
      </c>
      <c r="K37" s="15">
        <f>SUM(C37,E37,G37,I37)</f>
        <v>170</v>
      </c>
      <c r="L37" s="17">
        <f>IF((B37=0),"",(K37/B37))</f>
        <v>0.48022598870056499</v>
      </c>
      <c r="M37" s="29">
        <f>B37-K37</f>
        <v>184</v>
      </c>
      <c r="N37" s="17">
        <f>IF((B37=0),"",(M37/B37))</f>
        <v>0.51977401129943501</v>
      </c>
      <c r="O37" s="1"/>
      <c r="P37" s="1"/>
      <c r="Q37" s="1"/>
      <c r="R37" s="1"/>
      <c r="S37" s="1"/>
      <c r="T37" s="1"/>
      <c r="U37" s="1"/>
      <c r="V37" s="1"/>
      <c r="W37" s="1"/>
      <c r="X37" s="1"/>
    </row>
    <row r="38" spans="1:24" ht="12" customHeight="1" x14ac:dyDescent="0.2">
      <c r="A38" s="12" t="s">
        <v>120</v>
      </c>
      <c r="B38" s="12">
        <f>SUM(B34:B37)</f>
        <v>1522</v>
      </c>
      <c r="C38" s="78">
        <f>SUM(C34:C37)</f>
        <v>328</v>
      </c>
      <c r="D38" s="79">
        <f>IF((K38=0),"",(C38/K38))</f>
        <v>0.45555555555555555</v>
      </c>
      <c r="E38" s="63">
        <f>SUM(E34:E37)</f>
        <v>387</v>
      </c>
      <c r="F38" s="64">
        <f>IF((K38=0),"",(E38/K38))</f>
        <v>0.53749999999999998</v>
      </c>
      <c r="G38" s="100">
        <f>SUM(G34:G37)</f>
        <v>2</v>
      </c>
      <c r="H38" s="104">
        <f>IF((K38=0),"",(G38/K38))</f>
        <v>2.7777777777777779E-3</v>
      </c>
      <c r="I38" s="12">
        <f>SUM(I34:I37)</f>
        <v>3</v>
      </c>
      <c r="J38" s="13">
        <f>IF((K38=0),"",(I38/K38))</f>
        <v>4.1666666666666666E-3</v>
      </c>
      <c r="K38" s="12">
        <f>SUM(C38,E38,G38,I38)</f>
        <v>720</v>
      </c>
      <c r="L38" s="13">
        <f>IF((B38=0),"",(K38/B38))</f>
        <v>0.47306176084099871</v>
      </c>
      <c r="M38" s="12">
        <f>SUM(M34:M37)</f>
        <v>802</v>
      </c>
      <c r="N38" s="13">
        <f>IF((B38=0),"",(M38/B38))</f>
        <v>0.52693823915900129</v>
      </c>
      <c r="O38" s="1"/>
      <c r="P38" s="1"/>
      <c r="Q38" s="1"/>
      <c r="R38" s="1"/>
      <c r="S38" s="1"/>
      <c r="T38" s="1"/>
      <c r="U38" s="1"/>
      <c r="V38" s="1"/>
      <c r="W38" s="1"/>
      <c r="X38" s="1"/>
    </row>
    <row r="39" spans="1:24" ht="12" customHeight="1" x14ac:dyDescent="0.2">
      <c r="A39" s="36" t="s">
        <v>219</v>
      </c>
      <c r="B39" s="32" t="s">
        <v>220</v>
      </c>
      <c r="C39" s="86"/>
      <c r="D39" s="86"/>
      <c r="E39" s="90"/>
      <c r="F39" s="90"/>
      <c r="G39" s="102"/>
      <c r="H39" s="102"/>
      <c r="I39" s="16"/>
      <c r="J39" s="16"/>
      <c r="K39" s="16"/>
      <c r="L39" s="16"/>
      <c r="M39" s="16"/>
      <c r="N39" s="16"/>
      <c r="O39" s="1"/>
      <c r="P39" s="1"/>
      <c r="Q39" s="1"/>
      <c r="R39" s="1"/>
      <c r="S39" s="1"/>
      <c r="T39" s="1"/>
      <c r="U39" s="1"/>
      <c r="V39" s="1"/>
      <c r="W39" s="1"/>
      <c r="X39" s="1"/>
    </row>
    <row r="40" spans="1:24" ht="12" customHeight="1" x14ac:dyDescent="0.2">
      <c r="A40" s="29" t="s">
        <v>139</v>
      </c>
      <c r="B40" s="15">
        <v>360</v>
      </c>
      <c r="C40" s="81">
        <v>92</v>
      </c>
      <c r="D40" s="82">
        <f>IF((K40=0),"",(C40/K40))</f>
        <v>0.51111111111111107</v>
      </c>
      <c r="E40" s="66">
        <v>88</v>
      </c>
      <c r="F40" s="67">
        <f>IF((K40=0),"",(E40/K40))</f>
        <v>0.48888888888888887</v>
      </c>
      <c r="G40" s="103">
        <v>0</v>
      </c>
      <c r="H40" s="104">
        <f>IF((K40=0),"",(G40/K40))</f>
        <v>0</v>
      </c>
      <c r="I40" s="15">
        <v>0</v>
      </c>
      <c r="J40" s="17">
        <f>IF((K40=0),"",(I40/K40))</f>
        <v>0</v>
      </c>
      <c r="K40" s="15">
        <f>SUM(C40,E40,G40,I40)</f>
        <v>180</v>
      </c>
      <c r="L40" s="17">
        <f>IF((B40=0),"",(K40/B40))</f>
        <v>0.5</v>
      </c>
      <c r="M40" s="29">
        <f>B40-K40</f>
        <v>180</v>
      </c>
      <c r="N40" s="17">
        <f>IF((B40=0),"",(M40/B40))</f>
        <v>0.5</v>
      </c>
      <c r="O40" s="1"/>
      <c r="P40" s="1"/>
      <c r="Q40" s="1"/>
      <c r="R40" s="1"/>
      <c r="S40" s="1"/>
      <c r="T40" s="1"/>
      <c r="U40" s="1"/>
      <c r="V40" s="1"/>
      <c r="W40" s="1"/>
      <c r="X40" s="1"/>
    </row>
    <row r="41" spans="1:24" ht="12" customHeight="1" x14ac:dyDescent="0.2">
      <c r="A41" s="29" t="s">
        <v>451</v>
      </c>
      <c r="B41" s="15">
        <v>283</v>
      </c>
      <c r="C41" s="81">
        <v>47</v>
      </c>
      <c r="D41" s="82">
        <f>IF((K41=0),"",(C41/K41))</f>
        <v>0.39830508474576271</v>
      </c>
      <c r="E41" s="66">
        <v>70</v>
      </c>
      <c r="F41" s="67">
        <f>IF((K41=0),"",(E41/K41))</f>
        <v>0.59322033898305082</v>
      </c>
      <c r="G41" s="103">
        <v>0</v>
      </c>
      <c r="H41" s="104">
        <f>IF((K41=0),"",(G41/K41))</f>
        <v>0</v>
      </c>
      <c r="I41" s="15">
        <v>1</v>
      </c>
      <c r="J41" s="17">
        <f>IF((K41=0),"",(I41/K41))</f>
        <v>8.4745762711864406E-3</v>
      </c>
      <c r="K41" s="15">
        <f>SUM(C41,E41,G41,I41)</f>
        <v>118</v>
      </c>
      <c r="L41" s="17">
        <f>IF((B41=0),"",(K41/B41))</f>
        <v>0.41696113074204949</v>
      </c>
      <c r="M41" s="29">
        <f>B41-K41</f>
        <v>165</v>
      </c>
      <c r="N41" s="17">
        <f>IF((B41=0),"",(M41/B41))</f>
        <v>0.58303886925795056</v>
      </c>
      <c r="O41" s="1"/>
      <c r="P41" s="1"/>
      <c r="Q41" s="1"/>
      <c r="R41" s="1"/>
      <c r="S41" s="1"/>
      <c r="T41" s="1"/>
      <c r="U41" s="1"/>
      <c r="V41" s="1"/>
      <c r="W41" s="1"/>
      <c r="X41" s="1"/>
    </row>
    <row r="42" spans="1:24" ht="12" customHeight="1" x14ac:dyDescent="0.2">
      <c r="A42" s="29" t="s">
        <v>452</v>
      </c>
      <c r="B42" s="15">
        <v>248</v>
      </c>
      <c r="C42" s="81">
        <v>66</v>
      </c>
      <c r="D42" s="82">
        <f>IF((K42=0),"",(C42/K42))</f>
        <v>0.48529411764705882</v>
      </c>
      <c r="E42" s="66">
        <v>70</v>
      </c>
      <c r="F42" s="67">
        <f>IF((K42=0),"",(E42/K42))</f>
        <v>0.51470588235294112</v>
      </c>
      <c r="G42" s="103">
        <v>0</v>
      </c>
      <c r="H42" s="104">
        <f>IF((K42=0),"",(G42/K42))</f>
        <v>0</v>
      </c>
      <c r="I42" s="15">
        <v>0</v>
      </c>
      <c r="J42" s="17">
        <f>IF((K42=0),"",(I42/K42))</f>
        <v>0</v>
      </c>
      <c r="K42" s="15">
        <f>SUM(C42,E42,G42,I42)</f>
        <v>136</v>
      </c>
      <c r="L42" s="17">
        <f>IF((B42=0),"",(K42/B42))</f>
        <v>0.54838709677419351</v>
      </c>
      <c r="M42" s="29">
        <f>B42-K42</f>
        <v>112</v>
      </c>
      <c r="N42" s="17">
        <f>IF((B42=0),"",(M42/B42))</f>
        <v>0.45161290322580644</v>
      </c>
      <c r="O42" s="1"/>
      <c r="P42" s="1"/>
      <c r="Q42" s="1"/>
      <c r="R42" s="1"/>
      <c r="S42" s="1"/>
      <c r="T42" s="1"/>
      <c r="U42" s="1"/>
      <c r="V42" s="1"/>
      <c r="W42" s="1"/>
      <c r="X42" s="1"/>
    </row>
    <row r="43" spans="1:24" ht="12" customHeight="1" x14ac:dyDescent="0.2">
      <c r="A43" s="12" t="s">
        <v>120</v>
      </c>
      <c r="B43" s="12">
        <f>SUM(B40:B42)</f>
        <v>891</v>
      </c>
      <c r="C43" s="78">
        <f>SUM(C40:C42)</f>
        <v>205</v>
      </c>
      <c r="D43" s="79">
        <f>IF((K43=0),"",(C43/K43))</f>
        <v>0.47235023041474655</v>
      </c>
      <c r="E43" s="63">
        <f>SUM(E40:E42)</f>
        <v>228</v>
      </c>
      <c r="F43" s="64">
        <f>IF((K43=0),"",(E43/K43))</f>
        <v>0.52534562211981561</v>
      </c>
      <c r="G43" s="100">
        <f>SUM(G40:G42)</f>
        <v>0</v>
      </c>
      <c r="H43" s="104">
        <f>IF((K43=0),"",(G43/K43))</f>
        <v>0</v>
      </c>
      <c r="I43" s="12">
        <f>SUM(I40:I42)</f>
        <v>1</v>
      </c>
      <c r="J43" s="13">
        <f>IF((K43=0),"",(I43/K43))</f>
        <v>2.304147465437788E-3</v>
      </c>
      <c r="K43" s="12">
        <f>SUM(C43,E43,G43,I43)</f>
        <v>434</v>
      </c>
      <c r="L43" s="13">
        <f>IF((B43=0),"",(K43/B43))</f>
        <v>0.48709315375982043</v>
      </c>
      <c r="M43" s="12">
        <f>SUM(M40:M42)</f>
        <v>457</v>
      </c>
      <c r="N43" s="13">
        <f>IF((B43=0),"",(M43/B43))</f>
        <v>0.51290684624017957</v>
      </c>
      <c r="O43" s="1"/>
      <c r="P43" s="1"/>
      <c r="Q43" s="1"/>
      <c r="R43" s="1"/>
      <c r="S43" s="1"/>
      <c r="T43" s="1"/>
      <c r="U43" s="1"/>
      <c r="V43" s="1"/>
      <c r="W43" s="1"/>
      <c r="X43" s="1"/>
    </row>
    <row r="44" spans="1:24" s="46" customFormat="1" ht="12" customHeight="1" x14ac:dyDescent="0.2">
      <c r="A44" s="32" t="s">
        <v>542</v>
      </c>
      <c r="B44" s="32">
        <v>14</v>
      </c>
      <c r="C44" s="78"/>
      <c r="D44" s="79"/>
      <c r="E44" s="63"/>
      <c r="F44" s="64"/>
      <c r="G44" s="100"/>
      <c r="H44" s="104"/>
      <c r="I44" s="32"/>
      <c r="J44" s="28"/>
      <c r="K44" s="32"/>
      <c r="L44" s="28"/>
      <c r="M44" s="32"/>
      <c r="N44" s="28"/>
      <c r="O44" s="1"/>
      <c r="P44" s="1"/>
      <c r="Q44" s="1"/>
      <c r="R44" s="1"/>
      <c r="S44" s="1"/>
      <c r="T44" s="1"/>
      <c r="U44" s="1"/>
      <c r="V44" s="1"/>
      <c r="W44" s="1"/>
      <c r="X44" s="1"/>
    </row>
    <row r="45" spans="1:24" ht="12" customHeight="1" x14ac:dyDescent="0.2">
      <c r="A45" s="36" t="s">
        <v>476</v>
      </c>
      <c r="B45" s="32" t="s">
        <v>477</v>
      </c>
      <c r="C45" s="86"/>
      <c r="D45" s="86"/>
      <c r="E45" s="90"/>
      <c r="F45" s="90"/>
      <c r="G45" s="102"/>
      <c r="H45" s="102"/>
      <c r="I45" s="16"/>
      <c r="J45" s="16"/>
      <c r="K45" s="16"/>
      <c r="L45" s="16"/>
      <c r="M45" s="16"/>
      <c r="N45" s="16"/>
      <c r="O45" s="1"/>
      <c r="P45" s="1"/>
      <c r="Q45" s="1"/>
      <c r="R45" s="1"/>
      <c r="S45" s="1"/>
      <c r="T45" s="1"/>
      <c r="U45" s="1"/>
      <c r="V45" s="1"/>
      <c r="W45" s="1"/>
      <c r="X45" s="1"/>
    </row>
    <row r="46" spans="1:24" ht="12" customHeight="1" x14ac:dyDescent="0.2">
      <c r="A46" s="29" t="s">
        <v>125</v>
      </c>
      <c r="B46" s="15">
        <v>409</v>
      </c>
      <c r="C46" s="81">
        <v>82</v>
      </c>
      <c r="D46" s="82">
        <f>IF((K46=0),"",(C46/K46))</f>
        <v>0.50617283950617287</v>
      </c>
      <c r="E46" s="66">
        <v>78</v>
      </c>
      <c r="F46" s="67">
        <f>IF((K46=0),"",(E46/K46))</f>
        <v>0.48148148148148145</v>
      </c>
      <c r="G46" s="103">
        <v>2</v>
      </c>
      <c r="H46" s="104">
        <f t="shared" ref="H46:H51" si="7">IF((K46=0),"",(G46/K46))</f>
        <v>1.2345679012345678E-2</v>
      </c>
      <c r="I46" s="15">
        <v>0</v>
      </c>
      <c r="J46" s="17">
        <f>IF((K46=0),"",(I46/K46))</f>
        <v>0</v>
      </c>
      <c r="K46" s="15">
        <f>SUM(C46,E46,G46,I46)</f>
        <v>162</v>
      </c>
      <c r="L46" s="17">
        <f>IF((B46=0),"",(K46/B46))</f>
        <v>0.39608801955990219</v>
      </c>
      <c r="M46" s="29">
        <f>B46-K46</f>
        <v>247</v>
      </c>
      <c r="N46" s="17">
        <f>IF((B46=0),"",(M46/B46))</f>
        <v>0.60391198044009775</v>
      </c>
      <c r="O46" s="1"/>
      <c r="P46" s="1"/>
      <c r="Q46" s="1"/>
      <c r="R46" s="1"/>
      <c r="S46" s="1"/>
      <c r="T46" s="1"/>
      <c r="U46" s="1"/>
      <c r="V46" s="1"/>
      <c r="W46" s="1"/>
      <c r="X46" s="1"/>
    </row>
    <row r="47" spans="1:24" ht="12" customHeight="1" x14ac:dyDescent="0.2">
      <c r="A47" s="29" t="s">
        <v>230</v>
      </c>
      <c r="B47" s="15">
        <v>301</v>
      </c>
      <c r="C47" s="81">
        <v>60</v>
      </c>
      <c r="D47" s="82">
        <f>IF((K47=0),"",(C47/K47))</f>
        <v>0.45454545454545453</v>
      </c>
      <c r="E47" s="66">
        <v>66</v>
      </c>
      <c r="F47" s="67">
        <f>IF((K47=0),"",(E47/K47))</f>
        <v>0.5</v>
      </c>
      <c r="G47" s="103">
        <v>0</v>
      </c>
      <c r="H47" s="104">
        <f t="shared" si="7"/>
        <v>0</v>
      </c>
      <c r="I47" s="15">
        <v>6</v>
      </c>
      <c r="J47" s="17">
        <f>IF((K47=0),"",(I47/K47))</f>
        <v>4.5454545454545456E-2</v>
      </c>
      <c r="K47" s="15">
        <f>SUM(C47,E47,G47,I47)</f>
        <v>132</v>
      </c>
      <c r="L47" s="17">
        <f>IF((B47=0),"",(K47/B47))</f>
        <v>0.43853820598006643</v>
      </c>
      <c r="M47" s="29">
        <f>B47-K47</f>
        <v>169</v>
      </c>
      <c r="N47" s="17">
        <f>IF((B47=0),"",(M47/B47))</f>
        <v>0.56146179401993357</v>
      </c>
      <c r="O47" s="1"/>
      <c r="P47" s="1"/>
      <c r="Q47" s="1"/>
      <c r="R47" s="1"/>
      <c r="S47" s="1"/>
      <c r="T47" s="1"/>
      <c r="U47" s="1"/>
      <c r="V47" s="1"/>
      <c r="W47" s="1"/>
      <c r="X47" s="1"/>
    </row>
    <row r="48" spans="1:24" s="38" customFormat="1" ht="12" customHeight="1" x14ac:dyDescent="0.2">
      <c r="A48" s="29" t="s">
        <v>268</v>
      </c>
      <c r="B48" s="15">
        <v>360</v>
      </c>
      <c r="C48" s="81">
        <v>72</v>
      </c>
      <c r="D48" s="82">
        <f>IF((K48=0),"",(C48/K48))</f>
        <v>0.44720496894409939</v>
      </c>
      <c r="E48" s="66">
        <v>82</v>
      </c>
      <c r="F48" s="67">
        <f>IF((K48=0),"",(E48/K48))</f>
        <v>0.50931677018633537</v>
      </c>
      <c r="G48" s="103">
        <v>3</v>
      </c>
      <c r="H48" s="104">
        <f t="shared" si="7"/>
        <v>1.8633540372670808E-2</v>
      </c>
      <c r="I48" s="15">
        <v>4</v>
      </c>
      <c r="J48" s="17">
        <f>IF((K48=0),"",(I48/K48))</f>
        <v>2.4844720496894408E-2</v>
      </c>
      <c r="K48" s="15">
        <f>SUM(C48,E48,G48,I48)</f>
        <v>161</v>
      </c>
      <c r="L48" s="17">
        <f>IF((B48=0),"",(K48/B48))</f>
        <v>0.44722222222222224</v>
      </c>
      <c r="M48" s="29">
        <f>B48-K48</f>
        <v>199</v>
      </c>
      <c r="N48" s="17">
        <v>0.56389999999999996</v>
      </c>
      <c r="O48" s="1"/>
      <c r="P48" s="1"/>
      <c r="Q48" s="1"/>
      <c r="R48" s="1"/>
      <c r="S48" s="1"/>
      <c r="T48" s="1"/>
      <c r="U48" s="1"/>
      <c r="V48" s="1"/>
      <c r="W48" s="1"/>
      <c r="X48" s="1"/>
    </row>
    <row r="49" spans="1:24" s="38" customFormat="1" ht="12" customHeight="1" x14ac:dyDescent="0.2">
      <c r="A49" s="29" t="s">
        <v>182</v>
      </c>
      <c r="B49" s="15">
        <v>392</v>
      </c>
      <c r="C49" s="81">
        <v>142</v>
      </c>
      <c r="D49" s="82">
        <f>IF((K49=0),"",(C49/K49))</f>
        <v>0.4863013698630137</v>
      </c>
      <c r="E49" s="66">
        <v>145</v>
      </c>
      <c r="F49" s="67">
        <f>IF((K49=0),"",(E49/K49))</f>
        <v>0.49657534246575341</v>
      </c>
      <c r="G49" s="103">
        <v>2</v>
      </c>
      <c r="H49" s="104">
        <f t="shared" si="7"/>
        <v>6.8493150684931503E-3</v>
      </c>
      <c r="I49" s="15">
        <v>3</v>
      </c>
      <c r="J49" s="17">
        <f>IF((K49=0),"",(I49/K49))</f>
        <v>1.0273972602739725E-2</v>
      </c>
      <c r="K49" s="15">
        <f>SUM(C49,E49,G49,I49)</f>
        <v>292</v>
      </c>
      <c r="L49" s="17">
        <f>IF((B49=0),"",(K49/B49))</f>
        <v>0.74489795918367352</v>
      </c>
      <c r="M49" s="29">
        <f>B49-K49</f>
        <v>100</v>
      </c>
      <c r="N49" s="17">
        <v>0.26279999999999998</v>
      </c>
      <c r="O49" s="1"/>
      <c r="P49" s="1"/>
      <c r="Q49" s="1"/>
      <c r="R49" s="1"/>
      <c r="S49" s="1"/>
      <c r="T49" s="1"/>
      <c r="U49" s="1"/>
      <c r="V49" s="1"/>
      <c r="W49" s="1"/>
      <c r="X49" s="1"/>
    </row>
    <row r="50" spans="1:24" ht="12" customHeight="1" x14ac:dyDescent="0.2">
      <c r="A50" s="12" t="s">
        <v>120</v>
      </c>
      <c r="B50" s="12">
        <f>SUM(B46:B49)</f>
        <v>1462</v>
      </c>
      <c r="C50" s="78">
        <f>SUM(C46:C49)</f>
        <v>356</v>
      </c>
      <c r="D50" s="79">
        <f>IF((K50=0),"",(C50/K50))</f>
        <v>0.47657295850066933</v>
      </c>
      <c r="E50" s="63">
        <f>SUM(E46:E49)</f>
        <v>371</v>
      </c>
      <c r="F50" s="64">
        <f>IF((K50=0),"",(E50/K50))</f>
        <v>0.49665327978580992</v>
      </c>
      <c r="G50" s="100">
        <f>SUM(G46:G49)</f>
        <v>7</v>
      </c>
      <c r="H50" s="104">
        <f t="shared" si="7"/>
        <v>9.3708165997322627E-3</v>
      </c>
      <c r="I50" s="12">
        <f>SUM(I46:I49)</f>
        <v>13</v>
      </c>
      <c r="J50" s="13">
        <f>IF((K50=0),"",(I50/K50))</f>
        <v>1.7402945113788489E-2</v>
      </c>
      <c r="K50" s="12">
        <f>SUM(C50,E50,G50,I50)</f>
        <v>747</v>
      </c>
      <c r="L50" s="13">
        <f>IF((B50=0),"",(K50/B50))</f>
        <v>0.51094391244870041</v>
      </c>
      <c r="M50" s="12">
        <f>SUM(M46:M49)</f>
        <v>715</v>
      </c>
      <c r="N50" s="13">
        <f>IF((B50=0),"",(M50/B50))</f>
        <v>0.48905608755129959</v>
      </c>
      <c r="O50" s="1"/>
      <c r="P50" s="1"/>
      <c r="Q50" s="1"/>
      <c r="R50" s="1"/>
      <c r="S50" s="1"/>
      <c r="T50" s="1"/>
      <c r="U50" s="1"/>
      <c r="V50" s="1"/>
      <c r="W50" s="1"/>
      <c r="X50" s="1"/>
    </row>
    <row r="51" spans="1:24" ht="12" customHeight="1" x14ac:dyDescent="0.2">
      <c r="A51" s="43" t="s">
        <v>542</v>
      </c>
      <c r="B51" s="43">
        <v>8</v>
      </c>
      <c r="C51" s="89"/>
      <c r="D51" s="89"/>
      <c r="E51" s="93"/>
      <c r="F51" s="93"/>
      <c r="G51" s="105"/>
      <c r="H51" s="106" t="str">
        <f t="shared" si="7"/>
        <v/>
      </c>
      <c r="I51" s="1"/>
      <c r="J51" s="1"/>
      <c r="K51" s="1"/>
      <c r="L51" s="1"/>
      <c r="M51" s="1"/>
      <c r="N51" s="1"/>
      <c r="O51" s="1"/>
      <c r="P51" s="1"/>
      <c r="Q51" s="1"/>
      <c r="R51" s="1"/>
      <c r="S51" s="1"/>
      <c r="T51" s="1"/>
      <c r="U51" s="1"/>
      <c r="V51" s="1"/>
      <c r="W51" s="1"/>
      <c r="X51" s="1"/>
    </row>
    <row r="52" spans="1:24" ht="12.75" customHeight="1" x14ac:dyDescent="0.2">
      <c r="A52" s="1"/>
      <c r="B52" s="1"/>
      <c r="C52" s="89"/>
      <c r="D52" s="89"/>
      <c r="E52" s="93"/>
      <c r="F52" s="93"/>
      <c r="G52" s="105"/>
      <c r="H52" s="105"/>
      <c r="I52" s="1"/>
      <c r="J52" s="1"/>
      <c r="K52" s="1"/>
      <c r="L52" s="1"/>
      <c r="M52" s="1"/>
      <c r="N52" s="1"/>
      <c r="O52" s="1"/>
      <c r="P52" s="1"/>
      <c r="Q52" s="1"/>
      <c r="R52" s="1"/>
      <c r="S52" s="1"/>
      <c r="T52" s="1"/>
      <c r="U52" s="1"/>
      <c r="V52" s="1"/>
      <c r="W52" s="1"/>
      <c r="X52" s="1"/>
    </row>
    <row r="53" spans="1:24" ht="12.75" customHeight="1" x14ac:dyDescent="0.2">
      <c r="A53" s="1"/>
      <c r="B53" s="1"/>
      <c r="C53" s="89"/>
      <c r="D53" s="89"/>
      <c r="E53" s="93"/>
      <c r="F53" s="93"/>
      <c r="G53" s="105"/>
      <c r="H53" s="105"/>
      <c r="I53" s="1"/>
      <c r="J53" s="1"/>
      <c r="K53" s="1"/>
      <c r="L53" s="1"/>
      <c r="M53" s="1"/>
      <c r="N53" s="1"/>
      <c r="O53" s="1"/>
      <c r="P53" s="1"/>
      <c r="Q53" s="1"/>
      <c r="R53" s="1"/>
      <c r="S53" s="1"/>
      <c r="T53" s="1"/>
      <c r="U53" s="1"/>
      <c r="V53" s="1"/>
      <c r="W53" s="1"/>
      <c r="X53" s="1"/>
    </row>
    <row r="54" spans="1:24" ht="12.75" customHeight="1" x14ac:dyDescent="0.2">
      <c r="A54" s="1"/>
      <c r="B54" s="1"/>
      <c r="C54" s="89"/>
      <c r="D54" s="89"/>
      <c r="E54" s="93"/>
      <c r="F54" s="93"/>
      <c r="G54" s="105"/>
      <c r="H54" s="105"/>
      <c r="I54" s="1"/>
      <c r="J54" s="1"/>
      <c r="K54" s="1"/>
      <c r="L54" s="1"/>
      <c r="M54" s="1"/>
      <c r="N54" s="1"/>
      <c r="O54" s="1"/>
      <c r="P54" s="1"/>
      <c r="Q54" s="1"/>
      <c r="R54" s="1"/>
      <c r="S54" s="1"/>
      <c r="T54" s="1"/>
      <c r="U54" s="1"/>
      <c r="V54" s="1"/>
      <c r="W54" s="1"/>
      <c r="X54" s="1"/>
    </row>
    <row r="55" spans="1:24" ht="12.75" customHeight="1" x14ac:dyDescent="0.2">
      <c r="A55" s="1"/>
      <c r="B55" s="1"/>
      <c r="C55" s="89"/>
      <c r="D55" s="89"/>
      <c r="E55" s="93"/>
      <c r="F55" s="93"/>
      <c r="G55" s="105"/>
      <c r="H55" s="105"/>
      <c r="I55" s="1"/>
      <c r="J55" s="1"/>
      <c r="K55" s="1"/>
      <c r="L55" s="1"/>
      <c r="M55" s="1"/>
      <c r="N55" s="1"/>
      <c r="O55" s="1"/>
      <c r="P55" s="1"/>
      <c r="Q55" s="1"/>
      <c r="R55" s="1"/>
      <c r="S55" s="1"/>
      <c r="T55" s="1"/>
      <c r="U55" s="1"/>
      <c r="V55" s="1"/>
      <c r="W55" s="1"/>
      <c r="X55" s="1"/>
    </row>
    <row r="56" spans="1:24" ht="12.75" customHeight="1" x14ac:dyDescent="0.2">
      <c r="A56" s="1"/>
      <c r="B56" s="1"/>
      <c r="C56" s="89"/>
      <c r="D56" s="89"/>
      <c r="E56" s="93"/>
      <c r="F56" s="93"/>
      <c r="G56" s="105"/>
      <c r="H56" s="105"/>
      <c r="I56" s="1"/>
      <c r="J56" s="1"/>
      <c r="K56" s="1"/>
      <c r="L56" s="1"/>
      <c r="M56" s="1"/>
      <c r="N56" s="1"/>
      <c r="O56" s="1"/>
      <c r="P56" s="1"/>
      <c r="Q56" s="1"/>
      <c r="R56" s="1"/>
      <c r="S56" s="1"/>
      <c r="T56" s="1"/>
      <c r="U56" s="1"/>
      <c r="V56" s="1"/>
      <c r="W56" s="1"/>
      <c r="X56" s="1"/>
    </row>
    <row r="57" spans="1:24" ht="12.75" customHeight="1" x14ac:dyDescent="0.2">
      <c r="A57" s="1"/>
      <c r="B57" s="1"/>
      <c r="C57" s="89"/>
      <c r="D57" s="89"/>
      <c r="E57" s="93"/>
      <c r="F57" s="93"/>
      <c r="G57" s="105"/>
      <c r="H57" s="105"/>
      <c r="I57" s="1"/>
      <c r="J57" s="1"/>
      <c r="K57" s="1"/>
      <c r="L57" s="1"/>
      <c r="M57" s="1"/>
      <c r="N57" s="1"/>
      <c r="O57" s="1"/>
      <c r="P57" s="1"/>
      <c r="Q57" s="1"/>
      <c r="R57" s="1"/>
      <c r="S57" s="1"/>
      <c r="T57" s="1"/>
      <c r="U57" s="1"/>
      <c r="V57" s="1"/>
      <c r="W57" s="1"/>
      <c r="X57" s="1"/>
    </row>
    <row r="58" spans="1:24" ht="12.75" customHeight="1" x14ac:dyDescent="0.2">
      <c r="A58" s="1"/>
      <c r="B58" s="1"/>
      <c r="C58" s="89"/>
      <c r="D58" s="89"/>
      <c r="E58" s="93"/>
      <c r="F58" s="93"/>
      <c r="G58" s="105"/>
      <c r="H58" s="105"/>
      <c r="I58" s="1"/>
      <c r="J58" s="1"/>
      <c r="K58" s="1"/>
      <c r="L58" s="1"/>
      <c r="M58" s="1"/>
      <c r="N58" s="1"/>
      <c r="O58" s="1"/>
      <c r="P58" s="1"/>
      <c r="Q58" s="1"/>
      <c r="R58" s="1"/>
      <c r="S58" s="1"/>
      <c r="T58" s="1"/>
      <c r="U58" s="1"/>
      <c r="V58" s="1"/>
      <c r="W58" s="1"/>
      <c r="X58" s="1"/>
    </row>
    <row r="59" spans="1:24" ht="12.75" customHeight="1" x14ac:dyDescent="0.2">
      <c r="A59" s="1"/>
      <c r="B59" s="1"/>
      <c r="C59" s="89"/>
      <c r="D59" s="89"/>
      <c r="E59" s="93"/>
      <c r="F59" s="93"/>
      <c r="G59" s="105"/>
      <c r="H59" s="105"/>
      <c r="I59" s="1"/>
      <c r="J59" s="1"/>
      <c r="K59" s="1"/>
      <c r="L59" s="1"/>
      <c r="M59" s="1"/>
      <c r="N59" s="1"/>
      <c r="O59" s="1"/>
      <c r="P59" s="1"/>
      <c r="Q59" s="1"/>
      <c r="R59" s="1"/>
      <c r="S59" s="1"/>
      <c r="T59" s="1"/>
      <c r="U59" s="1"/>
      <c r="V59" s="1"/>
      <c r="W59" s="1"/>
      <c r="X59" s="1"/>
    </row>
    <row r="60" spans="1:24" ht="12.75" customHeight="1" x14ac:dyDescent="0.2">
      <c r="A60" s="1"/>
      <c r="B60" s="1"/>
      <c r="C60" s="89"/>
      <c r="D60" s="89"/>
      <c r="E60" s="93"/>
      <c r="F60" s="93"/>
      <c r="G60" s="105"/>
      <c r="H60" s="105"/>
      <c r="I60" s="1"/>
      <c r="J60" s="1"/>
      <c r="K60" s="1"/>
      <c r="L60" s="1"/>
      <c r="M60" s="1"/>
      <c r="N60" s="1"/>
      <c r="O60" s="1"/>
      <c r="P60" s="1"/>
      <c r="Q60" s="1"/>
      <c r="R60" s="1"/>
      <c r="S60" s="1"/>
      <c r="T60" s="1"/>
      <c r="U60" s="1"/>
      <c r="V60" s="1"/>
      <c r="W60" s="1"/>
      <c r="X60" s="1"/>
    </row>
    <row r="61" spans="1:24" ht="12.75" customHeight="1" x14ac:dyDescent="0.2">
      <c r="A61" s="1"/>
      <c r="B61" s="1"/>
      <c r="C61" s="89"/>
      <c r="D61" s="89"/>
      <c r="E61" s="93"/>
      <c r="F61" s="93"/>
      <c r="G61" s="105"/>
      <c r="H61" s="105"/>
      <c r="I61" s="1"/>
      <c r="J61" s="1"/>
      <c r="K61" s="1"/>
      <c r="L61" s="1"/>
      <c r="M61" s="1"/>
      <c r="N61" s="1"/>
      <c r="O61" s="1"/>
      <c r="P61" s="1"/>
      <c r="Q61" s="1"/>
      <c r="R61" s="1"/>
      <c r="S61" s="1"/>
      <c r="T61" s="1"/>
      <c r="U61" s="1"/>
      <c r="V61" s="1"/>
      <c r="W61" s="1"/>
      <c r="X61" s="1"/>
    </row>
    <row r="62" spans="1:24" ht="12.75" customHeight="1" x14ac:dyDescent="0.2">
      <c r="A62" s="1"/>
      <c r="B62" s="1"/>
      <c r="C62" s="89"/>
      <c r="D62" s="89"/>
      <c r="E62" s="93"/>
      <c r="F62" s="93"/>
      <c r="G62" s="105"/>
      <c r="H62" s="105"/>
      <c r="I62" s="1"/>
      <c r="J62" s="1"/>
      <c r="K62" s="1"/>
      <c r="L62" s="1"/>
      <c r="M62" s="1"/>
      <c r="N62" s="1"/>
      <c r="O62" s="1"/>
      <c r="P62" s="1"/>
      <c r="Q62" s="1"/>
      <c r="R62" s="1"/>
      <c r="S62" s="1"/>
      <c r="T62" s="1"/>
      <c r="U62" s="1"/>
      <c r="V62" s="1"/>
      <c r="W62" s="1"/>
      <c r="X62" s="1"/>
    </row>
    <row r="63" spans="1:24" ht="12.75" customHeight="1" x14ac:dyDescent="0.2">
      <c r="A63" s="1"/>
      <c r="B63" s="1"/>
      <c r="C63" s="89"/>
      <c r="D63" s="89"/>
      <c r="E63" s="93"/>
      <c r="F63" s="93"/>
      <c r="G63" s="105"/>
      <c r="H63" s="105"/>
      <c r="I63" s="1"/>
      <c r="J63" s="1"/>
      <c r="K63" s="1"/>
      <c r="L63" s="1"/>
      <c r="M63" s="1"/>
      <c r="N63" s="1"/>
      <c r="O63" s="1"/>
      <c r="P63" s="1"/>
      <c r="Q63" s="1"/>
      <c r="R63" s="1"/>
      <c r="S63" s="1"/>
      <c r="T63" s="1"/>
      <c r="U63" s="1"/>
      <c r="V63" s="1"/>
      <c r="W63" s="1"/>
      <c r="X63" s="1"/>
    </row>
    <row r="64" spans="1:24" ht="12.75" customHeight="1" x14ac:dyDescent="0.2">
      <c r="A64" s="1"/>
      <c r="B64" s="1"/>
      <c r="C64" s="89"/>
      <c r="D64" s="89"/>
      <c r="E64" s="93"/>
      <c r="F64" s="93"/>
      <c r="G64" s="105"/>
      <c r="H64" s="105"/>
      <c r="I64" s="1"/>
      <c r="J64" s="1"/>
      <c r="K64" s="1"/>
      <c r="L64" s="1"/>
      <c r="M64" s="1"/>
      <c r="N64" s="1"/>
      <c r="O64" s="1"/>
      <c r="P64" s="1"/>
      <c r="Q64" s="1"/>
      <c r="R64" s="1"/>
      <c r="S64" s="1"/>
      <c r="T64" s="1"/>
      <c r="U64" s="1"/>
      <c r="V64" s="1"/>
      <c r="W64" s="1"/>
      <c r="X64" s="1"/>
    </row>
    <row r="65" spans="1:24" ht="12.75" customHeight="1" x14ac:dyDescent="0.2">
      <c r="A65" s="1"/>
      <c r="B65" s="1"/>
      <c r="C65" s="89"/>
      <c r="D65" s="89"/>
      <c r="E65" s="93"/>
      <c r="F65" s="93"/>
      <c r="G65" s="105"/>
      <c r="H65" s="105"/>
      <c r="I65" s="1"/>
      <c r="J65" s="1"/>
      <c r="K65" s="1"/>
      <c r="L65" s="1"/>
      <c r="M65" s="1"/>
      <c r="N65" s="1"/>
      <c r="O65" s="1"/>
      <c r="P65" s="1"/>
      <c r="Q65" s="1"/>
      <c r="R65" s="1"/>
      <c r="S65" s="1"/>
      <c r="T65" s="1"/>
      <c r="U65" s="1"/>
      <c r="V65" s="1"/>
      <c r="W65" s="1"/>
      <c r="X65" s="1"/>
    </row>
    <row r="66" spans="1:24" ht="12.75" customHeight="1" x14ac:dyDescent="0.2">
      <c r="A66" s="1"/>
      <c r="B66" s="1"/>
      <c r="C66" s="89"/>
      <c r="D66" s="89"/>
      <c r="E66" s="93"/>
      <c r="F66" s="93"/>
      <c r="G66" s="105"/>
      <c r="H66" s="105"/>
      <c r="I66" s="1"/>
      <c r="J66" s="1"/>
      <c r="K66" s="1"/>
      <c r="L66" s="1"/>
      <c r="M66" s="1"/>
      <c r="N66" s="1"/>
      <c r="O66" s="1"/>
      <c r="P66" s="1"/>
      <c r="Q66" s="1"/>
      <c r="R66" s="1"/>
      <c r="S66" s="1"/>
      <c r="T66" s="1"/>
      <c r="U66" s="1"/>
      <c r="V66" s="1"/>
      <c r="W66" s="1"/>
      <c r="X66" s="1"/>
    </row>
    <row r="67" spans="1:24" ht="12.75" customHeight="1" x14ac:dyDescent="0.2">
      <c r="A67" s="1"/>
      <c r="B67" s="1"/>
      <c r="C67" s="89"/>
      <c r="D67" s="89"/>
      <c r="E67" s="93"/>
      <c r="F67" s="93"/>
      <c r="G67" s="105"/>
      <c r="H67" s="105"/>
      <c r="I67" s="1"/>
      <c r="J67" s="1"/>
      <c r="K67" s="1"/>
      <c r="L67" s="1"/>
      <c r="M67" s="1"/>
      <c r="N67" s="1"/>
      <c r="O67" s="1"/>
      <c r="P67" s="1"/>
      <c r="Q67" s="1"/>
      <c r="R67" s="1"/>
      <c r="S67" s="1"/>
      <c r="T67" s="1"/>
      <c r="U67" s="1"/>
      <c r="V67" s="1"/>
      <c r="W67" s="1"/>
      <c r="X67" s="1"/>
    </row>
    <row r="68" spans="1:24" ht="12.75" customHeight="1" x14ac:dyDescent="0.2">
      <c r="A68" s="1"/>
      <c r="B68" s="1"/>
      <c r="C68" s="89"/>
      <c r="D68" s="89"/>
      <c r="E68" s="93"/>
      <c r="F68" s="93"/>
      <c r="G68" s="105"/>
      <c r="H68" s="105"/>
      <c r="I68" s="1"/>
      <c r="J68" s="1"/>
      <c r="K68" s="1"/>
      <c r="L68" s="1"/>
      <c r="M68" s="1"/>
      <c r="N68" s="1"/>
      <c r="O68" s="1"/>
      <c r="P68" s="1"/>
      <c r="Q68" s="1"/>
      <c r="R68" s="1"/>
      <c r="S68" s="1"/>
      <c r="T68" s="1"/>
      <c r="U68" s="1"/>
      <c r="V68" s="1"/>
      <c r="W68" s="1"/>
      <c r="X68" s="1"/>
    </row>
    <row r="69" spans="1:24" ht="12.75" customHeight="1" x14ac:dyDescent="0.2">
      <c r="A69" s="1"/>
      <c r="B69" s="1"/>
      <c r="C69" s="89"/>
      <c r="D69" s="89"/>
      <c r="E69" s="93"/>
      <c r="F69" s="93"/>
      <c r="G69" s="105"/>
      <c r="H69" s="105"/>
      <c r="I69" s="1"/>
      <c r="J69" s="1"/>
      <c r="K69" s="1"/>
      <c r="L69" s="1"/>
      <c r="M69" s="1"/>
      <c r="N69" s="1"/>
      <c r="O69" s="1"/>
      <c r="P69" s="1"/>
      <c r="Q69" s="1"/>
      <c r="R69" s="1"/>
      <c r="S69" s="1"/>
      <c r="T69" s="1"/>
      <c r="U69" s="1"/>
      <c r="V69" s="1"/>
      <c r="W69" s="1"/>
      <c r="X69" s="1"/>
    </row>
    <row r="70" spans="1:24" ht="12.75" customHeight="1" x14ac:dyDescent="0.2">
      <c r="A70" s="1"/>
      <c r="B70" s="1"/>
      <c r="C70" s="89"/>
      <c r="D70" s="89"/>
      <c r="E70" s="93"/>
      <c r="F70" s="93"/>
      <c r="G70" s="105"/>
      <c r="H70" s="105"/>
      <c r="I70" s="1"/>
      <c r="J70" s="1"/>
      <c r="K70" s="1"/>
      <c r="L70" s="1"/>
      <c r="M70" s="1"/>
      <c r="N70" s="1"/>
      <c r="O70" s="1"/>
      <c r="P70" s="1"/>
      <c r="Q70" s="1"/>
      <c r="R70" s="1"/>
      <c r="S70" s="1"/>
      <c r="T70" s="1"/>
      <c r="U70" s="1"/>
      <c r="V70" s="1"/>
      <c r="W70" s="1"/>
      <c r="X70" s="1"/>
    </row>
    <row r="71" spans="1:24" ht="12.75" customHeight="1" x14ac:dyDescent="0.2">
      <c r="A71" s="1"/>
      <c r="B71" s="1"/>
      <c r="C71" s="89"/>
      <c r="D71" s="89"/>
      <c r="E71" s="93"/>
      <c r="F71" s="93"/>
      <c r="G71" s="105"/>
      <c r="H71" s="105"/>
      <c r="I71" s="1"/>
      <c r="J71" s="1"/>
      <c r="K71" s="1"/>
      <c r="L71" s="1"/>
      <c r="M71" s="1"/>
      <c r="N71" s="1"/>
      <c r="O71" s="1"/>
      <c r="P71" s="1"/>
      <c r="Q71" s="1"/>
      <c r="R71" s="1"/>
      <c r="S71" s="1"/>
      <c r="T71" s="1"/>
      <c r="U71" s="1"/>
      <c r="V71" s="1"/>
      <c r="W71" s="1"/>
      <c r="X71" s="1"/>
    </row>
    <row r="72" spans="1:24" ht="12.75" customHeight="1" x14ac:dyDescent="0.2">
      <c r="A72" s="1"/>
      <c r="B72" s="1"/>
      <c r="C72" s="89"/>
      <c r="D72" s="89"/>
      <c r="E72" s="93"/>
      <c r="F72" s="93"/>
      <c r="G72" s="105"/>
      <c r="H72" s="105"/>
      <c r="I72" s="1"/>
      <c r="J72" s="1"/>
      <c r="K72" s="1"/>
      <c r="L72" s="1"/>
      <c r="M72" s="1"/>
      <c r="N72" s="1"/>
      <c r="O72" s="1"/>
      <c r="P72" s="1"/>
      <c r="Q72" s="1"/>
      <c r="R72" s="1"/>
      <c r="S72" s="1"/>
      <c r="T72" s="1"/>
      <c r="U72" s="1"/>
      <c r="V72" s="1"/>
      <c r="W72" s="1"/>
      <c r="X72" s="1"/>
    </row>
    <row r="73" spans="1:24" ht="12.75" customHeight="1" x14ac:dyDescent="0.2">
      <c r="A73" s="1"/>
      <c r="B73" s="1"/>
      <c r="C73" s="89"/>
      <c r="D73" s="89"/>
      <c r="E73" s="93"/>
      <c r="F73" s="93"/>
      <c r="G73" s="105"/>
      <c r="H73" s="105"/>
      <c r="I73" s="1"/>
      <c r="J73" s="1"/>
      <c r="K73" s="1"/>
      <c r="L73" s="1"/>
      <c r="M73" s="1"/>
      <c r="N73" s="1"/>
      <c r="O73" s="1"/>
      <c r="P73" s="1"/>
      <c r="Q73" s="1"/>
      <c r="R73" s="1"/>
      <c r="S73" s="1"/>
      <c r="T73" s="1"/>
      <c r="U73" s="1"/>
      <c r="V73" s="1"/>
      <c r="W73" s="1"/>
      <c r="X73" s="1"/>
    </row>
    <row r="74" spans="1:24" ht="12.75" customHeight="1" x14ac:dyDescent="0.2">
      <c r="A74" s="1"/>
      <c r="B74" s="1"/>
      <c r="C74" s="89"/>
      <c r="D74" s="89"/>
      <c r="E74" s="93"/>
      <c r="F74" s="93"/>
      <c r="G74" s="105"/>
      <c r="H74" s="105"/>
      <c r="I74" s="1"/>
      <c r="J74" s="1"/>
      <c r="K74" s="1"/>
      <c r="L74" s="1"/>
      <c r="M74" s="1"/>
      <c r="N74" s="1"/>
      <c r="O74" s="1"/>
      <c r="P74" s="1"/>
      <c r="Q74" s="1"/>
      <c r="R74" s="1"/>
      <c r="S74" s="1"/>
      <c r="T74" s="1"/>
      <c r="U74" s="1"/>
      <c r="V74" s="1"/>
      <c r="W74" s="1"/>
      <c r="X74" s="1"/>
    </row>
    <row r="75" spans="1:24" ht="12.75" customHeight="1" x14ac:dyDescent="0.2">
      <c r="A75" s="1"/>
      <c r="B75" s="1"/>
      <c r="C75" s="89"/>
      <c r="D75" s="89"/>
      <c r="E75" s="93"/>
      <c r="F75" s="93"/>
      <c r="G75" s="105"/>
      <c r="H75" s="105"/>
      <c r="I75" s="1"/>
      <c r="J75" s="1"/>
      <c r="K75" s="1"/>
      <c r="L75" s="1"/>
      <c r="M75" s="1"/>
      <c r="N75" s="1"/>
      <c r="O75" s="1"/>
      <c r="P75" s="1"/>
      <c r="Q75" s="1"/>
      <c r="R75" s="1"/>
      <c r="S75" s="1"/>
      <c r="T75" s="1"/>
      <c r="U75" s="1"/>
      <c r="V75" s="1"/>
      <c r="W75" s="1"/>
      <c r="X75" s="1"/>
    </row>
    <row r="76" spans="1:24" ht="12.75" customHeight="1" x14ac:dyDescent="0.2">
      <c r="A76" s="1"/>
      <c r="B76" s="1"/>
      <c r="C76" s="89"/>
      <c r="D76" s="89"/>
      <c r="E76" s="93"/>
      <c r="F76" s="93"/>
      <c r="G76" s="105"/>
      <c r="H76" s="105"/>
      <c r="I76" s="1"/>
      <c r="J76" s="1"/>
      <c r="K76" s="1"/>
      <c r="L76" s="1"/>
      <c r="M76" s="1"/>
      <c r="N76" s="1"/>
      <c r="O76" s="1"/>
      <c r="P76" s="1"/>
      <c r="Q76" s="1"/>
      <c r="R76" s="1"/>
      <c r="S76" s="1"/>
      <c r="T76" s="1"/>
      <c r="U76" s="1"/>
      <c r="V76" s="1"/>
      <c r="W76" s="1"/>
      <c r="X76" s="1"/>
    </row>
    <row r="77" spans="1:24" ht="12.75" customHeight="1" x14ac:dyDescent="0.2">
      <c r="A77" s="1"/>
      <c r="B77" s="1"/>
      <c r="C77" s="89"/>
      <c r="D77" s="89"/>
      <c r="E77" s="93"/>
      <c r="F77" s="93"/>
      <c r="G77" s="105"/>
      <c r="H77" s="105"/>
      <c r="I77" s="1"/>
      <c r="J77" s="1"/>
      <c r="K77" s="1"/>
      <c r="L77" s="1"/>
      <c r="M77" s="1"/>
      <c r="N77" s="1"/>
      <c r="O77" s="1"/>
      <c r="P77" s="1"/>
      <c r="Q77" s="1"/>
      <c r="R77" s="1"/>
      <c r="S77" s="1"/>
      <c r="T77" s="1"/>
      <c r="U77" s="1"/>
      <c r="V77" s="1"/>
      <c r="W77" s="1"/>
      <c r="X77" s="1"/>
    </row>
    <row r="78" spans="1:24" ht="12.75" customHeight="1" x14ac:dyDescent="0.2">
      <c r="A78" s="1"/>
      <c r="B78" s="1"/>
      <c r="C78" s="89"/>
      <c r="D78" s="89"/>
      <c r="E78" s="93"/>
      <c r="F78" s="93"/>
      <c r="G78" s="105"/>
      <c r="H78" s="105"/>
      <c r="I78" s="1"/>
      <c r="J78" s="1"/>
      <c r="K78" s="1"/>
      <c r="L78" s="1"/>
      <c r="M78" s="1"/>
      <c r="N78" s="1"/>
      <c r="O78" s="1"/>
      <c r="P78" s="1"/>
      <c r="Q78" s="1"/>
      <c r="R78" s="1"/>
      <c r="S78" s="1"/>
      <c r="T78" s="1"/>
      <c r="U78" s="1"/>
      <c r="V78" s="1"/>
      <c r="W78" s="1"/>
      <c r="X78" s="1"/>
    </row>
    <row r="79" spans="1:24" ht="12.75" customHeight="1" x14ac:dyDescent="0.2">
      <c r="A79" s="1"/>
      <c r="B79" s="1"/>
      <c r="C79" s="89"/>
      <c r="D79" s="89"/>
      <c r="E79" s="93"/>
      <c r="F79" s="93"/>
      <c r="G79" s="105"/>
      <c r="H79" s="105"/>
      <c r="I79" s="1"/>
      <c r="J79" s="1"/>
      <c r="K79" s="1"/>
      <c r="L79" s="1"/>
      <c r="M79" s="1"/>
      <c r="N79" s="1"/>
      <c r="O79" s="1"/>
      <c r="P79" s="1"/>
      <c r="Q79" s="1"/>
      <c r="R79" s="1"/>
      <c r="S79" s="1"/>
      <c r="T79" s="1"/>
      <c r="U79" s="1"/>
      <c r="V79" s="1"/>
      <c r="W79" s="1"/>
      <c r="X79" s="1"/>
    </row>
    <row r="80" spans="1:24" ht="12.75" customHeight="1" x14ac:dyDescent="0.2">
      <c r="A80" s="1"/>
      <c r="B80" s="1"/>
      <c r="C80" s="89"/>
      <c r="D80" s="89"/>
      <c r="E80" s="93"/>
      <c r="F80" s="93"/>
      <c r="G80" s="105"/>
      <c r="H80" s="105"/>
      <c r="I80" s="1"/>
      <c r="J80" s="1"/>
      <c r="K80" s="1"/>
      <c r="L80" s="1"/>
      <c r="M80" s="1"/>
      <c r="N80" s="1"/>
      <c r="O80" s="1"/>
      <c r="P80" s="1"/>
      <c r="Q80" s="1"/>
      <c r="R80" s="1"/>
      <c r="S80" s="1"/>
      <c r="T80" s="1"/>
      <c r="U80" s="1"/>
      <c r="V80" s="1"/>
      <c r="W80" s="1"/>
      <c r="X80" s="1"/>
    </row>
    <row r="81" spans="1:24" ht="12.75" customHeight="1" x14ac:dyDescent="0.2">
      <c r="A81" s="1"/>
      <c r="B81" s="1"/>
      <c r="C81" s="89"/>
      <c r="D81" s="89"/>
      <c r="E81" s="93"/>
      <c r="F81" s="93"/>
      <c r="G81" s="105"/>
      <c r="H81" s="105"/>
      <c r="I81" s="1"/>
      <c r="J81" s="1"/>
      <c r="K81" s="1"/>
      <c r="L81" s="1"/>
      <c r="M81" s="1"/>
      <c r="N81" s="1"/>
      <c r="O81" s="1"/>
      <c r="P81" s="1"/>
      <c r="Q81" s="1"/>
      <c r="R81" s="1"/>
      <c r="S81" s="1"/>
      <c r="T81" s="1"/>
      <c r="U81" s="1"/>
      <c r="V81" s="1"/>
      <c r="W81" s="1"/>
      <c r="X81" s="1"/>
    </row>
    <row r="82" spans="1:24" ht="12.75" customHeight="1" x14ac:dyDescent="0.2">
      <c r="A82" s="1"/>
      <c r="B82" s="1"/>
      <c r="C82" s="89"/>
      <c r="D82" s="89"/>
      <c r="E82" s="93"/>
      <c r="F82" s="93"/>
      <c r="G82" s="105"/>
      <c r="H82" s="105"/>
      <c r="I82" s="1"/>
      <c r="J82" s="1"/>
      <c r="K82" s="1"/>
      <c r="L82" s="1"/>
      <c r="M82" s="1"/>
      <c r="N82" s="1"/>
      <c r="O82" s="1"/>
      <c r="P82" s="1"/>
      <c r="Q82" s="1"/>
      <c r="R82" s="1"/>
      <c r="S82" s="1"/>
      <c r="T82" s="1"/>
      <c r="U82" s="1"/>
      <c r="V82" s="1"/>
      <c r="W82" s="1"/>
      <c r="X82" s="1"/>
    </row>
    <row r="83" spans="1:24" ht="12.75" customHeight="1" x14ac:dyDescent="0.2">
      <c r="A83" s="1"/>
      <c r="B83" s="1"/>
      <c r="C83" s="89"/>
      <c r="D83" s="89"/>
      <c r="E83" s="93"/>
      <c r="F83" s="93"/>
      <c r="G83" s="105"/>
      <c r="H83" s="105"/>
      <c r="I83" s="1"/>
      <c r="J83" s="1"/>
      <c r="K83" s="1"/>
      <c r="L83" s="1"/>
      <c r="M83" s="1"/>
      <c r="N83" s="1"/>
      <c r="O83" s="1"/>
      <c r="P83" s="1"/>
      <c r="Q83" s="1"/>
      <c r="R83" s="1"/>
      <c r="S83" s="1"/>
      <c r="T83" s="1"/>
      <c r="U83" s="1"/>
      <c r="V83" s="1"/>
      <c r="W83" s="1"/>
      <c r="X83" s="1"/>
    </row>
    <row r="84" spans="1:24" ht="12.75" customHeight="1" x14ac:dyDescent="0.2">
      <c r="A84" s="1"/>
      <c r="B84" s="1"/>
      <c r="C84" s="89"/>
      <c r="D84" s="89"/>
      <c r="E84" s="93"/>
      <c r="F84" s="93"/>
      <c r="G84" s="105"/>
      <c r="H84" s="105"/>
      <c r="I84" s="1"/>
      <c r="J84" s="1"/>
      <c r="K84" s="1"/>
      <c r="L84" s="1"/>
      <c r="M84" s="1"/>
      <c r="N84" s="1"/>
      <c r="O84" s="1"/>
      <c r="P84" s="1"/>
      <c r="Q84" s="1"/>
      <c r="R84" s="1"/>
      <c r="S84" s="1"/>
      <c r="T84" s="1"/>
      <c r="U84" s="1"/>
      <c r="V84" s="1"/>
      <c r="W84" s="1"/>
      <c r="X84" s="1"/>
    </row>
    <row r="85" spans="1:24" ht="12.75" customHeight="1" x14ac:dyDescent="0.2">
      <c r="A85" s="1"/>
      <c r="B85" s="1"/>
      <c r="C85" s="89"/>
      <c r="D85" s="89"/>
      <c r="E85" s="93"/>
      <c r="F85" s="93"/>
      <c r="G85" s="105"/>
      <c r="H85" s="105"/>
      <c r="I85" s="1"/>
      <c r="J85" s="1"/>
      <c r="K85" s="1"/>
      <c r="L85" s="1"/>
      <c r="M85" s="1"/>
      <c r="N85" s="1"/>
      <c r="O85" s="1"/>
      <c r="P85" s="1"/>
      <c r="Q85" s="1"/>
      <c r="R85" s="1"/>
      <c r="S85" s="1"/>
      <c r="T85" s="1"/>
      <c r="U85" s="1"/>
      <c r="V85" s="1"/>
      <c r="W85" s="1"/>
      <c r="X85" s="1"/>
    </row>
    <row r="86" spans="1:24" ht="12.75" customHeight="1" x14ac:dyDescent="0.2">
      <c r="A86" s="1"/>
      <c r="B86" s="1"/>
      <c r="C86" s="89"/>
      <c r="D86" s="89"/>
      <c r="E86" s="93"/>
      <c r="F86" s="93"/>
      <c r="G86" s="105"/>
      <c r="H86" s="105"/>
      <c r="I86" s="1"/>
      <c r="J86" s="1"/>
      <c r="K86" s="1"/>
      <c r="L86" s="1"/>
      <c r="M86" s="1"/>
      <c r="N86" s="1"/>
      <c r="O86" s="1"/>
      <c r="P86" s="1"/>
      <c r="Q86" s="1"/>
      <c r="R86" s="1"/>
      <c r="S86" s="1"/>
      <c r="T86" s="1"/>
      <c r="U86" s="1"/>
      <c r="V86" s="1"/>
      <c r="W86" s="1"/>
      <c r="X86" s="1"/>
    </row>
    <row r="87" spans="1:24" ht="12.75" customHeight="1" x14ac:dyDescent="0.2">
      <c r="A87" s="1"/>
      <c r="B87" s="1"/>
      <c r="C87" s="89"/>
      <c r="D87" s="89"/>
      <c r="E87" s="93"/>
      <c r="F87" s="93"/>
      <c r="G87" s="105"/>
      <c r="H87" s="105"/>
      <c r="I87" s="1"/>
      <c r="J87" s="1"/>
      <c r="K87" s="1"/>
      <c r="L87" s="1"/>
      <c r="M87" s="1"/>
      <c r="N87" s="1"/>
      <c r="O87" s="1"/>
      <c r="P87" s="1"/>
      <c r="Q87" s="1"/>
      <c r="R87" s="1"/>
      <c r="S87" s="1"/>
      <c r="T87" s="1"/>
      <c r="U87" s="1"/>
      <c r="V87" s="1"/>
      <c r="W87" s="1"/>
      <c r="X87" s="1"/>
    </row>
    <row r="88" spans="1:24" ht="12.75" customHeight="1" x14ac:dyDescent="0.2">
      <c r="A88" s="1"/>
      <c r="B88" s="1"/>
      <c r="C88" s="89"/>
      <c r="D88" s="89"/>
      <c r="E88" s="93"/>
      <c r="F88" s="93"/>
      <c r="G88" s="105"/>
      <c r="H88" s="105"/>
      <c r="I88" s="1"/>
      <c r="J88" s="1"/>
      <c r="K88" s="1"/>
      <c r="L88" s="1"/>
      <c r="M88" s="1"/>
      <c r="N88" s="1"/>
      <c r="O88" s="1"/>
      <c r="P88" s="1"/>
      <c r="Q88" s="1"/>
      <c r="R88" s="1"/>
      <c r="S88" s="1"/>
      <c r="T88" s="1"/>
      <c r="U88" s="1"/>
      <c r="V88" s="1"/>
      <c r="W88" s="1"/>
      <c r="X88" s="1"/>
    </row>
    <row r="89" spans="1:24" ht="12.75" customHeight="1" x14ac:dyDescent="0.2">
      <c r="A89" s="1"/>
      <c r="B89" s="1"/>
      <c r="C89" s="89"/>
      <c r="D89" s="89"/>
      <c r="E89" s="93"/>
      <c r="F89" s="93"/>
      <c r="G89" s="105"/>
      <c r="H89" s="105"/>
      <c r="I89" s="1"/>
      <c r="J89" s="1"/>
      <c r="K89" s="1"/>
      <c r="L89" s="1"/>
      <c r="M89" s="1"/>
      <c r="N89" s="1"/>
      <c r="O89" s="1"/>
      <c r="P89" s="1"/>
      <c r="Q89" s="1"/>
      <c r="R89" s="1"/>
      <c r="S89" s="1"/>
      <c r="T89" s="1"/>
      <c r="U89" s="1"/>
      <c r="V89" s="1"/>
      <c r="W89" s="1"/>
      <c r="X89" s="1"/>
    </row>
    <row r="90" spans="1:24" ht="12.75" customHeight="1" x14ac:dyDescent="0.2">
      <c r="A90" s="1"/>
      <c r="B90" s="1"/>
      <c r="C90" s="89"/>
      <c r="D90" s="89"/>
      <c r="E90" s="93"/>
      <c r="F90" s="93"/>
      <c r="G90" s="105"/>
      <c r="H90" s="105"/>
      <c r="I90" s="1"/>
      <c r="J90" s="1"/>
      <c r="K90" s="1"/>
      <c r="L90" s="1"/>
      <c r="M90" s="1"/>
      <c r="N90" s="1"/>
      <c r="O90" s="1"/>
      <c r="P90" s="1"/>
      <c r="Q90" s="1"/>
      <c r="R90" s="1"/>
      <c r="S90" s="1"/>
      <c r="T90" s="1"/>
      <c r="U90" s="1"/>
      <c r="V90" s="1"/>
      <c r="W90" s="1"/>
      <c r="X90" s="1"/>
    </row>
    <row r="91" spans="1:24" ht="12.75" customHeight="1" x14ac:dyDescent="0.2">
      <c r="A91" s="1"/>
      <c r="B91" s="1"/>
      <c r="C91" s="89"/>
      <c r="D91" s="89"/>
      <c r="E91" s="93"/>
      <c r="F91" s="93"/>
      <c r="G91" s="105"/>
      <c r="H91" s="105"/>
      <c r="I91" s="1"/>
      <c r="J91" s="1"/>
      <c r="K91" s="1"/>
      <c r="L91" s="1"/>
      <c r="M91" s="1"/>
      <c r="N91" s="1"/>
      <c r="O91" s="1"/>
      <c r="P91" s="1"/>
      <c r="Q91" s="1"/>
      <c r="R91" s="1"/>
      <c r="S91" s="1"/>
      <c r="T91" s="1"/>
      <c r="U91" s="1"/>
      <c r="V91" s="1"/>
      <c r="W91" s="1"/>
      <c r="X91" s="1"/>
    </row>
    <row r="92" spans="1:24" ht="12.75" customHeight="1" x14ac:dyDescent="0.2">
      <c r="A92" s="1"/>
      <c r="B92" s="1"/>
      <c r="C92" s="89"/>
      <c r="D92" s="89"/>
      <c r="E92" s="93"/>
      <c r="F92" s="93"/>
      <c r="G92" s="105"/>
      <c r="H92" s="105"/>
      <c r="I92" s="1"/>
      <c r="J92" s="1"/>
      <c r="K92" s="1"/>
      <c r="L92" s="1"/>
      <c r="M92" s="1"/>
      <c r="N92" s="1"/>
      <c r="O92" s="1"/>
      <c r="P92" s="1"/>
      <c r="Q92" s="1"/>
      <c r="R92" s="1"/>
      <c r="S92" s="1"/>
      <c r="T92" s="1"/>
      <c r="U92" s="1"/>
      <c r="V92" s="1"/>
      <c r="W92" s="1"/>
      <c r="X92" s="1"/>
    </row>
    <row r="93" spans="1:24" ht="12.75" customHeight="1" x14ac:dyDescent="0.2">
      <c r="A93" s="1"/>
      <c r="B93" s="1"/>
      <c r="C93" s="89"/>
      <c r="D93" s="89"/>
      <c r="E93" s="93"/>
      <c r="F93" s="93"/>
      <c r="G93" s="105"/>
      <c r="H93" s="105"/>
      <c r="I93" s="1"/>
      <c r="J93" s="1"/>
      <c r="K93" s="1"/>
      <c r="L93" s="1"/>
      <c r="M93" s="1"/>
      <c r="N93" s="1"/>
      <c r="O93" s="1"/>
      <c r="P93" s="1"/>
      <c r="Q93" s="1"/>
      <c r="R93" s="1"/>
      <c r="S93" s="1"/>
      <c r="T93" s="1"/>
      <c r="U93" s="1"/>
      <c r="V93" s="1"/>
      <c r="W93" s="1"/>
      <c r="X93" s="1"/>
    </row>
    <row r="94" spans="1:24" ht="12.75" customHeight="1" x14ac:dyDescent="0.2">
      <c r="A94" s="1"/>
      <c r="B94" s="1"/>
      <c r="C94" s="89"/>
      <c r="D94" s="89"/>
      <c r="E94" s="93"/>
      <c r="F94" s="93"/>
      <c r="G94" s="105"/>
      <c r="H94" s="105"/>
      <c r="I94" s="1"/>
      <c r="J94" s="1"/>
      <c r="K94" s="1"/>
      <c r="L94" s="1"/>
      <c r="M94" s="1"/>
      <c r="N94" s="1"/>
      <c r="O94" s="1"/>
      <c r="P94" s="1"/>
      <c r="Q94" s="1"/>
      <c r="R94" s="1"/>
      <c r="S94" s="1"/>
      <c r="T94" s="1"/>
      <c r="U94" s="1"/>
      <c r="V94" s="1"/>
      <c r="W94" s="1"/>
      <c r="X94" s="1"/>
    </row>
    <row r="95" spans="1:24" ht="12.75" customHeight="1" x14ac:dyDescent="0.2">
      <c r="A95" s="1"/>
      <c r="B95" s="1"/>
      <c r="C95" s="89"/>
      <c r="D95" s="89"/>
      <c r="E95" s="93"/>
      <c r="F95" s="93"/>
      <c r="G95" s="105"/>
      <c r="H95" s="105"/>
      <c r="I95" s="1"/>
      <c r="J95" s="1"/>
      <c r="K95" s="1"/>
      <c r="L95" s="1"/>
      <c r="M95" s="1"/>
      <c r="N95" s="1"/>
      <c r="O95" s="1"/>
      <c r="P95" s="1"/>
      <c r="Q95" s="1"/>
      <c r="R95" s="1"/>
      <c r="S95" s="1"/>
      <c r="T95" s="1"/>
      <c r="U95" s="1"/>
      <c r="V95" s="1"/>
      <c r="W95" s="1"/>
      <c r="X95" s="1"/>
    </row>
    <row r="96" spans="1:24" ht="12.75" customHeight="1" x14ac:dyDescent="0.2">
      <c r="A96" s="1"/>
      <c r="B96" s="1"/>
      <c r="C96" s="89"/>
      <c r="D96" s="89"/>
      <c r="E96" s="93"/>
      <c r="F96" s="93"/>
      <c r="G96" s="105"/>
      <c r="H96" s="105"/>
      <c r="I96" s="1"/>
      <c r="J96" s="1"/>
      <c r="K96" s="1"/>
      <c r="L96" s="1"/>
      <c r="M96" s="1"/>
      <c r="N96" s="1"/>
      <c r="O96" s="1"/>
      <c r="P96" s="1"/>
      <c r="Q96" s="1"/>
      <c r="R96" s="1"/>
      <c r="S96" s="1"/>
      <c r="T96" s="1"/>
      <c r="U96" s="1"/>
      <c r="V96" s="1"/>
      <c r="W96" s="1"/>
      <c r="X96" s="1"/>
    </row>
    <row r="97" spans="1:24" ht="12.75" customHeight="1" x14ac:dyDescent="0.2">
      <c r="A97" s="1"/>
      <c r="B97" s="1"/>
      <c r="C97" s="89"/>
      <c r="D97" s="89"/>
      <c r="E97" s="93"/>
      <c r="F97" s="93"/>
      <c r="G97" s="105"/>
      <c r="H97" s="105"/>
      <c r="I97" s="1"/>
      <c r="J97" s="1"/>
      <c r="K97" s="1"/>
      <c r="L97" s="1"/>
      <c r="M97" s="1"/>
      <c r="N97" s="1"/>
      <c r="O97" s="1"/>
      <c r="P97" s="1"/>
      <c r="Q97" s="1"/>
      <c r="R97" s="1"/>
      <c r="S97" s="1"/>
      <c r="T97" s="1"/>
      <c r="U97" s="1"/>
      <c r="V97" s="1"/>
      <c r="W97" s="1"/>
      <c r="X97" s="1"/>
    </row>
    <row r="98" spans="1:24" ht="12.75" customHeight="1" x14ac:dyDescent="0.2">
      <c r="A98" s="1"/>
      <c r="B98" s="1"/>
      <c r="C98" s="89"/>
      <c r="D98" s="89"/>
      <c r="E98" s="93"/>
      <c r="F98" s="93"/>
      <c r="G98" s="105"/>
      <c r="H98" s="105"/>
      <c r="I98" s="1"/>
      <c r="J98" s="1"/>
      <c r="K98" s="1"/>
      <c r="L98" s="1"/>
      <c r="M98" s="1"/>
      <c r="N98" s="1"/>
      <c r="O98" s="1"/>
      <c r="P98" s="1"/>
      <c r="Q98" s="1"/>
      <c r="R98" s="1"/>
      <c r="S98" s="1"/>
      <c r="T98" s="1"/>
      <c r="U98" s="1"/>
      <c r="V98" s="1"/>
      <c r="W98" s="1"/>
      <c r="X98" s="1"/>
    </row>
    <row r="99" spans="1:24" ht="12.75" customHeight="1" x14ac:dyDescent="0.2">
      <c r="A99" s="1"/>
      <c r="B99" s="1"/>
      <c r="C99" s="89"/>
      <c r="D99" s="89"/>
      <c r="E99" s="93"/>
      <c r="F99" s="93"/>
      <c r="G99" s="105"/>
      <c r="H99" s="105"/>
      <c r="I99" s="1"/>
      <c r="J99" s="1"/>
      <c r="K99" s="1"/>
      <c r="L99" s="1"/>
      <c r="M99" s="1"/>
      <c r="N99" s="1"/>
      <c r="O99" s="1"/>
      <c r="P99" s="1"/>
      <c r="Q99" s="1"/>
      <c r="R99" s="1"/>
      <c r="S99" s="1"/>
      <c r="T99" s="1"/>
      <c r="U99" s="1"/>
      <c r="V99" s="1"/>
      <c r="W99" s="1"/>
      <c r="X99" s="1"/>
    </row>
    <row r="100" spans="1:24" ht="12.75" customHeight="1" x14ac:dyDescent="0.2">
      <c r="A100" s="1"/>
      <c r="B100" s="1"/>
      <c r="C100" s="89"/>
      <c r="D100" s="89"/>
      <c r="E100" s="93"/>
      <c r="F100" s="93"/>
      <c r="G100" s="105"/>
      <c r="H100" s="105"/>
      <c r="I100" s="1"/>
      <c r="J100" s="1"/>
      <c r="K100" s="1"/>
      <c r="L100" s="1"/>
      <c r="M100" s="1"/>
      <c r="N100" s="1"/>
      <c r="O100" s="1"/>
      <c r="P100" s="1"/>
      <c r="Q100" s="1"/>
      <c r="R100" s="1"/>
      <c r="S100" s="1"/>
      <c r="T100" s="1"/>
      <c r="U100" s="1"/>
      <c r="V100" s="1"/>
      <c r="W100" s="1"/>
      <c r="X100" s="1"/>
    </row>
    <row r="101" spans="1:24" ht="12.75" customHeight="1" x14ac:dyDescent="0.2">
      <c r="A101" s="1"/>
      <c r="B101" s="1"/>
      <c r="C101" s="89"/>
      <c r="D101" s="89"/>
      <c r="E101" s="93"/>
      <c r="F101" s="93"/>
      <c r="G101" s="105"/>
      <c r="H101" s="105"/>
      <c r="I101" s="1"/>
      <c r="J101" s="1"/>
      <c r="K101" s="1"/>
      <c r="L101" s="1"/>
      <c r="M101" s="1"/>
      <c r="N101" s="1"/>
      <c r="O101" s="1"/>
      <c r="P101" s="1"/>
      <c r="Q101" s="1"/>
      <c r="R101" s="1"/>
      <c r="S101" s="1"/>
      <c r="T101" s="1"/>
      <c r="U101" s="1"/>
      <c r="V101" s="1"/>
      <c r="W101" s="1"/>
      <c r="X101" s="1"/>
    </row>
    <row r="102" spans="1:24" ht="12.75" customHeight="1" x14ac:dyDescent="0.2">
      <c r="A102" s="1"/>
      <c r="B102" s="1"/>
      <c r="C102" s="89"/>
      <c r="D102" s="89"/>
      <c r="E102" s="93"/>
      <c r="F102" s="93"/>
      <c r="G102" s="105"/>
      <c r="H102" s="105"/>
      <c r="I102" s="1"/>
      <c r="J102" s="1"/>
      <c r="K102" s="1"/>
      <c r="L102" s="1"/>
      <c r="M102" s="1"/>
      <c r="N102" s="1"/>
      <c r="O102" s="1"/>
      <c r="P102" s="1"/>
      <c r="Q102" s="1"/>
      <c r="R102" s="1"/>
      <c r="S102" s="1"/>
      <c r="T102" s="1"/>
      <c r="U102" s="1"/>
      <c r="V102" s="1"/>
      <c r="W102" s="1"/>
      <c r="X102" s="1"/>
    </row>
    <row r="103" spans="1:24" ht="12.75" customHeight="1" x14ac:dyDescent="0.2">
      <c r="A103" s="1"/>
      <c r="B103" s="1"/>
      <c r="C103" s="89"/>
      <c r="D103" s="89"/>
      <c r="E103" s="93"/>
      <c r="F103" s="93"/>
      <c r="G103" s="105"/>
      <c r="H103" s="105"/>
      <c r="I103" s="1"/>
      <c r="J103" s="1"/>
      <c r="K103" s="1"/>
      <c r="L103" s="1"/>
      <c r="M103" s="1"/>
      <c r="N103" s="1"/>
      <c r="O103" s="1"/>
      <c r="P103" s="1"/>
      <c r="Q103" s="1"/>
      <c r="R103" s="1"/>
      <c r="S103" s="1"/>
      <c r="T103" s="1"/>
      <c r="U103" s="1"/>
      <c r="V103" s="1"/>
      <c r="W103" s="1"/>
      <c r="X103" s="1"/>
    </row>
    <row r="104" spans="1:24" ht="12.75" customHeight="1" x14ac:dyDescent="0.2">
      <c r="A104" s="1"/>
      <c r="B104" s="1"/>
      <c r="C104" s="89"/>
      <c r="D104" s="89"/>
      <c r="E104" s="93"/>
      <c r="F104" s="93"/>
      <c r="G104" s="105"/>
      <c r="H104" s="105"/>
      <c r="I104" s="1"/>
      <c r="J104" s="1"/>
      <c r="K104" s="1"/>
      <c r="L104" s="1"/>
      <c r="M104" s="1"/>
      <c r="N104" s="1"/>
      <c r="O104" s="1"/>
      <c r="P104" s="1"/>
      <c r="Q104" s="1"/>
      <c r="R104" s="1"/>
      <c r="S104" s="1"/>
      <c r="T104" s="1"/>
      <c r="U104" s="1"/>
      <c r="V104" s="1"/>
      <c r="W104" s="1"/>
      <c r="X104" s="1"/>
    </row>
    <row r="105" spans="1:24" ht="12.75" customHeight="1" x14ac:dyDescent="0.2">
      <c r="A105" s="1"/>
      <c r="B105" s="1"/>
      <c r="C105" s="89"/>
      <c r="D105" s="89"/>
      <c r="E105" s="93"/>
      <c r="F105" s="93"/>
      <c r="G105" s="105"/>
      <c r="H105" s="105"/>
      <c r="I105" s="1"/>
      <c r="J105" s="1"/>
      <c r="K105" s="1"/>
      <c r="L105" s="1"/>
      <c r="M105" s="1"/>
      <c r="N105" s="1"/>
      <c r="O105" s="1"/>
      <c r="P105" s="1"/>
      <c r="Q105" s="1"/>
      <c r="R105" s="1"/>
      <c r="S105" s="1"/>
      <c r="T105" s="1"/>
      <c r="U105" s="1"/>
      <c r="V105" s="1"/>
      <c r="W105" s="1"/>
      <c r="X105" s="1"/>
    </row>
    <row r="106" spans="1:24" ht="12.75" customHeight="1" x14ac:dyDescent="0.2">
      <c r="A106" s="1"/>
      <c r="B106" s="1"/>
      <c r="C106" s="89"/>
      <c r="D106" s="89"/>
      <c r="E106" s="93"/>
      <c r="F106" s="93"/>
      <c r="G106" s="105"/>
      <c r="H106" s="105"/>
      <c r="I106" s="1"/>
      <c r="J106" s="1"/>
      <c r="K106" s="1"/>
      <c r="L106" s="1"/>
      <c r="M106" s="1"/>
      <c r="N106" s="1"/>
      <c r="O106" s="1"/>
      <c r="P106" s="1"/>
      <c r="Q106" s="1"/>
      <c r="R106" s="1"/>
      <c r="S106" s="1"/>
      <c r="T106" s="1"/>
      <c r="U106" s="1"/>
      <c r="V106" s="1"/>
      <c r="W106" s="1"/>
      <c r="X106" s="1"/>
    </row>
    <row r="107" spans="1:24" ht="12.75" customHeight="1" x14ac:dyDescent="0.2">
      <c r="A107" s="1"/>
      <c r="B107" s="1"/>
      <c r="C107" s="89"/>
      <c r="D107" s="89"/>
      <c r="E107" s="93"/>
      <c r="F107" s="93"/>
      <c r="G107" s="105"/>
      <c r="H107" s="105"/>
      <c r="I107" s="1"/>
      <c r="J107" s="1"/>
      <c r="K107" s="1"/>
      <c r="L107" s="1"/>
      <c r="M107" s="1"/>
      <c r="N107" s="1"/>
      <c r="O107" s="1"/>
      <c r="P107" s="1"/>
      <c r="Q107" s="1"/>
      <c r="R107" s="1"/>
      <c r="S107" s="1"/>
      <c r="T107" s="1"/>
      <c r="U107" s="1"/>
      <c r="V107" s="1"/>
      <c r="W107" s="1"/>
      <c r="X107" s="1"/>
    </row>
    <row r="108" spans="1:24" ht="12.75" customHeight="1" x14ac:dyDescent="0.2">
      <c r="A108" s="1"/>
      <c r="B108" s="1"/>
      <c r="C108" s="89"/>
      <c r="D108" s="89"/>
      <c r="E108" s="93"/>
      <c r="F108" s="93"/>
      <c r="G108" s="105"/>
      <c r="H108" s="105"/>
      <c r="I108" s="1"/>
      <c r="J108" s="1"/>
      <c r="K108" s="1"/>
      <c r="L108" s="1"/>
      <c r="M108" s="1"/>
      <c r="N108" s="1"/>
      <c r="O108" s="1"/>
      <c r="P108" s="1"/>
      <c r="Q108" s="1"/>
      <c r="R108" s="1"/>
      <c r="S108" s="1"/>
      <c r="T108" s="1"/>
      <c r="U108" s="1"/>
      <c r="V108" s="1"/>
      <c r="W108" s="1"/>
      <c r="X108" s="1"/>
    </row>
    <row r="109" spans="1:24" ht="12.75" customHeight="1" x14ac:dyDescent="0.2">
      <c r="A109" s="1"/>
      <c r="B109" s="1"/>
      <c r="C109" s="89"/>
      <c r="D109" s="89"/>
      <c r="E109" s="93"/>
      <c r="F109" s="93"/>
      <c r="G109" s="105"/>
      <c r="H109" s="105"/>
      <c r="I109" s="1"/>
      <c r="J109" s="1"/>
      <c r="K109" s="1"/>
      <c r="L109" s="1"/>
      <c r="M109" s="1"/>
      <c r="N109" s="1"/>
      <c r="O109" s="1"/>
      <c r="P109" s="1"/>
      <c r="Q109" s="1"/>
      <c r="R109" s="1"/>
      <c r="S109" s="1"/>
      <c r="T109" s="1"/>
      <c r="U109" s="1"/>
      <c r="V109" s="1"/>
      <c r="W109" s="1"/>
      <c r="X109" s="1"/>
    </row>
    <row r="110" spans="1:24" ht="12.75" customHeight="1" x14ac:dyDescent="0.2">
      <c r="A110" s="1"/>
      <c r="B110" s="1"/>
      <c r="C110" s="89"/>
      <c r="D110" s="89"/>
      <c r="E110" s="93"/>
      <c r="F110" s="93"/>
      <c r="G110" s="105"/>
      <c r="H110" s="105"/>
      <c r="I110" s="1"/>
      <c r="J110" s="1"/>
      <c r="K110" s="1"/>
      <c r="L110" s="1"/>
      <c r="M110" s="1"/>
      <c r="N110" s="1"/>
      <c r="O110" s="1"/>
      <c r="P110" s="1"/>
      <c r="Q110" s="1"/>
      <c r="R110" s="1"/>
      <c r="S110" s="1"/>
      <c r="T110" s="1"/>
      <c r="U110" s="1"/>
      <c r="V110" s="1"/>
      <c r="W110" s="1"/>
      <c r="X110" s="1"/>
    </row>
    <row r="111" spans="1:24" ht="12.75" customHeight="1" x14ac:dyDescent="0.2">
      <c r="A111" s="1"/>
      <c r="B111" s="1"/>
      <c r="C111" s="89"/>
      <c r="D111" s="89"/>
      <c r="E111" s="93"/>
      <c r="F111" s="93"/>
      <c r="G111" s="105"/>
      <c r="H111" s="105"/>
      <c r="I111" s="1"/>
      <c r="J111" s="1"/>
      <c r="K111" s="1"/>
      <c r="L111" s="1"/>
      <c r="M111" s="1"/>
      <c r="N111" s="1"/>
      <c r="O111" s="1"/>
      <c r="P111" s="1"/>
      <c r="Q111" s="1"/>
      <c r="R111" s="1"/>
      <c r="S111" s="1"/>
      <c r="T111" s="1"/>
      <c r="U111" s="1"/>
      <c r="V111" s="1"/>
      <c r="W111" s="1"/>
      <c r="X111" s="1"/>
    </row>
    <row r="112" spans="1:24" ht="12.75" customHeight="1" x14ac:dyDescent="0.2">
      <c r="A112" s="1"/>
      <c r="B112" s="1"/>
      <c r="C112" s="89"/>
      <c r="D112" s="89"/>
      <c r="E112" s="93"/>
      <c r="F112" s="93"/>
      <c r="G112" s="105"/>
      <c r="H112" s="105"/>
      <c r="I112" s="1"/>
      <c r="J112" s="1"/>
      <c r="K112" s="1"/>
      <c r="L112" s="1"/>
      <c r="M112" s="1"/>
      <c r="N112" s="1"/>
      <c r="O112" s="1"/>
      <c r="P112" s="1"/>
      <c r="Q112" s="1"/>
      <c r="R112" s="1"/>
      <c r="S112" s="1"/>
      <c r="T112" s="1"/>
      <c r="U112" s="1"/>
      <c r="V112" s="1"/>
      <c r="W112" s="1"/>
      <c r="X112" s="1"/>
    </row>
    <row r="113" spans="1:24" ht="12.75" customHeight="1" x14ac:dyDescent="0.2">
      <c r="A113" s="1"/>
      <c r="B113" s="1"/>
      <c r="C113" s="89"/>
      <c r="D113" s="89"/>
      <c r="E113" s="93"/>
      <c r="F113" s="93"/>
      <c r="G113" s="105"/>
      <c r="H113" s="105"/>
      <c r="I113" s="1"/>
      <c r="J113" s="1"/>
      <c r="K113" s="1"/>
      <c r="L113" s="1"/>
      <c r="M113" s="1"/>
      <c r="N113" s="1"/>
      <c r="O113" s="1"/>
      <c r="P113" s="1"/>
      <c r="Q113" s="1"/>
      <c r="R113" s="1"/>
      <c r="S113" s="1"/>
      <c r="T113" s="1"/>
      <c r="U113" s="1"/>
      <c r="V113" s="1"/>
      <c r="W113" s="1"/>
      <c r="X113" s="1"/>
    </row>
    <row r="114" spans="1:24" ht="12.75" customHeight="1" x14ac:dyDescent="0.2">
      <c r="A114" s="1"/>
      <c r="B114" s="1"/>
      <c r="C114" s="89"/>
      <c r="D114" s="89"/>
      <c r="E114" s="93"/>
      <c r="F114" s="93"/>
      <c r="G114" s="105"/>
      <c r="H114" s="105"/>
      <c r="I114" s="1"/>
      <c r="J114" s="1"/>
      <c r="K114" s="1"/>
      <c r="L114" s="1"/>
      <c r="M114" s="1"/>
      <c r="N114" s="1"/>
      <c r="O114" s="1"/>
      <c r="P114" s="1"/>
      <c r="Q114" s="1"/>
      <c r="R114" s="1"/>
      <c r="S114" s="1"/>
      <c r="T114" s="1"/>
      <c r="U114" s="1"/>
      <c r="V114" s="1"/>
      <c r="W114" s="1"/>
      <c r="X114" s="1"/>
    </row>
    <row r="115" spans="1:24" ht="12.75" customHeight="1" x14ac:dyDescent="0.2">
      <c r="A115" s="1"/>
      <c r="B115" s="1"/>
      <c r="C115" s="89"/>
      <c r="D115" s="89"/>
      <c r="E115" s="93"/>
      <c r="F115" s="93"/>
      <c r="G115" s="105"/>
      <c r="H115" s="105"/>
      <c r="I115" s="1"/>
      <c r="J115" s="1"/>
      <c r="K115" s="1"/>
      <c r="L115" s="1"/>
      <c r="M115" s="1"/>
      <c r="N115" s="1"/>
      <c r="O115" s="1"/>
      <c r="P115" s="1"/>
      <c r="Q115" s="1"/>
      <c r="R115" s="1"/>
      <c r="S115" s="1"/>
      <c r="T115" s="1"/>
      <c r="U115" s="1"/>
      <c r="V115" s="1"/>
      <c r="W115" s="1"/>
      <c r="X115" s="1"/>
    </row>
    <row r="116" spans="1:24" ht="12.75" customHeight="1" x14ac:dyDescent="0.2">
      <c r="A116" s="1"/>
      <c r="B116" s="1"/>
      <c r="C116" s="89"/>
      <c r="D116" s="89"/>
      <c r="E116" s="93"/>
      <c r="F116" s="93"/>
      <c r="G116" s="105"/>
      <c r="H116" s="105"/>
      <c r="I116" s="1"/>
      <c r="J116" s="1"/>
      <c r="K116" s="1"/>
      <c r="L116" s="1"/>
      <c r="M116" s="1"/>
      <c r="N116" s="1"/>
      <c r="O116" s="1"/>
      <c r="P116" s="1"/>
      <c r="Q116" s="1"/>
      <c r="R116" s="1"/>
      <c r="S116" s="1"/>
      <c r="T116" s="1"/>
      <c r="U116" s="1"/>
      <c r="V116" s="1"/>
      <c r="W116" s="1"/>
      <c r="X116" s="1"/>
    </row>
    <row r="117" spans="1:24" ht="12.75" customHeight="1" x14ac:dyDescent="0.2">
      <c r="A117" s="1"/>
      <c r="B117" s="1"/>
      <c r="C117" s="89"/>
      <c r="D117" s="89"/>
      <c r="E117" s="93"/>
      <c r="F117" s="93"/>
      <c r="G117" s="105"/>
      <c r="H117" s="105"/>
      <c r="I117" s="1"/>
      <c r="J117" s="1"/>
      <c r="K117" s="1"/>
      <c r="L117" s="1"/>
      <c r="M117" s="1"/>
      <c r="N117" s="1"/>
      <c r="O117" s="1"/>
      <c r="P117" s="1"/>
      <c r="Q117" s="1"/>
      <c r="R117" s="1"/>
      <c r="S117" s="1"/>
      <c r="T117" s="1"/>
      <c r="U117" s="1"/>
      <c r="V117" s="1"/>
      <c r="W117" s="1"/>
      <c r="X117" s="1"/>
    </row>
    <row r="118" spans="1:24" ht="12.75" customHeight="1" x14ac:dyDescent="0.2">
      <c r="A118" s="1"/>
      <c r="B118" s="1"/>
      <c r="C118" s="89"/>
      <c r="D118" s="89"/>
      <c r="E118" s="93"/>
      <c r="F118" s="93"/>
      <c r="G118" s="105"/>
      <c r="H118" s="105"/>
      <c r="I118" s="1"/>
      <c r="J118" s="1"/>
      <c r="K118" s="1"/>
      <c r="L118" s="1"/>
      <c r="M118" s="1"/>
      <c r="N118" s="1"/>
      <c r="O118" s="1"/>
      <c r="P118" s="1"/>
      <c r="Q118" s="1"/>
      <c r="R118" s="1"/>
      <c r="S118" s="1"/>
      <c r="T118" s="1"/>
      <c r="U118" s="1"/>
      <c r="V118" s="1"/>
      <c r="W118" s="1"/>
      <c r="X118" s="1"/>
    </row>
    <row r="119" spans="1:24" ht="12.75" customHeight="1" x14ac:dyDescent="0.2">
      <c r="A119" s="1"/>
      <c r="B119" s="1"/>
      <c r="C119" s="89"/>
      <c r="D119" s="89"/>
      <c r="E119" s="93"/>
      <c r="F119" s="93"/>
      <c r="G119" s="105"/>
      <c r="H119" s="105"/>
      <c r="I119" s="1"/>
      <c r="J119" s="1"/>
      <c r="K119" s="1"/>
      <c r="L119" s="1"/>
      <c r="M119" s="1"/>
      <c r="N119" s="1"/>
      <c r="O119" s="1"/>
      <c r="P119" s="1"/>
      <c r="Q119" s="1"/>
      <c r="R119" s="1"/>
      <c r="S119" s="1"/>
      <c r="T119" s="1"/>
      <c r="U119" s="1"/>
      <c r="V119" s="1"/>
      <c r="W119" s="1"/>
      <c r="X119" s="1"/>
    </row>
    <row r="120" spans="1:24" ht="12.75" customHeight="1" x14ac:dyDescent="0.2">
      <c r="A120" s="1"/>
      <c r="B120" s="1"/>
      <c r="C120" s="89"/>
      <c r="D120" s="89"/>
      <c r="E120" s="93"/>
      <c r="F120" s="93"/>
      <c r="G120" s="105"/>
      <c r="H120" s="105"/>
      <c r="I120" s="1"/>
      <c r="J120" s="1"/>
      <c r="K120" s="1"/>
      <c r="L120" s="1"/>
      <c r="M120" s="1"/>
      <c r="N120" s="1"/>
      <c r="O120" s="1"/>
      <c r="P120" s="1"/>
      <c r="Q120" s="1"/>
      <c r="R120" s="1"/>
      <c r="S120" s="1"/>
      <c r="T120" s="1"/>
      <c r="U120" s="1"/>
      <c r="V120" s="1"/>
      <c r="W120" s="1"/>
      <c r="X120" s="1"/>
    </row>
    <row r="121" spans="1:24" ht="12.75" customHeight="1" x14ac:dyDescent="0.2">
      <c r="A121" s="1"/>
      <c r="B121" s="1"/>
      <c r="C121" s="89"/>
      <c r="D121" s="89"/>
      <c r="E121" s="93"/>
      <c r="F121" s="93"/>
      <c r="G121" s="105"/>
      <c r="H121" s="105"/>
      <c r="I121" s="1"/>
      <c r="J121" s="1"/>
      <c r="K121" s="1"/>
      <c r="L121" s="1"/>
      <c r="M121" s="1"/>
      <c r="N121" s="1"/>
      <c r="O121" s="1"/>
      <c r="P121" s="1"/>
      <c r="Q121" s="1"/>
      <c r="R121" s="1"/>
      <c r="S121" s="1"/>
      <c r="T121" s="1"/>
      <c r="U121" s="1"/>
      <c r="V121" s="1"/>
      <c r="W121" s="1"/>
      <c r="X121" s="1"/>
    </row>
    <row r="122" spans="1:24" ht="12.75" customHeight="1" x14ac:dyDescent="0.2">
      <c r="A122" s="1"/>
      <c r="B122" s="1"/>
      <c r="C122" s="89"/>
      <c r="D122" s="89"/>
      <c r="E122" s="93"/>
      <c r="F122" s="93"/>
      <c r="G122" s="105"/>
      <c r="H122" s="105"/>
      <c r="I122" s="1"/>
      <c r="J122" s="1"/>
      <c r="K122" s="1"/>
      <c r="L122" s="1"/>
      <c r="M122" s="1"/>
      <c r="N122" s="1"/>
      <c r="O122" s="1"/>
      <c r="P122" s="1"/>
      <c r="Q122" s="1"/>
      <c r="R122" s="1"/>
      <c r="S122" s="1"/>
      <c r="T122" s="1"/>
      <c r="U122" s="1"/>
      <c r="V122" s="1"/>
      <c r="W122" s="1"/>
      <c r="X122" s="1"/>
    </row>
    <row r="123" spans="1:24" ht="12.75" customHeight="1" x14ac:dyDescent="0.2">
      <c r="A123" s="1"/>
      <c r="B123" s="1"/>
      <c r="C123" s="89"/>
      <c r="D123" s="89"/>
      <c r="E123" s="93"/>
      <c r="F123" s="93"/>
      <c r="G123" s="105"/>
      <c r="H123" s="105"/>
      <c r="I123" s="1"/>
      <c r="J123" s="1"/>
      <c r="K123" s="1"/>
      <c r="L123" s="1"/>
      <c r="M123" s="1"/>
      <c r="N123" s="1"/>
      <c r="O123" s="1"/>
      <c r="P123" s="1"/>
      <c r="Q123" s="1"/>
      <c r="R123" s="1"/>
      <c r="S123" s="1"/>
      <c r="T123" s="1"/>
      <c r="U123" s="1"/>
      <c r="V123" s="1"/>
      <c r="W123" s="1"/>
      <c r="X123" s="1"/>
    </row>
    <row r="124" spans="1:24" ht="12.75" customHeight="1" x14ac:dyDescent="0.2">
      <c r="A124" s="1"/>
      <c r="B124" s="1"/>
      <c r="C124" s="89"/>
      <c r="D124" s="89"/>
      <c r="E124" s="93"/>
      <c r="F124" s="93"/>
      <c r="G124" s="105"/>
      <c r="H124" s="105"/>
      <c r="I124" s="1"/>
      <c r="J124" s="1"/>
      <c r="K124" s="1"/>
      <c r="L124" s="1"/>
      <c r="M124" s="1"/>
      <c r="N124" s="1"/>
      <c r="O124" s="1"/>
      <c r="P124" s="1"/>
      <c r="Q124" s="1"/>
      <c r="R124" s="1"/>
      <c r="S124" s="1"/>
      <c r="T124" s="1"/>
      <c r="U124" s="1"/>
      <c r="V124" s="1"/>
      <c r="W124" s="1"/>
      <c r="X124" s="1"/>
    </row>
    <row r="125" spans="1:24" ht="12.75" customHeight="1" x14ac:dyDescent="0.2">
      <c r="A125" s="1"/>
      <c r="B125" s="1"/>
      <c r="C125" s="89"/>
      <c r="D125" s="89"/>
      <c r="E125" s="93"/>
      <c r="F125" s="93"/>
      <c r="G125" s="105"/>
      <c r="H125" s="105"/>
      <c r="I125" s="1"/>
      <c r="J125" s="1"/>
      <c r="K125" s="1"/>
      <c r="L125" s="1"/>
      <c r="M125" s="1"/>
      <c r="N125" s="1"/>
      <c r="O125" s="1"/>
      <c r="P125" s="1"/>
      <c r="Q125" s="1"/>
      <c r="R125" s="1"/>
      <c r="S125" s="1"/>
      <c r="T125" s="1"/>
      <c r="U125" s="1"/>
      <c r="V125" s="1"/>
      <c r="W125" s="1"/>
      <c r="X125" s="1"/>
    </row>
    <row r="126" spans="1:24" ht="12.75" customHeight="1" x14ac:dyDescent="0.2">
      <c r="A126" s="1"/>
      <c r="B126" s="1"/>
      <c r="C126" s="89"/>
      <c r="D126" s="89"/>
      <c r="E126" s="93"/>
      <c r="F126" s="93"/>
      <c r="G126" s="105"/>
      <c r="H126" s="105"/>
      <c r="I126" s="1"/>
      <c r="J126" s="1"/>
      <c r="K126" s="1"/>
      <c r="L126" s="1"/>
      <c r="M126" s="1"/>
      <c r="N126" s="1"/>
      <c r="O126" s="1"/>
      <c r="P126" s="1"/>
      <c r="Q126" s="1"/>
      <c r="R126" s="1"/>
      <c r="S126" s="1"/>
      <c r="T126" s="1"/>
      <c r="U126" s="1"/>
      <c r="V126" s="1"/>
      <c r="W126" s="1"/>
      <c r="X126" s="1"/>
    </row>
    <row r="127" spans="1:24" ht="12.75" customHeight="1" x14ac:dyDescent="0.2">
      <c r="A127" s="1"/>
      <c r="B127" s="1"/>
      <c r="C127" s="89"/>
      <c r="D127" s="89"/>
      <c r="E127" s="93"/>
      <c r="F127" s="93"/>
      <c r="G127" s="105"/>
      <c r="H127" s="105"/>
      <c r="I127" s="1"/>
      <c r="J127" s="1"/>
      <c r="K127" s="1"/>
      <c r="L127" s="1"/>
      <c r="M127" s="1"/>
      <c r="N127" s="1"/>
      <c r="O127" s="1"/>
      <c r="P127" s="1"/>
      <c r="Q127" s="1"/>
      <c r="R127" s="1"/>
      <c r="S127" s="1"/>
      <c r="T127" s="1"/>
      <c r="U127" s="1"/>
      <c r="V127" s="1"/>
      <c r="W127" s="1"/>
      <c r="X127" s="1"/>
    </row>
    <row r="128" spans="1:24" ht="12.75" customHeight="1" x14ac:dyDescent="0.2">
      <c r="A128" s="1"/>
      <c r="B128" s="1"/>
      <c r="C128" s="89"/>
      <c r="D128" s="89"/>
      <c r="E128" s="93"/>
      <c r="F128" s="93"/>
      <c r="G128" s="105"/>
      <c r="H128" s="105"/>
      <c r="I128" s="1"/>
      <c r="J128" s="1"/>
      <c r="K128" s="1"/>
      <c r="L128" s="1"/>
      <c r="M128" s="1"/>
      <c r="N128" s="1"/>
      <c r="O128" s="1"/>
      <c r="P128" s="1"/>
      <c r="Q128" s="1"/>
      <c r="R128" s="1"/>
      <c r="S128" s="1"/>
      <c r="T128" s="1"/>
      <c r="U128" s="1"/>
      <c r="V128" s="1"/>
      <c r="W128" s="1"/>
      <c r="X128" s="1"/>
    </row>
    <row r="129" spans="1:24" ht="12.75" customHeight="1" x14ac:dyDescent="0.2">
      <c r="A129" s="1"/>
      <c r="B129" s="1"/>
      <c r="C129" s="89"/>
      <c r="D129" s="89"/>
      <c r="E129" s="93"/>
      <c r="F129" s="93"/>
      <c r="G129" s="105"/>
      <c r="H129" s="105"/>
      <c r="I129" s="1"/>
      <c r="J129" s="1"/>
      <c r="K129" s="1"/>
      <c r="L129" s="1"/>
      <c r="M129" s="1"/>
      <c r="N129" s="1"/>
      <c r="O129" s="1"/>
      <c r="P129" s="1"/>
      <c r="Q129" s="1"/>
      <c r="R129" s="1"/>
      <c r="S129" s="1"/>
      <c r="T129" s="1"/>
      <c r="U129" s="1"/>
      <c r="V129" s="1"/>
      <c r="W129" s="1"/>
      <c r="X129" s="1"/>
    </row>
    <row r="130" spans="1:24" ht="12.75" customHeight="1" x14ac:dyDescent="0.2">
      <c r="A130" s="1"/>
      <c r="B130" s="1"/>
      <c r="C130" s="89"/>
      <c r="D130" s="89"/>
      <c r="E130" s="93"/>
      <c r="F130" s="93"/>
      <c r="G130" s="105"/>
      <c r="H130" s="105"/>
      <c r="I130" s="1"/>
      <c r="J130" s="1"/>
      <c r="K130" s="1"/>
      <c r="L130" s="1"/>
      <c r="M130" s="1"/>
      <c r="N130" s="1"/>
      <c r="O130" s="1"/>
      <c r="P130" s="1"/>
      <c r="Q130" s="1"/>
      <c r="R130" s="1"/>
      <c r="S130" s="1"/>
      <c r="T130" s="1"/>
      <c r="U130" s="1"/>
      <c r="V130" s="1"/>
      <c r="W130" s="1"/>
      <c r="X130" s="1"/>
    </row>
    <row r="131" spans="1:24" ht="12.75" customHeight="1" x14ac:dyDescent="0.2">
      <c r="A131" s="1"/>
      <c r="B131" s="1"/>
      <c r="C131" s="89"/>
      <c r="D131" s="89"/>
      <c r="E131" s="93"/>
      <c r="F131" s="93"/>
      <c r="G131" s="105"/>
      <c r="H131" s="105"/>
      <c r="I131" s="1"/>
      <c r="J131" s="1"/>
      <c r="K131" s="1"/>
      <c r="L131" s="1"/>
      <c r="M131" s="1"/>
      <c r="N131" s="1"/>
      <c r="O131" s="1"/>
      <c r="P131" s="1"/>
      <c r="Q131" s="1"/>
      <c r="R131" s="1"/>
      <c r="S131" s="1"/>
      <c r="T131" s="1"/>
      <c r="U131" s="1"/>
      <c r="V131" s="1"/>
      <c r="W131" s="1"/>
      <c r="X131" s="1"/>
    </row>
    <row r="132" spans="1:24" ht="12.75" customHeight="1" x14ac:dyDescent="0.2">
      <c r="A132" s="1"/>
      <c r="B132" s="1"/>
      <c r="C132" s="89"/>
      <c r="D132" s="89"/>
      <c r="E132" s="93"/>
      <c r="F132" s="93"/>
      <c r="G132" s="105"/>
      <c r="H132" s="105"/>
      <c r="I132" s="1"/>
      <c r="J132" s="1"/>
      <c r="K132" s="1"/>
      <c r="L132" s="1"/>
      <c r="M132" s="1"/>
      <c r="N132" s="1"/>
      <c r="O132" s="1"/>
      <c r="P132" s="1"/>
      <c r="Q132" s="1"/>
      <c r="R132" s="1"/>
      <c r="S132" s="1"/>
      <c r="T132" s="1"/>
      <c r="U132" s="1"/>
      <c r="V132" s="1"/>
      <c r="W132" s="1"/>
      <c r="X132" s="1"/>
    </row>
    <row r="133" spans="1:24" ht="12.75" customHeight="1" x14ac:dyDescent="0.2">
      <c r="A133" s="1"/>
      <c r="B133" s="1"/>
      <c r="C133" s="89"/>
      <c r="D133" s="89"/>
      <c r="E133" s="93"/>
      <c r="F133" s="93"/>
      <c r="G133" s="105"/>
      <c r="H133" s="105"/>
      <c r="I133" s="1"/>
      <c r="J133" s="1"/>
      <c r="K133" s="1"/>
      <c r="L133" s="1"/>
      <c r="M133" s="1"/>
      <c r="N133" s="1"/>
      <c r="O133" s="1"/>
      <c r="P133" s="1"/>
      <c r="Q133" s="1"/>
      <c r="R133" s="1"/>
      <c r="S133" s="1"/>
      <c r="T133" s="1"/>
      <c r="U133" s="1"/>
      <c r="V133" s="1"/>
      <c r="W133" s="1"/>
      <c r="X133" s="1"/>
    </row>
    <row r="134" spans="1:24" ht="12.75" customHeight="1" x14ac:dyDescent="0.2">
      <c r="A134" s="1"/>
      <c r="B134" s="1"/>
      <c r="C134" s="89"/>
      <c r="D134" s="89"/>
      <c r="E134" s="93"/>
      <c r="F134" s="93"/>
      <c r="G134" s="105"/>
      <c r="H134" s="105"/>
      <c r="I134" s="1"/>
      <c r="J134" s="1"/>
      <c r="K134" s="1"/>
      <c r="L134" s="1"/>
      <c r="M134" s="1"/>
      <c r="N134" s="1"/>
      <c r="O134" s="1"/>
      <c r="P134" s="1"/>
      <c r="Q134" s="1"/>
      <c r="R134" s="1"/>
      <c r="S134" s="1"/>
      <c r="T134" s="1"/>
      <c r="U134" s="1"/>
      <c r="V134" s="1"/>
      <c r="W134" s="1"/>
      <c r="X134" s="1"/>
    </row>
    <row r="135" spans="1:24" ht="12.75" customHeight="1" x14ac:dyDescent="0.2">
      <c r="A135" s="1"/>
      <c r="B135" s="1"/>
      <c r="C135" s="89"/>
      <c r="D135" s="89"/>
      <c r="E135" s="93"/>
      <c r="F135" s="93"/>
      <c r="G135" s="105"/>
      <c r="H135" s="105"/>
      <c r="I135" s="1"/>
      <c r="J135" s="1"/>
      <c r="K135" s="1"/>
      <c r="L135" s="1"/>
      <c r="M135" s="1"/>
      <c r="N135" s="1"/>
      <c r="O135" s="1"/>
      <c r="P135" s="1"/>
      <c r="Q135" s="1"/>
      <c r="R135" s="1"/>
      <c r="S135" s="1"/>
      <c r="T135" s="1"/>
      <c r="U135" s="1"/>
      <c r="V135" s="1"/>
      <c r="W135" s="1"/>
      <c r="X135" s="1"/>
    </row>
    <row r="136" spans="1:24" ht="12.75" customHeight="1" x14ac:dyDescent="0.2">
      <c r="A136" s="1"/>
      <c r="B136" s="1"/>
      <c r="C136" s="89"/>
      <c r="D136" s="89"/>
      <c r="E136" s="93"/>
      <c r="F136" s="93"/>
      <c r="G136" s="105"/>
      <c r="H136" s="105"/>
      <c r="I136" s="1"/>
      <c r="J136" s="1"/>
      <c r="K136" s="1"/>
      <c r="L136" s="1"/>
      <c r="M136" s="1"/>
      <c r="N136" s="1"/>
      <c r="O136" s="1"/>
      <c r="P136" s="1"/>
      <c r="Q136" s="1"/>
      <c r="R136" s="1"/>
      <c r="S136" s="1"/>
      <c r="T136" s="1"/>
      <c r="U136" s="1"/>
      <c r="V136" s="1"/>
      <c r="W136" s="1"/>
      <c r="X136" s="1"/>
    </row>
    <row r="137" spans="1:24" ht="12.75" customHeight="1" x14ac:dyDescent="0.2">
      <c r="A137" s="1"/>
      <c r="B137" s="1"/>
      <c r="C137" s="89"/>
      <c r="D137" s="89"/>
      <c r="E137" s="93"/>
      <c r="F137" s="93"/>
      <c r="G137" s="105"/>
      <c r="H137" s="105"/>
      <c r="I137" s="1"/>
      <c r="J137" s="1"/>
      <c r="K137" s="1"/>
      <c r="L137" s="1"/>
      <c r="M137" s="1"/>
      <c r="N137" s="1"/>
      <c r="O137" s="1"/>
      <c r="P137" s="1"/>
      <c r="Q137" s="1"/>
      <c r="R137" s="1"/>
      <c r="S137" s="1"/>
      <c r="T137" s="1"/>
      <c r="U137" s="1"/>
      <c r="V137" s="1"/>
      <c r="W137" s="1"/>
      <c r="X137" s="1"/>
    </row>
    <row r="138" spans="1:24" ht="12.75" customHeight="1" x14ac:dyDescent="0.2">
      <c r="A138" s="1"/>
      <c r="B138" s="1"/>
      <c r="C138" s="89"/>
      <c r="D138" s="89"/>
      <c r="E138" s="93"/>
      <c r="F138" s="93"/>
      <c r="G138" s="105"/>
      <c r="H138" s="105"/>
      <c r="I138" s="1"/>
      <c r="J138" s="1"/>
      <c r="K138" s="1"/>
      <c r="L138" s="1"/>
      <c r="M138" s="1"/>
      <c r="N138" s="1"/>
      <c r="O138" s="1"/>
      <c r="P138" s="1"/>
      <c r="Q138" s="1"/>
      <c r="R138" s="1"/>
      <c r="S138" s="1"/>
      <c r="T138" s="1"/>
      <c r="U138" s="1"/>
      <c r="V138" s="1"/>
      <c r="W138" s="1"/>
      <c r="X138" s="1"/>
    </row>
    <row r="139" spans="1:24" ht="12.75" customHeight="1" x14ac:dyDescent="0.2">
      <c r="A139" s="1"/>
      <c r="B139" s="1"/>
      <c r="C139" s="89"/>
      <c r="D139" s="89"/>
      <c r="E139" s="93"/>
      <c r="F139" s="93"/>
      <c r="G139" s="105"/>
      <c r="H139" s="105"/>
      <c r="I139" s="1"/>
      <c r="J139" s="1"/>
      <c r="K139" s="1"/>
      <c r="L139" s="1"/>
      <c r="M139" s="1"/>
      <c r="N139" s="1"/>
      <c r="O139" s="1"/>
      <c r="P139" s="1"/>
      <c r="Q139" s="1"/>
      <c r="R139" s="1"/>
      <c r="S139" s="1"/>
      <c r="T139" s="1"/>
      <c r="U139" s="1"/>
      <c r="V139" s="1"/>
      <c r="W139" s="1"/>
      <c r="X139" s="1"/>
    </row>
    <row r="140" spans="1:24" ht="12.75" customHeight="1" x14ac:dyDescent="0.2">
      <c r="A140" s="1"/>
      <c r="B140" s="1"/>
      <c r="C140" s="89"/>
      <c r="D140" s="89"/>
      <c r="E140" s="93"/>
      <c r="F140" s="93"/>
      <c r="G140" s="105"/>
      <c r="H140" s="105"/>
      <c r="I140" s="1"/>
      <c r="J140" s="1"/>
      <c r="K140" s="1"/>
      <c r="L140" s="1"/>
      <c r="M140" s="1"/>
      <c r="N140" s="1"/>
      <c r="O140" s="1"/>
      <c r="P140" s="1"/>
      <c r="Q140" s="1"/>
      <c r="R140" s="1"/>
      <c r="S140" s="1"/>
      <c r="T140" s="1"/>
      <c r="U140" s="1"/>
      <c r="V140" s="1"/>
      <c r="W140" s="1"/>
      <c r="X140" s="1"/>
    </row>
    <row r="141" spans="1:24" ht="12.75" customHeight="1" x14ac:dyDescent="0.2">
      <c r="A141" s="1"/>
      <c r="B141" s="1"/>
      <c r="C141" s="89"/>
      <c r="D141" s="89"/>
      <c r="E141" s="93"/>
      <c r="F141" s="93"/>
      <c r="G141" s="105"/>
      <c r="H141" s="105"/>
      <c r="I141" s="1"/>
      <c r="J141" s="1"/>
      <c r="K141" s="1"/>
      <c r="L141" s="1"/>
      <c r="M141" s="1"/>
      <c r="N141" s="1"/>
      <c r="O141" s="1"/>
      <c r="P141" s="1"/>
      <c r="Q141" s="1"/>
      <c r="R141" s="1"/>
      <c r="S141" s="1"/>
      <c r="T141" s="1"/>
      <c r="U141" s="1"/>
      <c r="V141" s="1"/>
      <c r="W141" s="1"/>
      <c r="X141" s="1"/>
    </row>
    <row r="142" spans="1:24" ht="12.75" customHeight="1" x14ac:dyDescent="0.2">
      <c r="A142" s="1"/>
      <c r="B142" s="1"/>
      <c r="C142" s="89"/>
      <c r="D142" s="89"/>
      <c r="E142" s="93"/>
      <c r="F142" s="93"/>
      <c r="G142" s="105"/>
      <c r="H142" s="105"/>
      <c r="I142" s="1"/>
      <c r="J142" s="1"/>
      <c r="K142" s="1"/>
      <c r="L142" s="1"/>
      <c r="M142" s="1"/>
      <c r="N142" s="1"/>
      <c r="O142" s="1"/>
      <c r="P142" s="1"/>
      <c r="Q142" s="1"/>
      <c r="R142" s="1"/>
      <c r="S142" s="1"/>
      <c r="T142" s="1"/>
      <c r="U142" s="1"/>
      <c r="V142" s="1"/>
      <c r="W142" s="1"/>
      <c r="X142" s="1"/>
    </row>
    <row r="143" spans="1:24" ht="12.75" customHeight="1" x14ac:dyDescent="0.2">
      <c r="A143" s="1"/>
      <c r="B143" s="1"/>
      <c r="C143" s="89"/>
      <c r="D143" s="89"/>
      <c r="E143" s="93"/>
      <c r="F143" s="93"/>
      <c r="G143" s="105"/>
      <c r="H143" s="105"/>
      <c r="I143" s="1"/>
      <c r="J143" s="1"/>
      <c r="K143" s="1"/>
      <c r="L143" s="1"/>
      <c r="M143" s="1"/>
      <c r="N143" s="1"/>
      <c r="O143" s="1"/>
      <c r="P143" s="1"/>
      <c r="Q143" s="1"/>
      <c r="R143" s="1"/>
      <c r="S143" s="1"/>
      <c r="T143" s="1"/>
      <c r="U143" s="1"/>
      <c r="V143" s="1"/>
      <c r="W143" s="1"/>
      <c r="X143" s="1"/>
    </row>
    <row r="144" spans="1:24" ht="12.75" customHeight="1" x14ac:dyDescent="0.2">
      <c r="A144" s="1"/>
      <c r="B144" s="1"/>
      <c r="C144" s="89"/>
      <c r="D144" s="89"/>
      <c r="E144" s="93"/>
      <c r="F144" s="93"/>
      <c r="G144" s="105"/>
      <c r="H144" s="105"/>
      <c r="I144" s="1"/>
      <c r="J144" s="1"/>
      <c r="K144" s="1"/>
      <c r="L144" s="1"/>
      <c r="M144" s="1"/>
      <c r="N144" s="1"/>
      <c r="O144" s="1"/>
      <c r="P144" s="1"/>
      <c r="Q144" s="1"/>
      <c r="R144" s="1"/>
      <c r="S144" s="1"/>
      <c r="T144" s="1"/>
      <c r="U144" s="1"/>
      <c r="V144" s="1"/>
      <c r="W144" s="1"/>
      <c r="X144" s="1"/>
    </row>
    <row r="145" spans="1:24" ht="12.75" customHeight="1" x14ac:dyDescent="0.2">
      <c r="A145" s="1"/>
      <c r="B145" s="1"/>
      <c r="C145" s="89"/>
      <c r="D145" s="89"/>
      <c r="E145" s="93"/>
      <c r="F145" s="93"/>
      <c r="G145" s="105"/>
      <c r="H145" s="105"/>
      <c r="I145" s="1"/>
      <c r="J145" s="1"/>
      <c r="K145" s="1"/>
      <c r="L145" s="1"/>
      <c r="M145" s="1"/>
      <c r="N145" s="1"/>
      <c r="O145" s="1"/>
      <c r="P145" s="1"/>
      <c r="Q145" s="1"/>
      <c r="R145" s="1"/>
      <c r="S145" s="1"/>
      <c r="T145" s="1"/>
      <c r="U145" s="1"/>
      <c r="V145" s="1"/>
      <c r="W145" s="1"/>
      <c r="X145" s="1"/>
    </row>
    <row r="146" spans="1:24" ht="12.75" customHeight="1" x14ac:dyDescent="0.2">
      <c r="A146" s="1"/>
      <c r="B146" s="1"/>
      <c r="C146" s="89"/>
      <c r="D146" s="89"/>
      <c r="E146" s="93"/>
      <c r="F146" s="93"/>
      <c r="G146" s="105"/>
      <c r="H146" s="105"/>
      <c r="I146" s="1"/>
      <c r="J146" s="1"/>
      <c r="K146" s="1"/>
      <c r="L146" s="1"/>
      <c r="M146" s="1"/>
      <c r="N146" s="1"/>
      <c r="O146" s="1"/>
      <c r="P146" s="1"/>
      <c r="Q146" s="1"/>
      <c r="R146" s="1"/>
      <c r="S146" s="1"/>
      <c r="T146" s="1"/>
      <c r="U146" s="1"/>
      <c r="V146" s="1"/>
      <c r="W146" s="1"/>
      <c r="X146" s="1"/>
    </row>
    <row r="147" spans="1:24" ht="12.75" customHeight="1" x14ac:dyDescent="0.2">
      <c r="A147" s="1"/>
      <c r="B147" s="1"/>
      <c r="C147" s="89"/>
      <c r="D147" s="89"/>
      <c r="E147" s="93"/>
      <c r="F147" s="93"/>
      <c r="G147" s="105"/>
      <c r="H147" s="105"/>
      <c r="I147" s="1"/>
      <c r="J147" s="1"/>
      <c r="K147" s="1"/>
      <c r="L147" s="1"/>
      <c r="M147" s="1"/>
      <c r="N147" s="1"/>
      <c r="O147" s="1"/>
      <c r="P147" s="1"/>
      <c r="Q147" s="1"/>
      <c r="R147" s="1"/>
      <c r="S147" s="1"/>
      <c r="T147" s="1"/>
      <c r="U147" s="1"/>
      <c r="V147" s="1"/>
      <c r="W147" s="1"/>
      <c r="X147" s="1"/>
    </row>
    <row r="148" spans="1:24" ht="12.75" customHeight="1" x14ac:dyDescent="0.2">
      <c r="A148" s="1"/>
      <c r="B148" s="1"/>
      <c r="C148" s="89"/>
      <c r="D148" s="89"/>
      <c r="E148" s="93"/>
      <c r="F148" s="93"/>
      <c r="G148" s="105"/>
      <c r="H148" s="105"/>
      <c r="I148" s="1"/>
      <c r="J148" s="1"/>
      <c r="K148" s="1"/>
      <c r="L148" s="1"/>
      <c r="M148" s="1"/>
      <c r="N148" s="1"/>
      <c r="O148" s="1"/>
      <c r="P148" s="1"/>
      <c r="Q148" s="1"/>
      <c r="R148" s="1"/>
      <c r="S148" s="1"/>
      <c r="T148" s="1"/>
      <c r="U148" s="1"/>
      <c r="V148" s="1"/>
      <c r="W148" s="1"/>
      <c r="X148" s="1"/>
    </row>
    <row r="149" spans="1:24" ht="12.75" customHeight="1" x14ac:dyDescent="0.2">
      <c r="A149" s="1"/>
      <c r="B149" s="1"/>
      <c r="C149" s="89"/>
      <c r="D149" s="89"/>
      <c r="E149" s="93"/>
      <c r="F149" s="93"/>
      <c r="G149" s="105"/>
      <c r="H149" s="105"/>
      <c r="I149" s="1"/>
      <c r="J149" s="1"/>
      <c r="K149" s="1"/>
      <c r="L149" s="1"/>
      <c r="M149" s="1"/>
      <c r="N149" s="1"/>
      <c r="O149" s="1"/>
      <c r="P149" s="1"/>
      <c r="Q149" s="1"/>
      <c r="R149" s="1"/>
      <c r="S149" s="1"/>
      <c r="T149" s="1"/>
      <c r="U149" s="1"/>
      <c r="V149" s="1"/>
      <c r="W149" s="1"/>
      <c r="X149" s="1"/>
    </row>
    <row r="150" spans="1:24" ht="12.75" customHeight="1" x14ac:dyDescent="0.2">
      <c r="A150" s="1"/>
      <c r="B150" s="1"/>
      <c r="C150" s="89"/>
      <c r="D150" s="89"/>
      <c r="E150" s="93"/>
      <c r="F150" s="93"/>
      <c r="G150" s="105"/>
      <c r="H150" s="105"/>
      <c r="I150" s="1"/>
      <c r="J150" s="1"/>
      <c r="K150" s="1"/>
      <c r="L150" s="1"/>
      <c r="M150" s="1"/>
      <c r="N150" s="1"/>
      <c r="O150" s="1"/>
      <c r="P150" s="1"/>
      <c r="Q150" s="1"/>
      <c r="R150" s="1"/>
      <c r="S150" s="1"/>
      <c r="T150" s="1"/>
      <c r="U150" s="1"/>
      <c r="V150" s="1"/>
      <c r="W150" s="1"/>
      <c r="X150" s="1"/>
    </row>
    <row r="151" spans="1:24" ht="12.75" customHeight="1" x14ac:dyDescent="0.2">
      <c r="A151" s="1"/>
      <c r="B151" s="1"/>
      <c r="C151" s="89"/>
      <c r="D151" s="89"/>
      <c r="E151" s="93"/>
      <c r="F151" s="93"/>
      <c r="G151" s="105"/>
      <c r="H151" s="105"/>
      <c r="I151" s="1"/>
      <c r="J151" s="1"/>
      <c r="K151" s="1"/>
      <c r="L151" s="1"/>
      <c r="M151" s="1"/>
      <c r="N151" s="1"/>
      <c r="O151" s="1"/>
      <c r="P151" s="1"/>
      <c r="Q151" s="1"/>
      <c r="R151" s="1"/>
      <c r="S151" s="1"/>
      <c r="T151" s="1"/>
      <c r="U151" s="1"/>
      <c r="V151" s="1"/>
      <c r="W151" s="1"/>
      <c r="X151" s="1"/>
    </row>
    <row r="152" spans="1:24" ht="12.75" customHeight="1" x14ac:dyDescent="0.2">
      <c r="A152" s="1"/>
      <c r="B152" s="1"/>
      <c r="C152" s="89"/>
      <c r="D152" s="89"/>
      <c r="E152" s="93"/>
      <c r="F152" s="93"/>
      <c r="G152" s="105"/>
      <c r="H152" s="105"/>
      <c r="I152" s="1"/>
      <c r="J152" s="1"/>
      <c r="K152" s="1"/>
      <c r="L152" s="1"/>
      <c r="M152" s="1"/>
      <c r="N152" s="1"/>
      <c r="O152" s="1"/>
      <c r="P152" s="1"/>
      <c r="Q152" s="1"/>
      <c r="R152" s="1"/>
      <c r="S152" s="1"/>
      <c r="T152" s="1"/>
      <c r="U152" s="1"/>
      <c r="V152" s="1"/>
      <c r="W152" s="1"/>
      <c r="X152" s="1"/>
    </row>
    <row r="153" spans="1:24" ht="12.75" customHeight="1" x14ac:dyDescent="0.2">
      <c r="A153" s="1"/>
      <c r="B153" s="1"/>
      <c r="C153" s="89"/>
      <c r="D153" s="89"/>
      <c r="E153" s="93"/>
      <c r="F153" s="93"/>
      <c r="G153" s="105"/>
      <c r="H153" s="105"/>
      <c r="I153" s="1"/>
      <c r="J153" s="1"/>
      <c r="K153" s="1"/>
      <c r="L153" s="1"/>
      <c r="M153" s="1"/>
      <c r="N153" s="1"/>
      <c r="O153" s="1"/>
      <c r="P153" s="1"/>
      <c r="Q153" s="1"/>
      <c r="R153" s="1"/>
      <c r="S153" s="1"/>
      <c r="T153" s="1"/>
      <c r="U153" s="1"/>
      <c r="V153" s="1"/>
      <c r="W153" s="1"/>
      <c r="X153" s="1"/>
    </row>
    <row r="154" spans="1:24" ht="12.75" customHeight="1" x14ac:dyDescent="0.2">
      <c r="A154" s="1"/>
      <c r="B154" s="1"/>
      <c r="C154" s="89"/>
      <c r="D154" s="89"/>
      <c r="E154" s="93"/>
      <c r="F154" s="93"/>
      <c r="G154" s="105"/>
      <c r="H154" s="105"/>
      <c r="I154" s="1"/>
      <c r="J154" s="1"/>
      <c r="K154" s="1"/>
      <c r="L154" s="1"/>
      <c r="M154" s="1"/>
      <c r="N154" s="1"/>
      <c r="O154" s="1"/>
      <c r="P154" s="1"/>
      <c r="Q154" s="1"/>
      <c r="R154" s="1"/>
      <c r="S154" s="1"/>
      <c r="T154" s="1"/>
      <c r="U154" s="1"/>
      <c r="V154" s="1"/>
      <c r="W154" s="1"/>
      <c r="X154" s="1"/>
    </row>
    <row r="155" spans="1:24" ht="12.75" customHeight="1" x14ac:dyDescent="0.2">
      <c r="A155" s="1"/>
      <c r="B155" s="1"/>
      <c r="C155" s="89"/>
      <c r="D155" s="89"/>
      <c r="E155" s="93"/>
      <c r="F155" s="93"/>
      <c r="G155" s="105"/>
      <c r="H155" s="105"/>
      <c r="I155" s="1"/>
      <c r="J155" s="1"/>
      <c r="K155" s="1"/>
      <c r="L155" s="1"/>
      <c r="M155" s="1"/>
      <c r="N155" s="1"/>
      <c r="O155" s="1"/>
      <c r="P155" s="1"/>
      <c r="Q155" s="1"/>
      <c r="R155" s="1"/>
      <c r="S155" s="1"/>
      <c r="T155" s="1"/>
      <c r="U155" s="1"/>
      <c r="V155" s="1"/>
      <c r="W155" s="1"/>
      <c r="X155" s="1"/>
    </row>
    <row r="156" spans="1:24" ht="12.75" customHeight="1" x14ac:dyDescent="0.2">
      <c r="A156" s="1"/>
      <c r="B156" s="1"/>
      <c r="C156" s="89"/>
      <c r="D156" s="89"/>
      <c r="E156" s="93"/>
      <c r="F156" s="93"/>
      <c r="G156" s="105"/>
      <c r="H156" s="105"/>
      <c r="I156" s="1"/>
      <c r="J156" s="1"/>
      <c r="K156" s="1"/>
      <c r="L156" s="1"/>
      <c r="M156" s="1"/>
      <c r="N156" s="1"/>
      <c r="O156" s="1"/>
      <c r="P156" s="1"/>
      <c r="Q156" s="1"/>
      <c r="R156" s="1"/>
      <c r="S156" s="1"/>
      <c r="T156" s="1"/>
      <c r="U156" s="1"/>
      <c r="V156" s="1"/>
      <c r="W156" s="1"/>
      <c r="X156" s="1"/>
    </row>
    <row r="157" spans="1:24" ht="12.75" customHeight="1" x14ac:dyDescent="0.2">
      <c r="A157" s="1"/>
      <c r="B157" s="1"/>
      <c r="C157" s="89"/>
      <c r="D157" s="89"/>
      <c r="E157" s="93"/>
      <c r="F157" s="93"/>
      <c r="G157" s="105"/>
      <c r="H157" s="105"/>
      <c r="I157" s="1"/>
      <c r="J157" s="1"/>
      <c r="K157" s="1"/>
      <c r="L157" s="1"/>
      <c r="M157" s="1"/>
      <c r="N157" s="1"/>
      <c r="O157" s="1"/>
      <c r="P157" s="1"/>
      <c r="Q157" s="1"/>
      <c r="R157" s="1"/>
      <c r="S157" s="1"/>
      <c r="T157" s="1"/>
      <c r="U157" s="1"/>
      <c r="V157" s="1"/>
      <c r="W157" s="1"/>
      <c r="X157" s="1"/>
    </row>
    <row r="158" spans="1:24" ht="12.75" customHeight="1" x14ac:dyDescent="0.2">
      <c r="A158" s="1"/>
      <c r="B158" s="1"/>
      <c r="C158" s="89"/>
      <c r="D158" s="89"/>
      <c r="E158" s="93"/>
      <c r="F158" s="93"/>
      <c r="G158" s="105"/>
      <c r="H158" s="105"/>
      <c r="I158" s="1"/>
      <c r="J158" s="1"/>
      <c r="K158" s="1"/>
      <c r="L158" s="1"/>
      <c r="M158" s="1"/>
      <c r="N158" s="1"/>
      <c r="O158" s="1"/>
      <c r="P158" s="1"/>
      <c r="Q158" s="1"/>
      <c r="R158" s="1"/>
      <c r="S158" s="1"/>
      <c r="T158" s="1"/>
      <c r="U158" s="1"/>
      <c r="V158" s="1"/>
      <c r="W158" s="1"/>
      <c r="X158" s="1"/>
    </row>
    <row r="159" spans="1:24" ht="12.75" customHeight="1" x14ac:dyDescent="0.2">
      <c r="A159" s="1"/>
      <c r="B159" s="1"/>
      <c r="C159" s="89"/>
      <c r="D159" s="89"/>
      <c r="E159" s="93"/>
      <c r="F159" s="93"/>
      <c r="G159" s="105"/>
      <c r="H159" s="105"/>
      <c r="I159" s="1"/>
      <c r="J159" s="1"/>
      <c r="K159" s="1"/>
      <c r="L159" s="1"/>
      <c r="M159" s="1"/>
      <c r="N159" s="1"/>
      <c r="O159" s="1"/>
      <c r="P159" s="1"/>
      <c r="Q159" s="1"/>
      <c r="R159" s="1"/>
      <c r="S159" s="1"/>
      <c r="T159" s="1"/>
      <c r="U159" s="1"/>
      <c r="V159" s="1"/>
      <c r="W159" s="1"/>
      <c r="X159" s="1"/>
    </row>
    <row r="160" spans="1:24" ht="12.75" customHeight="1" x14ac:dyDescent="0.2">
      <c r="A160" s="1"/>
      <c r="B160" s="1"/>
      <c r="C160" s="89"/>
      <c r="D160" s="89"/>
      <c r="E160" s="93"/>
      <c r="F160" s="93"/>
      <c r="G160" s="105"/>
      <c r="H160" s="105"/>
      <c r="I160" s="1"/>
      <c r="J160" s="1"/>
      <c r="K160" s="1"/>
      <c r="L160" s="1"/>
      <c r="M160" s="1"/>
      <c r="N160" s="1"/>
      <c r="O160" s="1"/>
      <c r="P160" s="1"/>
      <c r="Q160" s="1"/>
      <c r="R160" s="1"/>
      <c r="S160" s="1"/>
      <c r="T160" s="1"/>
      <c r="U160" s="1"/>
      <c r="V160" s="1"/>
      <c r="W160" s="1"/>
      <c r="X160" s="1"/>
    </row>
    <row r="161" spans="1:24" ht="12.75" customHeight="1" x14ac:dyDescent="0.2">
      <c r="A161" s="1"/>
      <c r="B161" s="1"/>
      <c r="C161" s="89"/>
      <c r="D161" s="89"/>
      <c r="E161" s="93"/>
      <c r="F161" s="93"/>
      <c r="G161" s="105"/>
      <c r="H161" s="105"/>
      <c r="I161" s="1"/>
      <c r="J161" s="1"/>
      <c r="K161" s="1"/>
      <c r="L161" s="1"/>
      <c r="M161" s="1"/>
      <c r="N161" s="1"/>
      <c r="O161" s="1"/>
      <c r="P161" s="1"/>
      <c r="Q161" s="1"/>
      <c r="R161" s="1"/>
      <c r="S161" s="1"/>
      <c r="T161" s="1"/>
      <c r="U161" s="1"/>
      <c r="V161" s="1"/>
      <c r="W161" s="1"/>
      <c r="X161" s="1"/>
    </row>
    <row r="162" spans="1:24" ht="12.75" customHeight="1" x14ac:dyDescent="0.2">
      <c r="A162" s="1"/>
      <c r="B162" s="1"/>
      <c r="C162" s="89"/>
      <c r="D162" s="89"/>
      <c r="E162" s="93"/>
      <c r="F162" s="93"/>
      <c r="G162" s="105"/>
      <c r="H162" s="105"/>
      <c r="I162" s="1"/>
      <c r="J162" s="1"/>
      <c r="K162" s="1"/>
      <c r="L162" s="1"/>
      <c r="M162" s="1"/>
      <c r="N162" s="1"/>
      <c r="O162" s="1"/>
      <c r="P162" s="1"/>
      <c r="Q162" s="1"/>
      <c r="R162" s="1"/>
      <c r="S162" s="1"/>
      <c r="T162" s="1"/>
      <c r="U162" s="1"/>
      <c r="V162" s="1"/>
      <c r="W162" s="1"/>
      <c r="X162" s="1"/>
    </row>
    <row r="163" spans="1:24" ht="12.75" customHeight="1" x14ac:dyDescent="0.2">
      <c r="A163" s="1"/>
      <c r="B163" s="1"/>
      <c r="C163" s="89"/>
      <c r="D163" s="89"/>
      <c r="E163" s="93"/>
      <c r="F163" s="93"/>
      <c r="G163" s="105"/>
      <c r="H163" s="105"/>
      <c r="I163" s="1"/>
      <c r="J163" s="1"/>
      <c r="K163" s="1"/>
      <c r="L163" s="1"/>
      <c r="M163" s="1"/>
      <c r="N163" s="1"/>
      <c r="O163" s="1"/>
      <c r="P163" s="1"/>
      <c r="Q163" s="1"/>
      <c r="R163" s="1"/>
      <c r="S163" s="1"/>
      <c r="T163" s="1"/>
      <c r="U163" s="1"/>
      <c r="V163" s="1"/>
      <c r="W163" s="1"/>
      <c r="X163" s="1"/>
    </row>
    <row r="164" spans="1:24" ht="12.75" customHeight="1" x14ac:dyDescent="0.2">
      <c r="A164" s="1"/>
      <c r="B164" s="1"/>
      <c r="C164" s="89"/>
      <c r="D164" s="89"/>
      <c r="E164" s="93"/>
      <c r="F164" s="93"/>
      <c r="G164" s="105"/>
      <c r="H164" s="105"/>
      <c r="I164" s="1"/>
      <c r="J164" s="1"/>
      <c r="K164" s="1"/>
      <c r="L164" s="1"/>
      <c r="M164" s="1"/>
      <c r="N164" s="1"/>
      <c r="O164" s="1"/>
      <c r="P164" s="1"/>
      <c r="Q164" s="1"/>
      <c r="R164" s="1"/>
      <c r="S164" s="1"/>
      <c r="T164" s="1"/>
      <c r="U164" s="1"/>
      <c r="V164" s="1"/>
      <c r="W164" s="1"/>
      <c r="X164" s="1"/>
    </row>
    <row r="165" spans="1:24" ht="12.75" customHeight="1" x14ac:dyDescent="0.2">
      <c r="A165" s="1"/>
      <c r="B165" s="1"/>
      <c r="C165" s="89"/>
      <c r="D165" s="89"/>
      <c r="E165" s="93"/>
      <c r="F165" s="93"/>
      <c r="G165" s="105"/>
      <c r="H165" s="105"/>
      <c r="I165" s="1"/>
      <c r="J165" s="1"/>
      <c r="K165" s="1"/>
      <c r="L165" s="1"/>
      <c r="M165" s="1"/>
      <c r="N165" s="1"/>
      <c r="O165" s="1"/>
      <c r="P165" s="1"/>
      <c r="Q165" s="1"/>
      <c r="R165" s="1"/>
      <c r="S165" s="1"/>
      <c r="T165" s="1"/>
      <c r="U165" s="1"/>
      <c r="V165" s="1"/>
      <c r="W165" s="1"/>
      <c r="X165" s="1"/>
    </row>
    <row r="166" spans="1:24" ht="12.75" customHeight="1" x14ac:dyDescent="0.2">
      <c r="A166" s="1"/>
      <c r="B166" s="1"/>
      <c r="C166" s="89"/>
      <c r="D166" s="89"/>
      <c r="E166" s="93"/>
      <c r="F166" s="93"/>
      <c r="G166" s="105"/>
      <c r="H166" s="105"/>
      <c r="I166" s="1"/>
      <c r="J166" s="1"/>
      <c r="K166" s="1"/>
      <c r="L166" s="1"/>
      <c r="M166" s="1"/>
      <c r="N166" s="1"/>
      <c r="O166" s="1"/>
      <c r="P166" s="1"/>
      <c r="Q166" s="1"/>
      <c r="R166" s="1"/>
      <c r="S166" s="1"/>
      <c r="T166" s="1"/>
      <c r="U166" s="1"/>
      <c r="V166" s="1"/>
      <c r="W166" s="1"/>
      <c r="X166" s="1"/>
    </row>
    <row r="167" spans="1:24" ht="12.75" customHeight="1" x14ac:dyDescent="0.2">
      <c r="A167" s="1"/>
      <c r="B167" s="1"/>
      <c r="C167" s="89"/>
      <c r="D167" s="89"/>
      <c r="E167" s="93"/>
      <c r="F167" s="93"/>
      <c r="G167" s="105"/>
      <c r="H167" s="105"/>
      <c r="I167" s="1"/>
      <c r="J167" s="1"/>
      <c r="K167" s="1"/>
      <c r="L167" s="1"/>
      <c r="M167" s="1"/>
      <c r="N167" s="1"/>
      <c r="O167" s="1"/>
      <c r="P167" s="1"/>
      <c r="Q167" s="1"/>
      <c r="R167" s="1"/>
      <c r="S167" s="1"/>
      <c r="T167" s="1"/>
      <c r="U167" s="1"/>
      <c r="V167" s="1"/>
      <c r="W167" s="1"/>
      <c r="X167" s="1"/>
    </row>
    <row r="168" spans="1:24" ht="12.75" customHeight="1" x14ac:dyDescent="0.2">
      <c r="A168" s="1"/>
      <c r="B168" s="1"/>
      <c r="C168" s="89"/>
      <c r="D168" s="89"/>
      <c r="E168" s="93"/>
      <c r="F168" s="93"/>
      <c r="G168" s="105"/>
      <c r="H168" s="105"/>
      <c r="I168" s="1"/>
      <c r="J168" s="1"/>
      <c r="K168" s="1"/>
      <c r="L168" s="1"/>
      <c r="M168" s="1"/>
      <c r="N168" s="1"/>
      <c r="O168" s="1"/>
      <c r="P168" s="1"/>
      <c r="Q168" s="1"/>
      <c r="R168" s="1"/>
      <c r="S168" s="1"/>
      <c r="T168" s="1"/>
      <c r="U168" s="1"/>
      <c r="V168" s="1"/>
      <c r="W168" s="1"/>
      <c r="X168" s="1"/>
    </row>
    <row r="169" spans="1:24" ht="12.75" customHeight="1" x14ac:dyDescent="0.2">
      <c r="A169" s="1"/>
      <c r="B169" s="1"/>
      <c r="C169" s="89"/>
      <c r="D169" s="89"/>
      <c r="E169" s="93"/>
      <c r="F169" s="93"/>
      <c r="G169" s="105"/>
      <c r="H169" s="105"/>
      <c r="I169" s="1"/>
      <c r="J169" s="1"/>
      <c r="K169" s="1"/>
      <c r="L169" s="1"/>
      <c r="M169" s="1"/>
      <c r="N169" s="1"/>
      <c r="O169" s="1"/>
      <c r="P169" s="1"/>
      <c r="Q169" s="1"/>
      <c r="R169" s="1"/>
      <c r="S169" s="1"/>
      <c r="T169" s="1"/>
      <c r="U169" s="1"/>
      <c r="V169" s="1"/>
      <c r="W169" s="1"/>
      <c r="X169" s="1"/>
    </row>
    <row r="170" spans="1:24" ht="12.75" customHeight="1" x14ac:dyDescent="0.2">
      <c r="A170" s="1"/>
      <c r="B170" s="1"/>
      <c r="C170" s="89"/>
      <c r="D170" s="89"/>
      <c r="E170" s="93"/>
      <c r="F170" s="93"/>
      <c r="G170" s="105"/>
      <c r="H170" s="105"/>
      <c r="I170" s="1"/>
      <c r="J170" s="1"/>
      <c r="K170" s="1"/>
      <c r="L170" s="1"/>
      <c r="M170" s="1"/>
      <c r="N170" s="1"/>
      <c r="O170" s="1"/>
      <c r="P170" s="1"/>
      <c r="Q170" s="1"/>
      <c r="R170" s="1"/>
      <c r="S170" s="1"/>
      <c r="T170" s="1"/>
      <c r="U170" s="1"/>
      <c r="V170" s="1"/>
      <c r="W170" s="1"/>
      <c r="X170" s="1"/>
    </row>
    <row r="171" spans="1:24" ht="12.75" customHeight="1" x14ac:dyDescent="0.2">
      <c r="A171" s="1"/>
      <c r="B171" s="1"/>
      <c r="C171" s="89"/>
      <c r="D171" s="89"/>
      <c r="E171" s="93"/>
      <c r="F171" s="93"/>
      <c r="G171" s="105"/>
      <c r="H171" s="105"/>
      <c r="I171" s="1"/>
      <c r="J171" s="1"/>
      <c r="K171" s="1"/>
      <c r="L171" s="1"/>
      <c r="M171" s="1"/>
      <c r="N171" s="1"/>
      <c r="O171" s="1"/>
      <c r="P171" s="1"/>
      <c r="Q171" s="1"/>
      <c r="R171" s="1"/>
      <c r="S171" s="1"/>
      <c r="T171" s="1"/>
      <c r="U171" s="1"/>
      <c r="V171" s="1"/>
      <c r="W171" s="1"/>
      <c r="X171" s="1"/>
    </row>
    <row r="172" spans="1:24" ht="12.75" customHeight="1" x14ac:dyDescent="0.2">
      <c r="A172" s="1"/>
      <c r="B172" s="1"/>
      <c r="C172" s="89"/>
      <c r="D172" s="89"/>
      <c r="E172" s="93"/>
      <c r="F172" s="93"/>
      <c r="G172" s="105"/>
      <c r="H172" s="105"/>
      <c r="I172" s="1"/>
      <c r="J172" s="1"/>
      <c r="K172" s="1"/>
      <c r="L172" s="1"/>
      <c r="M172" s="1"/>
      <c r="N172" s="1"/>
      <c r="O172" s="1"/>
      <c r="P172" s="1"/>
      <c r="Q172" s="1"/>
      <c r="R172" s="1"/>
      <c r="S172" s="1"/>
      <c r="T172" s="1"/>
      <c r="U172" s="1"/>
      <c r="V172" s="1"/>
      <c r="W172" s="1"/>
      <c r="X172" s="1"/>
    </row>
    <row r="173" spans="1:24" ht="12.75" customHeight="1" x14ac:dyDescent="0.2">
      <c r="A173" s="1"/>
      <c r="B173" s="1"/>
      <c r="C173" s="89"/>
      <c r="D173" s="89"/>
      <c r="E173" s="93"/>
      <c r="F173" s="93"/>
      <c r="G173" s="105"/>
      <c r="H173" s="105"/>
      <c r="I173" s="1"/>
      <c r="J173" s="1"/>
      <c r="K173" s="1"/>
      <c r="L173" s="1"/>
      <c r="M173" s="1"/>
      <c r="N173" s="1"/>
      <c r="O173" s="1"/>
      <c r="P173" s="1"/>
      <c r="Q173" s="1"/>
      <c r="R173" s="1"/>
      <c r="S173" s="1"/>
      <c r="T173" s="1"/>
      <c r="U173" s="1"/>
      <c r="V173" s="1"/>
      <c r="W173" s="1"/>
      <c r="X173" s="1"/>
    </row>
    <row r="174" spans="1:24" ht="12.75" customHeight="1" x14ac:dyDescent="0.2">
      <c r="A174" s="1"/>
      <c r="B174" s="1"/>
      <c r="C174" s="89"/>
      <c r="D174" s="89"/>
      <c r="E174" s="93"/>
      <c r="F174" s="93"/>
      <c r="G174" s="105"/>
      <c r="H174" s="105"/>
      <c r="I174" s="1"/>
      <c r="J174" s="1"/>
      <c r="K174" s="1"/>
      <c r="L174" s="1"/>
      <c r="M174" s="1"/>
      <c r="N174" s="1"/>
      <c r="O174" s="1"/>
      <c r="P174" s="1"/>
      <c r="Q174" s="1"/>
      <c r="R174" s="1"/>
      <c r="S174" s="1"/>
      <c r="T174" s="1"/>
      <c r="U174" s="1"/>
      <c r="V174" s="1"/>
      <c r="W174" s="1"/>
      <c r="X174" s="1"/>
    </row>
    <row r="175" spans="1:24" ht="12.75" customHeight="1" x14ac:dyDescent="0.2">
      <c r="A175" s="1"/>
      <c r="B175" s="1"/>
      <c r="C175" s="89"/>
      <c r="D175" s="89"/>
      <c r="E175" s="93"/>
      <c r="F175" s="93"/>
      <c r="G175" s="105"/>
      <c r="H175" s="105"/>
      <c r="I175" s="1"/>
      <c r="J175" s="1"/>
      <c r="K175" s="1"/>
      <c r="L175" s="1"/>
      <c r="M175" s="1"/>
      <c r="N175" s="1"/>
      <c r="O175" s="1"/>
      <c r="P175" s="1"/>
      <c r="Q175" s="1"/>
      <c r="R175" s="1"/>
      <c r="S175" s="1"/>
      <c r="T175" s="1"/>
      <c r="U175" s="1"/>
      <c r="V175" s="1"/>
      <c r="W175" s="1"/>
      <c r="X175" s="1"/>
    </row>
    <row r="176" spans="1:24" ht="12.75" customHeight="1" x14ac:dyDescent="0.2">
      <c r="A176" s="1"/>
      <c r="B176" s="1"/>
      <c r="C176" s="89"/>
      <c r="D176" s="89"/>
      <c r="E176" s="93"/>
      <c r="F176" s="93"/>
      <c r="G176" s="105"/>
      <c r="H176" s="105"/>
      <c r="I176" s="1"/>
      <c r="J176" s="1"/>
      <c r="K176" s="1"/>
      <c r="L176" s="1"/>
      <c r="M176" s="1"/>
      <c r="N176" s="1"/>
      <c r="O176" s="1"/>
      <c r="P176" s="1"/>
      <c r="Q176" s="1"/>
      <c r="R176" s="1"/>
      <c r="S176" s="1"/>
      <c r="T176" s="1"/>
      <c r="U176" s="1"/>
      <c r="V176" s="1"/>
      <c r="W176" s="1"/>
      <c r="X176" s="1"/>
    </row>
    <row r="177" spans="1:24" ht="12.75" customHeight="1" x14ac:dyDescent="0.2">
      <c r="A177" s="1"/>
      <c r="B177" s="1"/>
      <c r="C177" s="89"/>
      <c r="D177" s="89"/>
      <c r="E177" s="93"/>
      <c r="F177" s="93"/>
      <c r="G177" s="105"/>
      <c r="H177" s="105"/>
      <c r="I177" s="1"/>
      <c r="J177" s="1"/>
      <c r="K177" s="1"/>
      <c r="L177" s="1"/>
      <c r="M177" s="1"/>
      <c r="N177" s="1"/>
      <c r="O177" s="1"/>
      <c r="P177" s="1"/>
      <c r="Q177" s="1"/>
      <c r="R177" s="1"/>
      <c r="S177" s="1"/>
      <c r="T177" s="1"/>
      <c r="U177" s="1"/>
      <c r="V177" s="1"/>
      <c r="W177" s="1"/>
      <c r="X177" s="1"/>
    </row>
    <row r="178" spans="1:24" ht="12.75" customHeight="1" x14ac:dyDescent="0.2">
      <c r="A178" s="1"/>
      <c r="B178" s="1"/>
      <c r="C178" s="89"/>
      <c r="D178" s="89"/>
      <c r="E178" s="93"/>
      <c r="F178" s="93"/>
      <c r="G178" s="105"/>
      <c r="H178" s="105"/>
      <c r="I178" s="1"/>
      <c r="J178" s="1"/>
      <c r="K178" s="1"/>
      <c r="L178" s="1"/>
      <c r="M178" s="1"/>
      <c r="N178" s="1"/>
      <c r="O178" s="1"/>
      <c r="P178" s="1"/>
      <c r="Q178" s="1"/>
      <c r="R178" s="1"/>
      <c r="S178" s="1"/>
      <c r="T178" s="1"/>
      <c r="U178" s="1"/>
      <c r="V178" s="1"/>
      <c r="W178" s="1"/>
      <c r="X178" s="1"/>
    </row>
    <row r="179" spans="1:24" ht="12.75" customHeight="1" x14ac:dyDescent="0.2">
      <c r="A179" s="1"/>
      <c r="B179" s="1"/>
      <c r="C179" s="89"/>
      <c r="D179" s="89"/>
      <c r="E179" s="93"/>
      <c r="F179" s="93"/>
      <c r="G179" s="105"/>
      <c r="H179" s="105"/>
      <c r="I179" s="1"/>
      <c r="J179" s="1"/>
      <c r="K179" s="1"/>
      <c r="L179" s="1"/>
      <c r="M179" s="1"/>
      <c r="N179" s="1"/>
      <c r="O179" s="1"/>
      <c r="P179" s="1"/>
      <c r="Q179" s="1"/>
      <c r="R179" s="1"/>
      <c r="S179" s="1"/>
      <c r="T179" s="1"/>
      <c r="U179" s="1"/>
      <c r="V179" s="1"/>
      <c r="W179" s="1"/>
      <c r="X179" s="1"/>
    </row>
    <row r="180" spans="1:24" ht="12.75" customHeight="1" x14ac:dyDescent="0.2">
      <c r="A180" s="1"/>
      <c r="B180" s="1"/>
      <c r="C180" s="89"/>
      <c r="D180" s="89"/>
      <c r="E180" s="93"/>
      <c r="F180" s="93"/>
      <c r="G180" s="105"/>
      <c r="H180" s="105"/>
      <c r="I180" s="1"/>
      <c r="J180" s="1"/>
      <c r="K180" s="1"/>
      <c r="L180" s="1"/>
      <c r="M180" s="1"/>
      <c r="N180" s="1"/>
      <c r="O180" s="1"/>
      <c r="P180" s="1"/>
      <c r="Q180" s="1"/>
      <c r="R180" s="1"/>
      <c r="S180" s="1"/>
      <c r="T180" s="1"/>
      <c r="U180" s="1"/>
      <c r="V180" s="1"/>
      <c r="W180" s="1"/>
      <c r="X180" s="1"/>
    </row>
    <row r="181" spans="1:24" ht="12.75" customHeight="1" x14ac:dyDescent="0.2">
      <c r="A181" s="1"/>
      <c r="B181" s="1"/>
      <c r="C181" s="89"/>
      <c r="D181" s="89"/>
      <c r="E181" s="93"/>
      <c r="F181" s="93"/>
      <c r="G181" s="105"/>
      <c r="H181" s="105"/>
      <c r="I181" s="1"/>
      <c r="J181" s="1"/>
      <c r="K181" s="1"/>
      <c r="L181" s="1"/>
      <c r="M181" s="1"/>
      <c r="N181" s="1"/>
      <c r="O181" s="1"/>
      <c r="P181" s="1"/>
      <c r="Q181" s="1"/>
      <c r="R181" s="1"/>
      <c r="S181" s="1"/>
      <c r="T181" s="1"/>
      <c r="U181" s="1"/>
      <c r="V181" s="1"/>
      <c r="W181" s="1"/>
      <c r="X181" s="1"/>
    </row>
    <row r="182" spans="1:24" ht="12.75" customHeight="1" x14ac:dyDescent="0.2">
      <c r="A182" s="1"/>
      <c r="B182" s="1"/>
      <c r="C182" s="89"/>
      <c r="D182" s="89"/>
      <c r="E182" s="93"/>
      <c r="F182" s="93"/>
      <c r="G182" s="105"/>
      <c r="H182" s="105"/>
      <c r="I182" s="1"/>
      <c r="J182" s="1"/>
      <c r="K182" s="1"/>
      <c r="L182" s="1"/>
      <c r="M182" s="1"/>
      <c r="N182" s="1"/>
      <c r="O182" s="1"/>
      <c r="P182" s="1"/>
      <c r="Q182" s="1"/>
      <c r="R182" s="1"/>
      <c r="S182" s="1"/>
      <c r="T182" s="1"/>
      <c r="U182" s="1"/>
      <c r="V182" s="1"/>
      <c r="W182" s="1"/>
      <c r="X182" s="1"/>
    </row>
    <row r="183" spans="1:24" ht="12.75" customHeight="1" x14ac:dyDescent="0.2">
      <c r="A183" s="1"/>
      <c r="B183" s="1"/>
      <c r="C183" s="89"/>
      <c r="D183" s="89"/>
      <c r="E183" s="93"/>
      <c r="F183" s="93"/>
      <c r="G183" s="105"/>
      <c r="H183" s="105"/>
      <c r="I183" s="1"/>
      <c r="J183" s="1"/>
      <c r="K183" s="1"/>
      <c r="L183" s="1"/>
      <c r="M183" s="1"/>
      <c r="N183" s="1"/>
      <c r="O183" s="1"/>
      <c r="P183" s="1"/>
      <c r="Q183" s="1"/>
      <c r="R183" s="1"/>
      <c r="S183" s="1"/>
      <c r="T183" s="1"/>
      <c r="U183" s="1"/>
      <c r="V183" s="1"/>
      <c r="W183" s="1"/>
      <c r="X183" s="1"/>
    </row>
    <row r="184" spans="1:24" ht="12.75" customHeight="1" x14ac:dyDescent="0.2">
      <c r="A184" s="1"/>
      <c r="B184" s="1"/>
      <c r="C184" s="89"/>
      <c r="D184" s="89"/>
      <c r="E184" s="93"/>
      <c r="F184" s="93"/>
      <c r="G184" s="105"/>
      <c r="H184" s="105"/>
      <c r="I184" s="1"/>
      <c r="J184" s="1"/>
      <c r="K184" s="1"/>
      <c r="L184" s="1"/>
      <c r="M184" s="1"/>
      <c r="N184" s="1"/>
      <c r="O184" s="1"/>
      <c r="P184" s="1"/>
      <c r="Q184" s="1"/>
      <c r="R184" s="1"/>
      <c r="S184" s="1"/>
      <c r="T184" s="1"/>
      <c r="U184" s="1"/>
      <c r="V184" s="1"/>
      <c r="W184" s="1"/>
      <c r="X184" s="1"/>
    </row>
    <row r="185" spans="1:24" ht="12.75" customHeight="1" x14ac:dyDescent="0.2">
      <c r="A185" s="1"/>
      <c r="B185" s="1"/>
      <c r="C185" s="89"/>
      <c r="D185" s="89"/>
      <c r="E185" s="93"/>
      <c r="F185" s="93"/>
      <c r="G185" s="105"/>
      <c r="H185" s="105"/>
      <c r="I185" s="1"/>
      <c r="J185" s="1"/>
      <c r="K185" s="1"/>
      <c r="L185" s="1"/>
      <c r="M185" s="1"/>
      <c r="N185" s="1"/>
      <c r="O185" s="1"/>
      <c r="P185" s="1"/>
      <c r="Q185" s="1"/>
      <c r="R185" s="1"/>
      <c r="S185" s="1"/>
      <c r="T185" s="1"/>
      <c r="U185" s="1"/>
      <c r="V185" s="1"/>
      <c r="W185" s="1"/>
      <c r="X185" s="1"/>
    </row>
    <row r="186" spans="1:24" ht="12.75" customHeight="1" x14ac:dyDescent="0.2">
      <c r="A186" s="1"/>
      <c r="B186" s="1"/>
      <c r="C186" s="89"/>
      <c r="D186" s="89"/>
      <c r="E186" s="93"/>
      <c r="F186" s="93"/>
      <c r="G186" s="105"/>
      <c r="H186" s="105"/>
      <c r="I186" s="1"/>
      <c r="J186" s="1"/>
      <c r="K186" s="1"/>
      <c r="L186" s="1"/>
      <c r="M186" s="1"/>
      <c r="N186" s="1"/>
      <c r="O186" s="1"/>
      <c r="P186" s="1"/>
      <c r="Q186" s="1"/>
      <c r="R186" s="1"/>
      <c r="S186" s="1"/>
      <c r="T186" s="1"/>
      <c r="U186" s="1"/>
      <c r="V186" s="1"/>
      <c r="W186" s="1"/>
      <c r="X186" s="1"/>
    </row>
    <row r="187" spans="1:24" ht="12.75" customHeight="1" x14ac:dyDescent="0.2">
      <c r="A187" s="1"/>
      <c r="B187" s="1"/>
      <c r="C187" s="89"/>
      <c r="D187" s="89"/>
      <c r="E187" s="93"/>
      <c r="F187" s="93"/>
      <c r="G187" s="105"/>
      <c r="H187" s="105"/>
      <c r="I187" s="1"/>
      <c r="J187" s="1"/>
      <c r="K187" s="1"/>
      <c r="L187" s="1"/>
      <c r="M187" s="1"/>
      <c r="N187" s="1"/>
      <c r="O187" s="1"/>
      <c r="P187" s="1"/>
      <c r="Q187" s="1"/>
      <c r="R187" s="1"/>
      <c r="S187" s="1"/>
      <c r="T187" s="1"/>
      <c r="U187" s="1"/>
      <c r="V187" s="1"/>
      <c r="W187" s="1"/>
      <c r="X187" s="1"/>
    </row>
    <row r="188" spans="1:24" ht="12.75" customHeight="1" x14ac:dyDescent="0.2">
      <c r="A188" s="1"/>
      <c r="B188" s="1"/>
      <c r="C188" s="89"/>
      <c r="D188" s="89"/>
      <c r="E188" s="93"/>
      <c r="F188" s="93"/>
      <c r="G188" s="105"/>
      <c r="H188" s="105"/>
      <c r="I188" s="1"/>
      <c r="J188" s="1"/>
      <c r="K188" s="1"/>
      <c r="L188" s="1"/>
      <c r="M188" s="1"/>
      <c r="N188" s="1"/>
      <c r="O188" s="1"/>
      <c r="P188" s="1"/>
      <c r="Q188" s="1"/>
      <c r="R188" s="1"/>
      <c r="S188" s="1"/>
      <c r="T188" s="1"/>
      <c r="U188" s="1"/>
      <c r="V188" s="1"/>
      <c r="W188" s="1"/>
      <c r="X188" s="1"/>
    </row>
    <row r="189" spans="1:24" ht="12.75" customHeight="1" x14ac:dyDescent="0.2">
      <c r="A189" s="1"/>
      <c r="B189" s="1"/>
      <c r="C189" s="89"/>
      <c r="D189" s="89"/>
      <c r="E189" s="93"/>
      <c r="F189" s="93"/>
      <c r="G189" s="105"/>
      <c r="H189" s="105"/>
      <c r="I189" s="1"/>
      <c r="J189" s="1"/>
      <c r="K189" s="1"/>
      <c r="L189" s="1"/>
      <c r="M189" s="1"/>
      <c r="N189" s="1"/>
      <c r="O189" s="1"/>
      <c r="P189" s="1"/>
      <c r="Q189" s="1"/>
      <c r="R189" s="1"/>
      <c r="S189" s="1"/>
      <c r="T189" s="1"/>
      <c r="U189" s="1"/>
      <c r="V189" s="1"/>
      <c r="W189" s="1"/>
      <c r="X189" s="1"/>
    </row>
    <row r="190" spans="1:24" ht="12.75" customHeight="1" x14ac:dyDescent="0.2">
      <c r="A190" s="1"/>
      <c r="B190" s="1"/>
      <c r="C190" s="89"/>
      <c r="D190" s="89"/>
      <c r="E190" s="93"/>
      <c r="F190" s="93"/>
      <c r="G190" s="105"/>
      <c r="H190" s="105"/>
      <c r="I190" s="1"/>
      <c r="J190" s="1"/>
      <c r="K190" s="1"/>
      <c r="L190" s="1"/>
      <c r="M190" s="1"/>
      <c r="N190" s="1"/>
      <c r="O190" s="1"/>
      <c r="P190" s="1"/>
      <c r="Q190" s="1"/>
      <c r="R190" s="1"/>
      <c r="S190" s="1"/>
      <c r="T190" s="1"/>
      <c r="U190" s="1"/>
      <c r="V190" s="1"/>
      <c r="W190" s="1"/>
      <c r="X190" s="1"/>
    </row>
    <row r="191" spans="1:24" ht="12.75" customHeight="1" x14ac:dyDescent="0.2">
      <c r="A191" s="1"/>
      <c r="B191" s="1"/>
      <c r="C191" s="89"/>
      <c r="D191" s="89"/>
      <c r="E191" s="93"/>
      <c r="F191" s="93"/>
      <c r="G191" s="105"/>
      <c r="H191" s="105"/>
      <c r="I191" s="1"/>
      <c r="J191" s="1"/>
      <c r="K191" s="1"/>
      <c r="L191" s="1"/>
      <c r="M191" s="1"/>
      <c r="N191" s="1"/>
      <c r="O191" s="1"/>
      <c r="P191" s="1"/>
      <c r="Q191" s="1"/>
      <c r="R191" s="1"/>
      <c r="S191" s="1"/>
      <c r="T191" s="1"/>
      <c r="U191" s="1"/>
      <c r="V191" s="1"/>
      <c r="W191" s="1"/>
      <c r="X191" s="1"/>
    </row>
    <row r="192" spans="1:24" ht="12.75" customHeight="1" x14ac:dyDescent="0.2">
      <c r="A192" s="1"/>
      <c r="B192" s="1"/>
      <c r="C192" s="89"/>
      <c r="D192" s="89"/>
      <c r="E192" s="93"/>
      <c r="F192" s="93"/>
      <c r="G192" s="105"/>
      <c r="H192" s="105"/>
      <c r="I192" s="1"/>
      <c r="J192" s="1"/>
      <c r="K192" s="1"/>
      <c r="L192" s="1"/>
      <c r="M192" s="1"/>
      <c r="N192" s="1"/>
      <c r="O192" s="1"/>
      <c r="P192" s="1"/>
      <c r="Q192" s="1"/>
      <c r="R192" s="1"/>
      <c r="S192" s="1"/>
      <c r="T192" s="1"/>
      <c r="U192" s="1"/>
      <c r="V192" s="1"/>
      <c r="W192" s="1"/>
      <c r="X192" s="1"/>
    </row>
    <row r="193" spans="1:24" ht="12.75" customHeight="1" x14ac:dyDescent="0.2">
      <c r="A193" s="1"/>
      <c r="B193" s="1"/>
      <c r="C193" s="89"/>
      <c r="D193" s="89"/>
      <c r="E193" s="93"/>
      <c r="F193" s="93"/>
      <c r="G193" s="105"/>
      <c r="H193" s="105"/>
      <c r="I193" s="1"/>
      <c r="J193" s="1"/>
      <c r="K193" s="1"/>
      <c r="L193" s="1"/>
      <c r="M193" s="1"/>
      <c r="N193" s="1"/>
      <c r="O193" s="1"/>
      <c r="P193" s="1"/>
      <c r="Q193" s="1"/>
      <c r="R193" s="1"/>
      <c r="S193" s="1"/>
      <c r="T193" s="1"/>
      <c r="U193" s="1"/>
      <c r="V193" s="1"/>
      <c r="W193" s="1"/>
      <c r="X193" s="1"/>
    </row>
    <row r="194" spans="1:24" ht="12.75" customHeight="1" x14ac:dyDescent="0.2">
      <c r="A194" s="1"/>
      <c r="B194" s="1"/>
      <c r="C194" s="89"/>
      <c r="D194" s="89"/>
      <c r="E194" s="93"/>
      <c r="F194" s="93"/>
      <c r="G194" s="105"/>
      <c r="H194" s="105"/>
      <c r="I194" s="1"/>
      <c r="J194" s="1"/>
      <c r="K194" s="1"/>
      <c r="L194" s="1"/>
      <c r="M194" s="1"/>
      <c r="N194" s="1"/>
      <c r="O194" s="1"/>
      <c r="P194" s="1"/>
      <c r="Q194" s="1"/>
      <c r="R194" s="1"/>
      <c r="S194" s="1"/>
      <c r="T194" s="1"/>
      <c r="U194" s="1"/>
      <c r="V194" s="1"/>
      <c r="W194" s="1"/>
      <c r="X194" s="1"/>
    </row>
    <row r="195" spans="1:24" ht="12.75" customHeight="1" x14ac:dyDescent="0.2">
      <c r="A195" s="1"/>
      <c r="B195" s="1"/>
      <c r="C195" s="89"/>
      <c r="D195" s="89"/>
      <c r="E195" s="93"/>
      <c r="F195" s="93"/>
      <c r="G195" s="105"/>
      <c r="H195" s="105"/>
      <c r="I195" s="1"/>
      <c r="J195" s="1"/>
      <c r="K195" s="1"/>
      <c r="L195" s="1"/>
      <c r="M195" s="1"/>
      <c r="N195" s="1"/>
      <c r="O195" s="1"/>
      <c r="P195" s="1"/>
      <c r="Q195" s="1"/>
      <c r="R195" s="1"/>
      <c r="S195" s="1"/>
      <c r="T195" s="1"/>
      <c r="U195" s="1"/>
      <c r="V195" s="1"/>
      <c r="W195" s="1"/>
      <c r="X195" s="1"/>
    </row>
    <row r="196" spans="1:24" ht="12.75" customHeight="1" x14ac:dyDescent="0.2">
      <c r="A196" s="1"/>
      <c r="B196" s="1"/>
      <c r="C196" s="89"/>
      <c r="D196" s="89"/>
      <c r="E196" s="93"/>
      <c r="F196" s="93"/>
      <c r="G196" s="105"/>
      <c r="H196" s="105"/>
      <c r="I196" s="1"/>
      <c r="J196" s="1"/>
      <c r="K196" s="1"/>
      <c r="L196" s="1"/>
      <c r="M196" s="1"/>
      <c r="N196" s="1"/>
      <c r="O196" s="1"/>
      <c r="P196" s="1"/>
      <c r="Q196" s="1"/>
      <c r="R196" s="1"/>
      <c r="S196" s="1"/>
      <c r="T196" s="1"/>
      <c r="U196" s="1"/>
      <c r="V196" s="1"/>
      <c r="W196" s="1"/>
      <c r="X196" s="1"/>
    </row>
    <row r="197" spans="1:24" ht="12.75" customHeight="1" x14ac:dyDescent="0.2">
      <c r="A197" s="1"/>
      <c r="B197" s="1"/>
      <c r="C197" s="89"/>
      <c r="D197" s="89"/>
      <c r="E197" s="93"/>
      <c r="F197" s="93"/>
      <c r="G197" s="105"/>
      <c r="H197" s="105"/>
      <c r="I197" s="1"/>
      <c r="J197" s="1"/>
      <c r="K197" s="1"/>
      <c r="L197" s="1"/>
      <c r="M197" s="1"/>
      <c r="N197" s="1"/>
      <c r="O197" s="1"/>
      <c r="P197" s="1"/>
      <c r="Q197" s="1"/>
      <c r="R197" s="1"/>
      <c r="S197" s="1"/>
      <c r="T197" s="1"/>
      <c r="U197" s="1"/>
      <c r="V197" s="1"/>
      <c r="W197" s="1"/>
      <c r="X197" s="1"/>
    </row>
    <row r="198" spans="1:24" ht="12.75" customHeight="1" x14ac:dyDescent="0.2">
      <c r="A198" s="1"/>
      <c r="B198" s="1"/>
      <c r="C198" s="89"/>
      <c r="D198" s="89"/>
      <c r="E198" s="93"/>
      <c r="F198" s="93"/>
      <c r="G198" s="105"/>
      <c r="H198" s="105"/>
      <c r="I198" s="1"/>
      <c r="J198" s="1"/>
      <c r="K198" s="1"/>
      <c r="L198" s="1"/>
      <c r="M198" s="1"/>
      <c r="N198" s="1"/>
      <c r="O198" s="1"/>
      <c r="P198" s="1"/>
      <c r="Q198" s="1"/>
      <c r="R198" s="1"/>
      <c r="S198" s="1"/>
      <c r="T198" s="1"/>
      <c r="U198" s="1"/>
      <c r="V198" s="1"/>
      <c r="W198" s="1"/>
      <c r="X198" s="1"/>
    </row>
    <row r="199" spans="1:24" ht="12.75" customHeight="1" x14ac:dyDescent="0.2">
      <c r="A199" s="1"/>
      <c r="B199" s="1"/>
      <c r="C199" s="89"/>
      <c r="D199" s="89"/>
      <c r="E199" s="93"/>
      <c r="F199" s="93"/>
      <c r="G199" s="105"/>
      <c r="H199" s="105"/>
      <c r="I199" s="1"/>
      <c r="J199" s="1"/>
      <c r="K199" s="1"/>
      <c r="L199" s="1"/>
      <c r="M199" s="1"/>
      <c r="N199" s="1"/>
      <c r="O199" s="1"/>
      <c r="P199" s="1"/>
      <c r="Q199" s="1"/>
      <c r="R199" s="1"/>
      <c r="S199" s="1"/>
      <c r="T199" s="1"/>
      <c r="U199" s="1"/>
      <c r="V199" s="1"/>
      <c r="W199" s="1"/>
      <c r="X199" s="1"/>
    </row>
    <row r="200" spans="1:24" ht="12.75" customHeight="1" x14ac:dyDescent="0.2">
      <c r="A200" s="1"/>
      <c r="B200" s="1"/>
      <c r="C200" s="89"/>
      <c r="D200" s="89"/>
      <c r="E200" s="93"/>
      <c r="F200" s="93"/>
      <c r="G200" s="105"/>
      <c r="H200" s="105"/>
      <c r="I200" s="1"/>
      <c r="J200" s="1"/>
      <c r="K200" s="1"/>
      <c r="L200" s="1"/>
      <c r="M200" s="1"/>
      <c r="N200" s="1"/>
      <c r="O200" s="1"/>
      <c r="P200" s="1"/>
      <c r="Q200" s="1"/>
      <c r="R200" s="1"/>
      <c r="S200" s="1"/>
      <c r="T200" s="1"/>
      <c r="U200" s="1"/>
      <c r="V200" s="1"/>
      <c r="W200" s="1"/>
      <c r="X200" s="1"/>
    </row>
    <row r="201" spans="1:24" ht="12.75" customHeight="1" x14ac:dyDescent="0.2">
      <c r="A201" s="1"/>
      <c r="B201" s="1"/>
      <c r="C201" s="89"/>
      <c r="D201" s="89"/>
      <c r="E201" s="93"/>
      <c r="F201" s="93"/>
      <c r="G201" s="105"/>
      <c r="H201" s="105"/>
      <c r="I201" s="1"/>
      <c r="J201" s="1"/>
      <c r="K201" s="1"/>
      <c r="L201" s="1"/>
      <c r="M201" s="1"/>
      <c r="N201" s="1"/>
      <c r="O201" s="1"/>
      <c r="P201" s="1"/>
      <c r="Q201" s="1"/>
      <c r="R201" s="1"/>
      <c r="S201" s="1"/>
      <c r="T201" s="1"/>
      <c r="U201" s="1"/>
      <c r="V201" s="1"/>
      <c r="W201" s="1"/>
      <c r="X201" s="1"/>
    </row>
    <row r="202" spans="1:24" ht="12.75" customHeight="1" x14ac:dyDescent="0.2">
      <c r="A202" s="1"/>
      <c r="B202" s="1"/>
      <c r="C202" s="89"/>
      <c r="D202" s="89"/>
      <c r="E202" s="93"/>
      <c r="F202" s="93"/>
      <c r="G202" s="105"/>
      <c r="H202" s="105"/>
      <c r="I202" s="1"/>
      <c r="J202" s="1"/>
      <c r="K202" s="1"/>
      <c r="L202" s="1"/>
      <c r="M202" s="1"/>
      <c r="N202" s="1"/>
      <c r="O202" s="1"/>
      <c r="P202" s="1"/>
      <c r="Q202" s="1"/>
      <c r="R202" s="1"/>
      <c r="S202" s="1"/>
      <c r="T202" s="1"/>
      <c r="U202" s="1"/>
      <c r="V202" s="1"/>
      <c r="W202" s="1"/>
      <c r="X202" s="1"/>
    </row>
    <row r="203" spans="1:24" ht="12.75" customHeight="1" x14ac:dyDescent="0.2">
      <c r="A203" s="1"/>
      <c r="B203" s="1"/>
      <c r="C203" s="89"/>
      <c r="D203" s="89"/>
      <c r="E203" s="93"/>
      <c r="F203" s="93"/>
      <c r="G203" s="105"/>
      <c r="H203" s="105"/>
      <c r="I203" s="1"/>
      <c r="J203" s="1"/>
      <c r="K203" s="1"/>
      <c r="L203" s="1"/>
      <c r="M203" s="1"/>
      <c r="N203" s="1"/>
      <c r="O203" s="1"/>
      <c r="P203" s="1"/>
      <c r="Q203" s="1"/>
      <c r="R203" s="1"/>
      <c r="S203" s="1"/>
      <c r="T203" s="1"/>
      <c r="U203" s="1"/>
      <c r="V203" s="1"/>
      <c r="W203" s="1"/>
      <c r="X203" s="1"/>
    </row>
    <row r="204" spans="1:24" ht="12.75" customHeight="1" x14ac:dyDescent="0.2">
      <c r="A204" s="1"/>
      <c r="B204" s="1"/>
      <c r="C204" s="89"/>
      <c r="D204" s="89"/>
      <c r="E204" s="93"/>
      <c r="F204" s="93"/>
      <c r="G204" s="105"/>
      <c r="H204" s="105"/>
      <c r="I204" s="1"/>
      <c r="J204" s="1"/>
      <c r="K204" s="1"/>
      <c r="L204" s="1"/>
      <c r="M204" s="1"/>
      <c r="N204" s="1"/>
      <c r="O204" s="1"/>
      <c r="P204" s="1"/>
      <c r="Q204" s="1"/>
      <c r="R204" s="1"/>
      <c r="S204" s="1"/>
      <c r="T204" s="1"/>
      <c r="U204" s="1"/>
      <c r="V204" s="1"/>
      <c r="W204" s="1"/>
      <c r="X204" s="1"/>
    </row>
    <row r="205" spans="1:24" ht="12.75" customHeight="1" x14ac:dyDescent="0.2">
      <c r="A205" s="1"/>
      <c r="B205" s="1"/>
      <c r="C205" s="89"/>
      <c r="D205" s="89"/>
      <c r="E205" s="93"/>
      <c r="F205" s="93"/>
      <c r="G205" s="105"/>
      <c r="H205" s="105"/>
      <c r="I205" s="1"/>
      <c r="J205" s="1"/>
      <c r="K205" s="1"/>
      <c r="L205" s="1"/>
      <c r="M205" s="1"/>
      <c r="N205" s="1"/>
      <c r="O205" s="1"/>
      <c r="P205" s="1"/>
      <c r="Q205" s="1"/>
      <c r="R205" s="1"/>
      <c r="S205" s="1"/>
      <c r="T205" s="1"/>
      <c r="U205" s="1"/>
      <c r="V205" s="1"/>
      <c r="W205" s="1"/>
      <c r="X205" s="1"/>
    </row>
    <row r="206" spans="1:24" ht="12.75" customHeight="1" x14ac:dyDescent="0.2">
      <c r="A206" s="1"/>
      <c r="B206" s="1"/>
      <c r="C206" s="89"/>
      <c r="D206" s="89"/>
      <c r="E206" s="93"/>
      <c r="F206" s="93"/>
      <c r="G206" s="105"/>
      <c r="H206" s="105"/>
      <c r="I206" s="1"/>
      <c r="J206" s="1"/>
      <c r="K206" s="1"/>
      <c r="L206" s="1"/>
      <c r="M206" s="1"/>
      <c r="N206" s="1"/>
      <c r="O206" s="1"/>
      <c r="P206" s="1"/>
      <c r="Q206" s="1"/>
      <c r="R206" s="1"/>
      <c r="S206" s="1"/>
      <c r="T206" s="1"/>
      <c r="U206" s="1"/>
      <c r="V206" s="1"/>
      <c r="W206" s="1"/>
      <c r="X206" s="1"/>
    </row>
    <row r="207" spans="1:24" ht="12.75" customHeight="1" x14ac:dyDescent="0.2">
      <c r="A207" s="1"/>
      <c r="B207" s="1"/>
      <c r="C207" s="89"/>
      <c r="D207" s="89"/>
      <c r="E207" s="93"/>
      <c r="F207" s="93"/>
      <c r="G207" s="105"/>
      <c r="H207" s="105"/>
      <c r="I207" s="1"/>
      <c r="J207" s="1"/>
      <c r="K207" s="1"/>
      <c r="L207" s="1"/>
      <c r="M207" s="1"/>
      <c r="N207" s="1"/>
      <c r="O207" s="1"/>
      <c r="P207" s="1"/>
      <c r="Q207" s="1"/>
      <c r="R207" s="1"/>
      <c r="S207" s="1"/>
      <c r="T207" s="1"/>
      <c r="U207" s="1"/>
      <c r="V207" s="1"/>
      <c r="W207" s="1"/>
      <c r="X207" s="1"/>
    </row>
    <row r="208" spans="1:24" ht="12.75" customHeight="1" x14ac:dyDescent="0.2">
      <c r="A208" s="1"/>
      <c r="B208" s="1"/>
      <c r="C208" s="89"/>
      <c r="D208" s="89"/>
      <c r="E208" s="93"/>
      <c r="F208" s="93"/>
      <c r="G208" s="105"/>
      <c r="H208" s="105"/>
      <c r="I208" s="1"/>
      <c r="J208" s="1"/>
      <c r="K208" s="1"/>
      <c r="L208" s="1"/>
      <c r="M208" s="1"/>
      <c r="N208" s="1"/>
      <c r="O208" s="1"/>
      <c r="P208" s="1"/>
      <c r="Q208" s="1"/>
      <c r="R208" s="1"/>
      <c r="S208" s="1"/>
      <c r="T208" s="1"/>
      <c r="U208" s="1"/>
      <c r="V208" s="1"/>
      <c r="W208" s="1"/>
      <c r="X208" s="1"/>
    </row>
    <row r="209" spans="1:24" ht="12.75" customHeight="1" x14ac:dyDescent="0.2">
      <c r="A209" s="1"/>
      <c r="B209" s="1"/>
      <c r="C209" s="89"/>
      <c r="D209" s="89"/>
      <c r="E209" s="93"/>
      <c r="F209" s="93"/>
      <c r="G209" s="105"/>
      <c r="H209" s="105"/>
      <c r="I209" s="1"/>
      <c r="J209" s="1"/>
      <c r="K209" s="1"/>
      <c r="L209" s="1"/>
      <c r="M209" s="1"/>
      <c r="N209" s="1"/>
      <c r="O209" s="1"/>
      <c r="P209" s="1"/>
      <c r="Q209" s="1"/>
      <c r="R209" s="1"/>
      <c r="S209" s="1"/>
      <c r="T209" s="1"/>
      <c r="U209" s="1"/>
      <c r="V209" s="1"/>
      <c r="W209" s="1"/>
      <c r="X209" s="1"/>
    </row>
    <row r="210" spans="1:24" ht="12.75" customHeight="1" x14ac:dyDescent="0.2">
      <c r="A210" s="1"/>
      <c r="B210" s="1"/>
      <c r="C210" s="89"/>
      <c r="D210" s="89"/>
      <c r="E210" s="93"/>
      <c r="F210" s="93"/>
      <c r="G210" s="105"/>
      <c r="H210" s="105"/>
      <c r="I210" s="1"/>
      <c r="J210" s="1"/>
      <c r="K210" s="1"/>
      <c r="L210" s="1"/>
      <c r="M210" s="1"/>
      <c r="N210" s="1"/>
      <c r="O210" s="1"/>
      <c r="P210" s="1"/>
      <c r="Q210" s="1"/>
      <c r="R210" s="1"/>
      <c r="S210" s="1"/>
      <c r="T210" s="1"/>
      <c r="U210" s="1"/>
      <c r="V210" s="1"/>
      <c r="W210" s="1"/>
      <c r="X210" s="1"/>
    </row>
    <row r="211" spans="1:24" ht="12.75" customHeight="1" x14ac:dyDescent="0.2">
      <c r="A211" s="1"/>
      <c r="B211" s="1"/>
      <c r="C211" s="89"/>
      <c r="D211" s="89"/>
      <c r="E211" s="93"/>
      <c r="F211" s="93"/>
      <c r="G211" s="105"/>
      <c r="H211" s="105"/>
      <c r="I211" s="1"/>
      <c r="J211" s="1"/>
      <c r="K211" s="1"/>
      <c r="L211" s="1"/>
      <c r="M211" s="1"/>
      <c r="N211" s="1"/>
      <c r="O211" s="1"/>
      <c r="P211" s="1"/>
      <c r="Q211" s="1"/>
      <c r="R211" s="1"/>
      <c r="S211" s="1"/>
      <c r="T211" s="1"/>
      <c r="U211" s="1"/>
      <c r="V211" s="1"/>
      <c r="W211" s="1"/>
      <c r="X211" s="1"/>
    </row>
    <row r="212" spans="1:24" ht="12.75" customHeight="1" x14ac:dyDescent="0.2">
      <c r="A212" s="1"/>
      <c r="B212" s="1"/>
      <c r="C212" s="89"/>
      <c r="D212" s="89"/>
      <c r="E212" s="93"/>
      <c r="F212" s="93"/>
      <c r="G212" s="105"/>
      <c r="H212" s="105"/>
      <c r="I212" s="1"/>
      <c r="J212" s="1"/>
      <c r="K212" s="1"/>
      <c r="L212" s="1"/>
      <c r="M212" s="1"/>
      <c r="N212" s="1"/>
      <c r="O212" s="1"/>
      <c r="P212" s="1"/>
      <c r="Q212" s="1"/>
      <c r="R212" s="1"/>
      <c r="S212" s="1"/>
      <c r="T212" s="1"/>
      <c r="U212" s="1"/>
      <c r="V212" s="1"/>
      <c r="W212" s="1"/>
      <c r="X212" s="1"/>
    </row>
    <row r="213" spans="1:24" ht="12.75" customHeight="1" x14ac:dyDescent="0.2">
      <c r="A213" s="1"/>
      <c r="B213" s="1"/>
      <c r="C213" s="89"/>
      <c r="D213" s="89"/>
      <c r="E213" s="93"/>
      <c r="F213" s="93"/>
      <c r="G213" s="105"/>
      <c r="H213" s="105"/>
      <c r="I213" s="1"/>
      <c r="J213" s="1"/>
      <c r="K213" s="1"/>
      <c r="L213" s="1"/>
      <c r="M213" s="1"/>
      <c r="N213" s="1"/>
      <c r="O213" s="1"/>
      <c r="P213" s="1"/>
      <c r="Q213" s="1"/>
      <c r="R213" s="1"/>
      <c r="S213" s="1"/>
      <c r="T213" s="1"/>
      <c r="U213" s="1"/>
      <c r="V213" s="1"/>
      <c r="W213" s="1"/>
      <c r="X213" s="1"/>
    </row>
    <row r="214" spans="1:24" ht="12.75" customHeight="1" x14ac:dyDescent="0.2">
      <c r="A214" s="1"/>
      <c r="B214" s="1"/>
      <c r="C214" s="89"/>
      <c r="D214" s="89"/>
      <c r="E214" s="93"/>
      <c r="F214" s="93"/>
      <c r="G214" s="105"/>
      <c r="H214" s="105"/>
      <c r="I214" s="1"/>
      <c r="J214" s="1"/>
      <c r="K214" s="1"/>
      <c r="L214" s="1"/>
      <c r="M214" s="1"/>
      <c r="N214" s="1"/>
      <c r="O214" s="1"/>
      <c r="P214" s="1"/>
      <c r="Q214" s="1"/>
      <c r="R214" s="1"/>
      <c r="S214" s="1"/>
      <c r="T214" s="1"/>
      <c r="U214" s="1"/>
      <c r="V214" s="1"/>
      <c r="W214" s="1"/>
      <c r="X214" s="1"/>
    </row>
    <row r="215" spans="1:24" ht="12.75" customHeight="1" x14ac:dyDescent="0.2">
      <c r="A215" s="1"/>
      <c r="B215" s="1"/>
      <c r="C215" s="89"/>
      <c r="D215" s="89"/>
      <c r="E215" s="93"/>
      <c r="F215" s="93"/>
      <c r="G215" s="105"/>
      <c r="H215" s="105"/>
      <c r="I215" s="1"/>
      <c r="J215" s="1"/>
      <c r="K215" s="1"/>
      <c r="L215" s="1"/>
      <c r="M215" s="1"/>
      <c r="N215" s="1"/>
      <c r="O215" s="1"/>
      <c r="P215" s="1"/>
      <c r="Q215" s="1"/>
      <c r="R215" s="1"/>
      <c r="S215" s="1"/>
      <c r="T215" s="1"/>
      <c r="U215" s="1"/>
      <c r="V215" s="1"/>
      <c r="W215" s="1"/>
      <c r="X215" s="1"/>
    </row>
    <row r="216" spans="1:24" ht="12.75" customHeight="1" x14ac:dyDescent="0.2">
      <c r="A216" s="1"/>
      <c r="B216" s="1"/>
      <c r="C216" s="89"/>
      <c r="D216" s="89"/>
      <c r="E216" s="93"/>
      <c r="F216" s="93"/>
      <c r="G216" s="105"/>
      <c r="H216" s="105"/>
      <c r="I216" s="1"/>
      <c r="J216" s="1"/>
      <c r="K216" s="1"/>
      <c r="L216" s="1"/>
      <c r="M216" s="1"/>
      <c r="N216" s="1"/>
      <c r="O216" s="1"/>
      <c r="P216" s="1"/>
      <c r="Q216" s="1"/>
      <c r="R216" s="1"/>
      <c r="S216" s="1"/>
      <c r="T216" s="1"/>
      <c r="U216" s="1"/>
      <c r="V216" s="1"/>
      <c r="W216" s="1"/>
      <c r="X216" s="1"/>
    </row>
    <row r="217" spans="1:24" ht="12.75" customHeight="1" x14ac:dyDescent="0.2">
      <c r="A217" s="1"/>
      <c r="B217" s="1"/>
      <c r="C217" s="89"/>
      <c r="D217" s="89"/>
      <c r="E217" s="93"/>
      <c r="F217" s="93"/>
      <c r="G217" s="105"/>
      <c r="H217" s="105"/>
      <c r="I217" s="1"/>
      <c r="J217" s="1"/>
      <c r="K217" s="1"/>
      <c r="L217" s="1"/>
      <c r="M217" s="1"/>
      <c r="N217" s="1"/>
      <c r="O217" s="1"/>
      <c r="P217" s="1"/>
      <c r="Q217" s="1"/>
      <c r="R217" s="1"/>
      <c r="S217" s="1"/>
      <c r="T217" s="1"/>
      <c r="U217" s="1"/>
      <c r="V217" s="1"/>
      <c r="W217" s="1"/>
      <c r="X217" s="1"/>
    </row>
    <row r="218" spans="1:24" ht="12.75" customHeight="1" x14ac:dyDescent="0.2">
      <c r="A218" s="1"/>
      <c r="B218" s="1"/>
      <c r="C218" s="89"/>
      <c r="D218" s="89"/>
      <c r="E218" s="93"/>
      <c r="F218" s="93"/>
      <c r="G218" s="105"/>
      <c r="H218" s="105"/>
      <c r="I218" s="1"/>
      <c r="J218" s="1"/>
      <c r="K218" s="1"/>
      <c r="L218" s="1"/>
      <c r="M218" s="1"/>
      <c r="N218" s="1"/>
      <c r="O218" s="1"/>
      <c r="P218" s="1"/>
      <c r="Q218" s="1"/>
      <c r="R218" s="1"/>
      <c r="S218" s="1"/>
      <c r="T218" s="1"/>
      <c r="U218" s="1"/>
      <c r="V218" s="1"/>
      <c r="W218" s="1"/>
      <c r="X218" s="1"/>
    </row>
    <row r="219" spans="1:24" ht="12.75" customHeight="1" x14ac:dyDescent="0.2">
      <c r="A219" s="1"/>
      <c r="B219" s="1"/>
      <c r="C219" s="89"/>
      <c r="D219" s="89"/>
      <c r="E219" s="93"/>
      <c r="F219" s="93"/>
      <c r="G219" s="105"/>
      <c r="H219" s="105"/>
      <c r="I219" s="1"/>
      <c r="J219" s="1"/>
      <c r="K219" s="1"/>
      <c r="L219" s="1"/>
      <c r="M219" s="1"/>
      <c r="N219" s="1"/>
      <c r="O219" s="1"/>
      <c r="P219" s="1"/>
      <c r="Q219" s="1"/>
      <c r="R219" s="1"/>
      <c r="S219" s="1"/>
      <c r="T219" s="1"/>
      <c r="U219" s="1"/>
      <c r="V219" s="1"/>
      <c r="W219" s="1"/>
      <c r="X219" s="1"/>
    </row>
    <row r="220" spans="1:24" ht="12.75" customHeight="1" x14ac:dyDescent="0.2">
      <c r="A220" s="1"/>
      <c r="B220" s="1"/>
      <c r="C220" s="89"/>
      <c r="D220" s="89"/>
      <c r="E220" s="93"/>
      <c r="F220" s="93"/>
      <c r="G220" s="105"/>
      <c r="H220" s="105"/>
      <c r="I220" s="1"/>
      <c r="J220" s="1"/>
      <c r="K220" s="1"/>
      <c r="L220" s="1"/>
      <c r="M220" s="1"/>
      <c r="N220" s="1"/>
      <c r="O220" s="1"/>
      <c r="P220" s="1"/>
      <c r="Q220" s="1"/>
      <c r="R220" s="1"/>
      <c r="S220" s="1"/>
      <c r="T220" s="1"/>
      <c r="U220" s="1"/>
      <c r="V220" s="1"/>
      <c r="W220" s="1"/>
      <c r="X220" s="1"/>
    </row>
    <row r="221" spans="1:24" ht="12.75" customHeight="1" x14ac:dyDescent="0.2">
      <c r="A221" s="1"/>
      <c r="B221" s="1"/>
      <c r="C221" s="89"/>
      <c r="D221" s="89"/>
      <c r="E221" s="93"/>
      <c r="F221" s="93"/>
      <c r="G221" s="105"/>
      <c r="H221" s="105"/>
      <c r="I221" s="1"/>
      <c r="J221" s="1"/>
      <c r="K221" s="1"/>
      <c r="L221" s="1"/>
      <c r="M221" s="1"/>
      <c r="N221" s="1"/>
      <c r="O221" s="1"/>
      <c r="P221" s="1"/>
      <c r="Q221" s="1"/>
      <c r="R221" s="1"/>
      <c r="S221" s="1"/>
      <c r="T221" s="1"/>
      <c r="U221" s="1"/>
      <c r="V221" s="1"/>
      <c r="W221" s="1"/>
      <c r="X221" s="1"/>
    </row>
    <row r="222" spans="1:24" ht="12.75" customHeight="1" x14ac:dyDescent="0.2">
      <c r="A222" s="1"/>
      <c r="B222" s="1"/>
      <c r="C222" s="89"/>
      <c r="D222" s="89"/>
      <c r="E222" s="93"/>
      <c r="F222" s="93"/>
      <c r="G222" s="105"/>
      <c r="H222" s="105"/>
      <c r="I222" s="1"/>
      <c r="J222" s="1"/>
      <c r="K222" s="1"/>
      <c r="L222" s="1"/>
      <c r="M222" s="1"/>
      <c r="N222" s="1"/>
      <c r="O222" s="1"/>
      <c r="P222" s="1"/>
      <c r="Q222" s="1"/>
      <c r="R222" s="1"/>
      <c r="S222" s="1"/>
      <c r="T222" s="1"/>
      <c r="U222" s="1"/>
      <c r="V222" s="1"/>
      <c r="W222" s="1"/>
      <c r="X222" s="1"/>
    </row>
    <row r="223" spans="1:24" ht="12.75" customHeight="1" x14ac:dyDescent="0.2">
      <c r="A223" s="1"/>
      <c r="B223" s="1"/>
      <c r="C223" s="89"/>
      <c r="D223" s="89"/>
      <c r="E223" s="93"/>
      <c r="F223" s="93"/>
      <c r="G223" s="105"/>
      <c r="H223" s="105"/>
      <c r="I223" s="1"/>
      <c r="J223" s="1"/>
      <c r="K223" s="1"/>
      <c r="L223" s="1"/>
      <c r="M223" s="1"/>
      <c r="N223" s="1"/>
      <c r="O223" s="1"/>
      <c r="P223" s="1"/>
      <c r="Q223" s="1"/>
      <c r="R223" s="1"/>
      <c r="S223" s="1"/>
      <c r="T223" s="1"/>
      <c r="U223" s="1"/>
      <c r="V223" s="1"/>
      <c r="W223" s="1"/>
      <c r="X223" s="1"/>
    </row>
    <row r="224" spans="1:24" ht="12.75" customHeight="1" x14ac:dyDescent="0.2">
      <c r="A224" s="1"/>
      <c r="B224" s="1"/>
      <c r="C224" s="89"/>
      <c r="D224" s="89"/>
      <c r="E224" s="93"/>
      <c r="F224" s="93"/>
      <c r="G224" s="105"/>
      <c r="H224" s="105"/>
      <c r="I224" s="1"/>
      <c r="J224" s="1"/>
      <c r="K224" s="1"/>
      <c r="L224" s="1"/>
      <c r="M224" s="1"/>
      <c r="N224" s="1"/>
      <c r="O224" s="1"/>
      <c r="P224" s="1"/>
      <c r="Q224" s="1"/>
      <c r="R224" s="1"/>
      <c r="S224" s="1"/>
      <c r="T224" s="1"/>
      <c r="U224" s="1"/>
      <c r="V224" s="1"/>
      <c r="W224" s="1"/>
      <c r="X224" s="1"/>
    </row>
    <row r="225" spans="1:24" ht="12.75" customHeight="1" x14ac:dyDescent="0.2">
      <c r="A225" s="1"/>
      <c r="B225" s="1"/>
      <c r="C225" s="89"/>
      <c r="D225" s="89"/>
      <c r="E225" s="93"/>
      <c r="F225" s="93"/>
      <c r="G225" s="105"/>
      <c r="H225" s="105"/>
      <c r="I225" s="1"/>
      <c r="J225" s="1"/>
      <c r="K225" s="1"/>
      <c r="L225" s="1"/>
      <c r="M225" s="1"/>
      <c r="N225" s="1"/>
      <c r="O225" s="1"/>
      <c r="P225" s="1"/>
      <c r="Q225" s="1"/>
      <c r="R225" s="1"/>
      <c r="S225" s="1"/>
      <c r="T225" s="1"/>
      <c r="U225" s="1"/>
      <c r="V225" s="1"/>
      <c r="W225" s="1"/>
      <c r="X225" s="1"/>
    </row>
    <row r="226" spans="1:24" ht="12.75" customHeight="1" x14ac:dyDescent="0.2">
      <c r="A226" s="1"/>
      <c r="B226" s="1"/>
      <c r="C226" s="89"/>
      <c r="D226" s="89"/>
      <c r="E226" s="93"/>
      <c r="F226" s="93"/>
      <c r="G226" s="105"/>
      <c r="H226" s="105"/>
      <c r="I226" s="1"/>
      <c r="J226" s="1"/>
      <c r="K226" s="1"/>
      <c r="L226" s="1"/>
      <c r="M226" s="1"/>
      <c r="N226" s="1"/>
      <c r="O226" s="1"/>
      <c r="P226" s="1"/>
      <c r="Q226" s="1"/>
      <c r="R226" s="1"/>
      <c r="S226" s="1"/>
      <c r="T226" s="1"/>
      <c r="U226" s="1"/>
      <c r="V226" s="1"/>
      <c r="W226" s="1"/>
      <c r="X226" s="1"/>
    </row>
    <row r="227" spans="1:24" ht="12.75" customHeight="1" x14ac:dyDescent="0.2">
      <c r="A227" s="1"/>
      <c r="B227" s="1"/>
      <c r="C227" s="89"/>
      <c r="D227" s="89"/>
      <c r="E227" s="93"/>
      <c r="F227" s="93"/>
      <c r="G227" s="105"/>
      <c r="H227" s="105"/>
      <c r="I227" s="1"/>
      <c r="J227" s="1"/>
      <c r="K227" s="1"/>
      <c r="L227" s="1"/>
      <c r="M227" s="1"/>
      <c r="N227" s="1"/>
      <c r="O227" s="1"/>
      <c r="P227" s="1"/>
      <c r="Q227" s="1"/>
      <c r="R227" s="1"/>
      <c r="S227" s="1"/>
      <c r="T227" s="1"/>
      <c r="U227" s="1"/>
      <c r="V227" s="1"/>
      <c r="W227" s="1"/>
      <c r="X227" s="1"/>
    </row>
    <row r="228" spans="1:24" ht="12.75" customHeight="1" x14ac:dyDescent="0.2">
      <c r="A228" s="1"/>
      <c r="B228" s="1"/>
      <c r="C228" s="89"/>
      <c r="D228" s="89"/>
      <c r="E228" s="93"/>
      <c r="F228" s="93"/>
      <c r="G228" s="105"/>
      <c r="H228" s="105"/>
      <c r="I228" s="1"/>
      <c r="J228" s="1"/>
      <c r="K228" s="1"/>
      <c r="L228" s="1"/>
      <c r="M228" s="1"/>
      <c r="N228" s="1"/>
      <c r="O228" s="1"/>
      <c r="P228" s="1"/>
      <c r="Q228" s="1"/>
      <c r="R228" s="1"/>
      <c r="S228" s="1"/>
      <c r="T228" s="1"/>
      <c r="U228" s="1"/>
      <c r="V228" s="1"/>
      <c r="W228" s="1"/>
      <c r="X228" s="1"/>
    </row>
    <row r="229" spans="1:24" ht="12.75" customHeight="1" x14ac:dyDescent="0.2">
      <c r="A229" s="1"/>
      <c r="B229" s="1"/>
      <c r="C229" s="89"/>
      <c r="D229" s="89"/>
      <c r="E229" s="93"/>
      <c r="F229" s="93"/>
      <c r="G229" s="105"/>
      <c r="H229" s="105"/>
      <c r="I229" s="1"/>
      <c r="J229" s="1"/>
      <c r="K229" s="1"/>
      <c r="L229" s="1"/>
      <c r="M229" s="1"/>
      <c r="N229" s="1"/>
      <c r="O229" s="1"/>
      <c r="P229" s="1"/>
      <c r="Q229" s="1"/>
      <c r="R229" s="1"/>
      <c r="S229" s="1"/>
      <c r="T229" s="1"/>
      <c r="U229" s="1"/>
      <c r="V229" s="1"/>
      <c r="W229" s="1"/>
      <c r="X229" s="1"/>
    </row>
    <row r="230" spans="1:24" ht="12.75" customHeight="1" x14ac:dyDescent="0.2">
      <c r="A230" s="1"/>
      <c r="B230" s="1"/>
      <c r="C230" s="89"/>
      <c r="D230" s="89"/>
      <c r="E230" s="93"/>
      <c r="F230" s="93"/>
      <c r="G230" s="105"/>
      <c r="H230" s="105"/>
      <c r="I230" s="1"/>
      <c r="J230" s="1"/>
      <c r="K230" s="1"/>
      <c r="L230" s="1"/>
      <c r="M230" s="1"/>
      <c r="N230" s="1"/>
      <c r="O230" s="1"/>
      <c r="P230" s="1"/>
      <c r="Q230" s="1"/>
      <c r="R230" s="1"/>
      <c r="S230" s="1"/>
      <c r="T230" s="1"/>
      <c r="U230" s="1"/>
      <c r="V230" s="1"/>
      <c r="W230" s="1"/>
      <c r="X230" s="1"/>
    </row>
    <row r="231" spans="1:24" ht="12.75" customHeight="1" x14ac:dyDescent="0.2">
      <c r="A231" s="1"/>
      <c r="B231" s="1"/>
      <c r="C231" s="89"/>
      <c r="D231" s="89"/>
      <c r="E231" s="93"/>
      <c r="F231" s="93"/>
      <c r="G231" s="105"/>
      <c r="H231" s="105"/>
      <c r="I231" s="1"/>
      <c r="J231" s="1"/>
      <c r="K231" s="1"/>
      <c r="L231" s="1"/>
      <c r="M231" s="1"/>
      <c r="N231" s="1"/>
      <c r="O231" s="1"/>
      <c r="P231" s="1"/>
      <c r="Q231" s="1"/>
      <c r="R231" s="1"/>
      <c r="S231" s="1"/>
      <c r="T231" s="1"/>
      <c r="U231" s="1"/>
      <c r="V231" s="1"/>
      <c r="W231" s="1"/>
      <c r="X231" s="1"/>
    </row>
    <row r="232" spans="1:24" ht="12.75" customHeight="1" x14ac:dyDescent="0.2">
      <c r="A232" s="1"/>
      <c r="B232" s="1"/>
      <c r="C232" s="89"/>
      <c r="D232" s="89"/>
      <c r="E232" s="93"/>
      <c r="F232" s="93"/>
      <c r="G232" s="105"/>
      <c r="H232" s="105"/>
      <c r="I232" s="1"/>
      <c r="J232" s="1"/>
      <c r="K232" s="1"/>
      <c r="L232" s="1"/>
      <c r="M232" s="1"/>
      <c r="N232" s="1"/>
      <c r="O232" s="1"/>
      <c r="P232" s="1"/>
      <c r="Q232" s="1"/>
      <c r="R232" s="1"/>
      <c r="S232" s="1"/>
      <c r="T232" s="1"/>
      <c r="U232" s="1"/>
      <c r="V232" s="1"/>
      <c r="W232" s="1"/>
      <c r="X232" s="1"/>
    </row>
    <row r="233" spans="1:24" ht="12.75" customHeight="1" x14ac:dyDescent="0.2">
      <c r="A233" s="1"/>
      <c r="B233" s="1"/>
      <c r="C233" s="89"/>
      <c r="D233" s="89"/>
      <c r="E233" s="93"/>
      <c r="F233" s="93"/>
      <c r="G233" s="105"/>
      <c r="H233" s="105"/>
      <c r="I233" s="1"/>
      <c r="J233" s="1"/>
      <c r="K233" s="1"/>
      <c r="L233" s="1"/>
      <c r="M233" s="1"/>
      <c r="N233" s="1"/>
      <c r="O233" s="1"/>
      <c r="P233" s="1"/>
      <c r="Q233" s="1"/>
      <c r="R233" s="1"/>
      <c r="S233" s="1"/>
      <c r="T233" s="1"/>
      <c r="U233" s="1"/>
      <c r="V233" s="1"/>
      <c r="W233" s="1"/>
      <c r="X233" s="1"/>
    </row>
    <row r="234" spans="1:24" ht="12.75" customHeight="1" x14ac:dyDescent="0.2">
      <c r="A234" s="1"/>
      <c r="B234" s="1"/>
      <c r="C234" s="89"/>
      <c r="D234" s="89"/>
      <c r="E234" s="93"/>
      <c r="F234" s="93"/>
      <c r="G234" s="105"/>
      <c r="H234" s="105"/>
      <c r="I234" s="1"/>
      <c r="J234" s="1"/>
      <c r="K234" s="1"/>
      <c r="L234" s="1"/>
      <c r="M234" s="1"/>
      <c r="N234" s="1"/>
      <c r="O234" s="1"/>
      <c r="P234" s="1"/>
      <c r="Q234" s="1"/>
      <c r="R234" s="1"/>
      <c r="S234" s="1"/>
      <c r="T234" s="1"/>
      <c r="U234" s="1"/>
      <c r="V234" s="1"/>
      <c r="W234" s="1"/>
      <c r="X234" s="1"/>
    </row>
    <row r="235" spans="1:24" ht="12.75" customHeight="1" x14ac:dyDescent="0.2">
      <c r="A235" s="1"/>
      <c r="B235" s="1"/>
      <c r="C235" s="89"/>
      <c r="D235" s="89"/>
      <c r="E235" s="93"/>
      <c r="F235" s="93"/>
      <c r="G235" s="105"/>
      <c r="H235" s="105"/>
      <c r="I235" s="1"/>
      <c r="J235" s="1"/>
      <c r="K235" s="1"/>
      <c r="L235" s="1"/>
      <c r="M235" s="1"/>
      <c r="N235" s="1"/>
      <c r="O235" s="1"/>
      <c r="P235" s="1"/>
      <c r="Q235" s="1"/>
      <c r="R235" s="1"/>
      <c r="S235" s="1"/>
      <c r="T235" s="1"/>
      <c r="U235" s="1"/>
      <c r="V235" s="1"/>
      <c r="W235" s="1"/>
      <c r="X235" s="1"/>
    </row>
    <row r="236" spans="1:24" ht="12.75" customHeight="1" x14ac:dyDescent="0.2">
      <c r="A236" s="1"/>
      <c r="B236" s="1"/>
      <c r="C236" s="89"/>
      <c r="D236" s="89"/>
      <c r="E236" s="93"/>
      <c r="F236" s="93"/>
      <c r="G236" s="105"/>
      <c r="H236" s="105"/>
      <c r="I236" s="1"/>
      <c r="J236" s="1"/>
      <c r="K236" s="1"/>
      <c r="L236" s="1"/>
      <c r="M236" s="1"/>
      <c r="N236" s="1"/>
      <c r="O236" s="1"/>
      <c r="P236" s="1"/>
      <c r="Q236" s="1"/>
      <c r="R236" s="1"/>
      <c r="S236" s="1"/>
      <c r="T236" s="1"/>
      <c r="U236" s="1"/>
      <c r="V236" s="1"/>
      <c r="W236" s="1"/>
      <c r="X236" s="1"/>
    </row>
    <row r="237" spans="1:24" ht="12.75" customHeight="1" x14ac:dyDescent="0.2">
      <c r="A237" s="1"/>
      <c r="B237" s="1"/>
      <c r="C237" s="89"/>
      <c r="D237" s="89"/>
      <c r="E237" s="93"/>
      <c r="F237" s="93"/>
      <c r="G237" s="105"/>
      <c r="H237" s="105"/>
      <c r="I237" s="1"/>
      <c r="J237" s="1"/>
      <c r="K237" s="1"/>
      <c r="L237" s="1"/>
      <c r="M237" s="1"/>
      <c r="N237" s="1"/>
      <c r="O237" s="1"/>
      <c r="P237" s="1"/>
      <c r="Q237" s="1"/>
      <c r="R237" s="1"/>
      <c r="S237" s="1"/>
      <c r="T237" s="1"/>
      <c r="U237" s="1"/>
      <c r="V237" s="1"/>
      <c r="W237" s="1"/>
      <c r="X237" s="1"/>
    </row>
    <row r="238" spans="1:24" ht="12.75" customHeight="1" x14ac:dyDescent="0.2">
      <c r="A238" s="1"/>
      <c r="B238" s="1"/>
      <c r="C238" s="89"/>
      <c r="D238" s="89"/>
      <c r="E238" s="93"/>
      <c r="F238" s="93"/>
      <c r="G238" s="105"/>
      <c r="H238" s="105"/>
      <c r="I238" s="1"/>
      <c r="J238" s="1"/>
      <c r="K238" s="1"/>
      <c r="L238" s="1"/>
      <c r="M238" s="1"/>
      <c r="N238" s="1"/>
      <c r="O238" s="1"/>
      <c r="P238" s="1"/>
      <c r="Q238" s="1"/>
      <c r="R238" s="1"/>
      <c r="S238" s="1"/>
      <c r="T238" s="1"/>
      <c r="U238" s="1"/>
      <c r="V238" s="1"/>
      <c r="W238" s="1"/>
      <c r="X238" s="1"/>
    </row>
    <row r="239" spans="1:24" ht="12.75" customHeight="1" x14ac:dyDescent="0.2">
      <c r="A239" s="1"/>
      <c r="B239" s="1"/>
      <c r="C239" s="89"/>
      <c r="D239" s="89"/>
      <c r="E239" s="93"/>
      <c r="F239" s="93"/>
      <c r="G239" s="105"/>
      <c r="H239" s="105"/>
      <c r="I239" s="1"/>
      <c r="J239" s="1"/>
      <c r="K239" s="1"/>
      <c r="L239" s="1"/>
      <c r="M239" s="1"/>
      <c r="N239" s="1"/>
      <c r="O239" s="1"/>
      <c r="P239" s="1"/>
      <c r="Q239" s="1"/>
      <c r="R239" s="1"/>
      <c r="S239" s="1"/>
      <c r="T239" s="1"/>
      <c r="U239" s="1"/>
      <c r="V239" s="1"/>
      <c r="W239" s="1"/>
      <c r="X239" s="1"/>
    </row>
    <row r="240" spans="1:24" ht="12.75" customHeight="1" x14ac:dyDescent="0.2">
      <c r="A240" s="1"/>
      <c r="B240" s="1"/>
      <c r="C240" s="89"/>
      <c r="D240" s="89"/>
      <c r="E240" s="93"/>
      <c r="F240" s="93"/>
      <c r="G240" s="105"/>
      <c r="H240" s="105"/>
      <c r="I240" s="1"/>
      <c r="J240" s="1"/>
      <c r="K240" s="1"/>
      <c r="L240" s="1"/>
      <c r="M240" s="1"/>
      <c r="N240" s="1"/>
      <c r="O240" s="1"/>
      <c r="P240" s="1"/>
      <c r="Q240" s="1"/>
      <c r="R240" s="1"/>
      <c r="S240" s="1"/>
      <c r="T240" s="1"/>
      <c r="U240" s="1"/>
      <c r="V240" s="1"/>
      <c r="W240" s="1"/>
      <c r="X240" s="1"/>
    </row>
    <row r="241" spans="1:24" ht="12.75" customHeight="1" x14ac:dyDescent="0.2">
      <c r="A241" s="1"/>
      <c r="B241" s="1"/>
      <c r="C241" s="89"/>
      <c r="D241" s="89"/>
      <c r="E241" s="93"/>
      <c r="F241" s="93"/>
      <c r="G241" s="105"/>
      <c r="H241" s="105"/>
      <c r="I241" s="1"/>
      <c r="J241" s="1"/>
      <c r="K241" s="1"/>
      <c r="L241" s="1"/>
      <c r="M241" s="1"/>
      <c r="N241" s="1"/>
      <c r="O241" s="1"/>
      <c r="P241" s="1"/>
      <c r="Q241" s="1"/>
      <c r="R241" s="1"/>
      <c r="S241" s="1"/>
      <c r="T241" s="1"/>
      <c r="U241" s="1"/>
      <c r="V241" s="1"/>
      <c r="W241" s="1"/>
      <c r="X241" s="1"/>
    </row>
    <row r="242" spans="1:24" ht="12.75" customHeight="1" x14ac:dyDescent="0.2">
      <c r="A242" s="1"/>
      <c r="B242" s="1"/>
      <c r="C242" s="89"/>
      <c r="D242" s="89"/>
      <c r="E242" s="93"/>
      <c r="F242" s="93"/>
      <c r="G242" s="105"/>
      <c r="H242" s="105"/>
      <c r="I242" s="1"/>
      <c r="J242" s="1"/>
      <c r="K242" s="1"/>
      <c r="L242" s="1"/>
      <c r="M242" s="1"/>
      <c r="N242" s="1"/>
      <c r="O242" s="1"/>
      <c r="P242" s="1"/>
      <c r="Q242" s="1"/>
      <c r="R242" s="1"/>
      <c r="S242" s="1"/>
      <c r="T242" s="1"/>
      <c r="U242" s="1"/>
      <c r="V242" s="1"/>
      <c r="W242" s="1"/>
      <c r="X242" s="1"/>
    </row>
    <row r="243" spans="1:24" ht="12.75" customHeight="1" x14ac:dyDescent="0.2">
      <c r="A243" s="1"/>
      <c r="B243" s="1"/>
      <c r="C243" s="89"/>
      <c r="D243" s="89"/>
      <c r="E243" s="93"/>
      <c r="F243" s="93"/>
      <c r="G243" s="105"/>
      <c r="H243" s="105"/>
      <c r="I243" s="1"/>
      <c r="J243" s="1"/>
      <c r="K243" s="1"/>
      <c r="L243" s="1"/>
      <c r="M243" s="1"/>
      <c r="N243" s="1"/>
      <c r="O243" s="1"/>
      <c r="P243" s="1"/>
      <c r="Q243" s="1"/>
      <c r="R243" s="1"/>
      <c r="S243" s="1"/>
      <c r="T243" s="1"/>
      <c r="U243" s="1"/>
      <c r="V243" s="1"/>
      <c r="W243" s="1"/>
      <c r="X243" s="1"/>
    </row>
    <row r="244" spans="1:24" ht="12.75" customHeight="1" x14ac:dyDescent="0.2">
      <c r="A244" s="1"/>
      <c r="B244" s="1"/>
      <c r="C244" s="89"/>
      <c r="D244" s="89"/>
      <c r="E244" s="93"/>
      <c r="F244" s="93"/>
      <c r="G244" s="105"/>
      <c r="H244" s="105"/>
      <c r="I244" s="1"/>
      <c r="J244" s="1"/>
      <c r="K244" s="1"/>
      <c r="L244" s="1"/>
      <c r="M244" s="1"/>
      <c r="N244" s="1"/>
      <c r="O244" s="1"/>
      <c r="P244" s="1"/>
      <c r="Q244" s="1"/>
      <c r="R244" s="1"/>
      <c r="S244" s="1"/>
      <c r="T244" s="1"/>
      <c r="U244" s="1"/>
      <c r="V244" s="1"/>
      <c r="W244" s="1"/>
      <c r="X244" s="1"/>
    </row>
    <row r="245" spans="1:24" ht="12.75" customHeight="1" x14ac:dyDescent="0.2">
      <c r="A245" s="1"/>
      <c r="B245" s="1"/>
      <c r="C245" s="89"/>
      <c r="D245" s="89"/>
      <c r="E245" s="93"/>
      <c r="F245" s="93"/>
      <c r="G245" s="105"/>
      <c r="H245" s="105"/>
      <c r="I245" s="1"/>
      <c r="J245" s="1"/>
      <c r="K245" s="1"/>
      <c r="L245" s="1"/>
      <c r="M245" s="1"/>
      <c r="N245" s="1"/>
      <c r="O245" s="1"/>
      <c r="P245" s="1"/>
      <c r="Q245" s="1"/>
      <c r="R245" s="1"/>
      <c r="S245" s="1"/>
      <c r="T245" s="1"/>
      <c r="U245" s="1"/>
      <c r="V245" s="1"/>
      <c r="W245" s="1"/>
      <c r="X245" s="1"/>
    </row>
    <row r="246" spans="1:24" ht="12.75" customHeight="1" x14ac:dyDescent="0.2">
      <c r="A246" s="1"/>
      <c r="B246" s="1"/>
      <c r="C246" s="89"/>
      <c r="D246" s="89"/>
      <c r="E246" s="93"/>
      <c r="F246" s="93"/>
      <c r="G246" s="105"/>
      <c r="H246" s="105"/>
      <c r="I246" s="1"/>
      <c r="J246" s="1"/>
      <c r="K246" s="1"/>
      <c r="L246" s="1"/>
      <c r="M246" s="1"/>
      <c r="N246" s="1"/>
      <c r="O246" s="1"/>
      <c r="P246" s="1"/>
      <c r="Q246" s="1"/>
      <c r="R246" s="1"/>
      <c r="S246" s="1"/>
      <c r="T246" s="1"/>
      <c r="U246" s="1"/>
      <c r="V246" s="1"/>
      <c r="W246" s="1"/>
      <c r="X246" s="1"/>
    </row>
    <row r="247" spans="1:24" ht="12.75" customHeight="1" x14ac:dyDescent="0.2">
      <c r="A247" s="1"/>
      <c r="B247" s="1"/>
      <c r="C247" s="89"/>
      <c r="D247" s="89"/>
      <c r="E247" s="93"/>
      <c r="F247" s="93"/>
      <c r="G247" s="105"/>
      <c r="H247" s="105"/>
      <c r="I247" s="1"/>
      <c r="J247" s="1"/>
      <c r="K247" s="1"/>
      <c r="L247" s="1"/>
      <c r="M247" s="1"/>
      <c r="N247" s="1"/>
      <c r="O247" s="1"/>
      <c r="P247" s="1"/>
      <c r="Q247" s="1"/>
      <c r="R247" s="1"/>
      <c r="S247" s="1"/>
      <c r="T247" s="1"/>
      <c r="U247" s="1"/>
      <c r="V247" s="1"/>
      <c r="W247" s="1"/>
      <c r="X247" s="1"/>
    </row>
    <row r="248" spans="1:24" ht="12.75" customHeight="1" x14ac:dyDescent="0.2">
      <c r="A248" s="1"/>
      <c r="B248" s="1"/>
      <c r="C248" s="89"/>
      <c r="D248" s="89"/>
      <c r="E248" s="93"/>
      <c r="F248" s="93"/>
      <c r="G248" s="105"/>
      <c r="H248" s="105"/>
      <c r="I248" s="1"/>
      <c r="J248" s="1"/>
      <c r="K248" s="1"/>
      <c r="L248" s="1"/>
      <c r="M248" s="1"/>
      <c r="N248" s="1"/>
      <c r="O248" s="1"/>
      <c r="P248" s="1"/>
      <c r="Q248" s="1"/>
      <c r="R248" s="1"/>
      <c r="S248" s="1"/>
      <c r="T248" s="1"/>
      <c r="U248" s="1"/>
      <c r="V248" s="1"/>
      <c r="W248" s="1"/>
      <c r="X248" s="1"/>
    </row>
    <row r="249" spans="1:24" ht="12.75" customHeight="1" x14ac:dyDescent="0.2">
      <c r="A249" s="1"/>
      <c r="B249" s="1"/>
      <c r="C249" s="89"/>
      <c r="D249" s="89"/>
      <c r="E249" s="93"/>
      <c r="F249" s="93"/>
      <c r="G249" s="105"/>
      <c r="H249" s="105"/>
      <c r="I249" s="1"/>
      <c r="J249" s="1"/>
      <c r="K249" s="1"/>
      <c r="L249" s="1"/>
      <c r="M249" s="1"/>
      <c r="N249" s="1"/>
      <c r="O249" s="1"/>
      <c r="P249" s="1"/>
      <c r="Q249" s="1"/>
      <c r="R249" s="1"/>
      <c r="S249" s="1"/>
      <c r="T249" s="1"/>
      <c r="U249" s="1"/>
      <c r="V249" s="1"/>
      <c r="W249" s="1"/>
      <c r="X249" s="1"/>
    </row>
    <row r="250" spans="1:24" ht="12.75" customHeight="1" x14ac:dyDescent="0.2">
      <c r="A250" s="1"/>
      <c r="B250" s="1"/>
      <c r="C250" s="89"/>
      <c r="D250" s="89"/>
      <c r="E250" s="93"/>
      <c r="F250" s="93"/>
      <c r="G250" s="105"/>
      <c r="H250" s="105"/>
      <c r="I250" s="1"/>
      <c r="J250" s="1"/>
      <c r="K250" s="1"/>
      <c r="L250" s="1"/>
      <c r="M250" s="1"/>
      <c r="N250" s="1"/>
      <c r="O250" s="1"/>
      <c r="P250" s="1"/>
      <c r="Q250" s="1"/>
      <c r="R250" s="1"/>
      <c r="S250" s="1"/>
      <c r="T250" s="1"/>
      <c r="U250" s="1"/>
      <c r="V250" s="1"/>
      <c r="W250" s="1"/>
      <c r="X250" s="1"/>
    </row>
    <row r="251" spans="1:24" ht="12.75" customHeight="1" x14ac:dyDescent="0.2">
      <c r="A251" s="1"/>
      <c r="B251" s="1"/>
      <c r="C251" s="89"/>
      <c r="D251" s="89"/>
      <c r="E251" s="93"/>
      <c r="F251" s="93"/>
      <c r="G251" s="105"/>
      <c r="H251" s="105"/>
      <c r="I251" s="1"/>
      <c r="J251" s="1"/>
      <c r="K251" s="1"/>
      <c r="L251" s="1"/>
      <c r="M251" s="1"/>
      <c r="N251" s="1"/>
      <c r="O251" s="1"/>
      <c r="P251" s="1"/>
      <c r="Q251" s="1"/>
      <c r="R251" s="1"/>
      <c r="S251" s="1"/>
      <c r="T251" s="1"/>
      <c r="U251" s="1"/>
      <c r="V251" s="1"/>
      <c r="W251" s="1"/>
      <c r="X251" s="1"/>
    </row>
    <row r="252" spans="1:24" ht="12.75" customHeight="1" x14ac:dyDescent="0.2">
      <c r="A252" s="1"/>
      <c r="B252" s="1"/>
      <c r="C252" s="89"/>
      <c r="D252" s="89"/>
      <c r="E252" s="93"/>
      <c r="F252" s="93"/>
      <c r="G252" s="105"/>
      <c r="H252" s="105"/>
      <c r="I252" s="1"/>
      <c r="J252" s="1"/>
      <c r="K252" s="1"/>
      <c r="L252" s="1"/>
      <c r="M252" s="1"/>
      <c r="N252" s="1"/>
      <c r="O252" s="1"/>
      <c r="P252" s="1"/>
      <c r="Q252" s="1"/>
      <c r="R252" s="1"/>
      <c r="S252" s="1"/>
      <c r="T252" s="1"/>
      <c r="U252" s="1"/>
      <c r="V252" s="1"/>
      <c r="W252" s="1"/>
      <c r="X252" s="1"/>
    </row>
    <row r="253" spans="1:24" ht="12.75" customHeight="1" x14ac:dyDescent="0.2">
      <c r="A253" s="1"/>
      <c r="B253" s="1"/>
      <c r="C253" s="89"/>
      <c r="D253" s="89"/>
      <c r="E253" s="93"/>
      <c r="F253" s="93"/>
      <c r="G253" s="105"/>
      <c r="H253" s="105"/>
      <c r="I253" s="1"/>
      <c r="J253" s="1"/>
      <c r="K253" s="1"/>
      <c r="L253" s="1"/>
      <c r="M253" s="1"/>
      <c r="N253" s="1"/>
      <c r="O253" s="1"/>
      <c r="P253" s="1"/>
      <c r="Q253" s="1"/>
      <c r="R253" s="1"/>
      <c r="S253" s="1"/>
      <c r="T253" s="1"/>
      <c r="U253" s="1"/>
      <c r="V253" s="1"/>
      <c r="W253" s="1"/>
      <c r="X253" s="1"/>
    </row>
    <row r="254" spans="1:24" ht="12.75" customHeight="1" x14ac:dyDescent="0.2">
      <c r="A254" s="1"/>
      <c r="B254" s="1"/>
      <c r="C254" s="89"/>
      <c r="D254" s="89"/>
      <c r="E254" s="93"/>
      <c r="F254" s="93"/>
      <c r="G254" s="105"/>
      <c r="H254" s="105"/>
      <c r="I254" s="1"/>
      <c r="J254" s="1"/>
      <c r="K254" s="1"/>
      <c r="L254" s="1"/>
      <c r="M254" s="1"/>
      <c r="N254" s="1"/>
      <c r="O254" s="1"/>
      <c r="P254" s="1"/>
      <c r="Q254" s="1"/>
      <c r="R254" s="1"/>
      <c r="S254" s="1"/>
      <c r="T254" s="1"/>
      <c r="U254" s="1"/>
      <c r="V254" s="1"/>
      <c r="W254" s="1"/>
      <c r="X254" s="1"/>
    </row>
    <row r="255" spans="1:24" ht="12.75" customHeight="1" x14ac:dyDescent="0.2">
      <c r="A255" s="1"/>
      <c r="B255" s="1"/>
      <c r="C255" s="89"/>
      <c r="D255" s="89"/>
      <c r="E255" s="93"/>
      <c r="F255" s="93"/>
      <c r="G255" s="105"/>
      <c r="H255" s="105"/>
      <c r="I255" s="1"/>
      <c r="J255" s="1"/>
      <c r="K255" s="1"/>
      <c r="L255" s="1"/>
      <c r="M255" s="1"/>
      <c r="N255" s="1"/>
      <c r="O255" s="1"/>
      <c r="P255" s="1"/>
      <c r="Q255" s="1"/>
      <c r="R255" s="1"/>
      <c r="S255" s="1"/>
      <c r="T255" s="1"/>
      <c r="U255" s="1"/>
      <c r="V255" s="1"/>
      <c r="W255" s="1"/>
      <c r="X255" s="1"/>
    </row>
    <row r="256" spans="1:24" ht="12.75" customHeight="1" x14ac:dyDescent="0.2">
      <c r="A256" s="1"/>
      <c r="B256" s="1"/>
      <c r="C256" s="89"/>
      <c r="D256" s="89"/>
      <c r="E256" s="93"/>
      <c r="F256" s="93"/>
      <c r="G256" s="105"/>
      <c r="H256" s="105"/>
      <c r="I256" s="1"/>
      <c r="J256" s="1"/>
      <c r="K256" s="1"/>
      <c r="L256" s="1"/>
      <c r="M256" s="1"/>
      <c r="N256" s="1"/>
      <c r="O256" s="1"/>
      <c r="P256" s="1"/>
      <c r="Q256" s="1"/>
      <c r="R256" s="1"/>
      <c r="S256" s="1"/>
      <c r="T256" s="1"/>
      <c r="U256" s="1"/>
      <c r="V256" s="1"/>
      <c r="W256" s="1"/>
      <c r="X256" s="1"/>
    </row>
    <row r="257" spans="1:24" ht="12.75" customHeight="1" x14ac:dyDescent="0.2">
      <c r="A257" s="1"/>
      <c r="B257" s="1"/>
      <c r="C257" s="89"/>
      <c r="D257" s="89"/>
      <c r="E257" s="93"/>
      <c r="F257" s="93"/>
      <c r="G257" s="105"/>
      <c r="H257" s="105"/>
      <c r="I257" s="1"/>
      <c r="J257" s="1"/>
      <c r="K257" s="1"/>
      <c r="L257" s="1"/>
      <c r="M257" s="1"/>
      <c r="N257" s="1"/>
      <c r="O257" s="1"/>
      <c r="P257" s="1"/>
      <c r="Q257" s="1"/>
      <c r="R257" s="1"/>
      <c r="S257" s="1"/>
      <c r="T257" s="1"/>
      <c r="U257" s="1"/>
      <c r="V257" s="1"/>
      <c r="W257" s="1"/>
      <c r="X257" s="1"/>
    </row>
    <row r="258" spans="1:24" ht="12.75" customHeight="1" x14ac:dyDescent="0.2">
      <c r="A258" s="1"/>
      <c r="B258" s="1"/>
      <c r="C258" s="89"/>
      <c r="D258" s="89"/>
      <c r="E258" s="93"/>
      <c r="F258" s="93"/>
      <c r="G258" s="105"/>
      <c r="H258" s="105"/>
      <c r="I258" s="1"/>
      <c r="J258" s="1"/>
      <c r="K258" s="1"/>
      <c r="L258" s="1"/>
      <c r="M258" s="1"/>
      <c r="N258" s="1"/>
      <c r="O258" s="1"/>
      <c r="P258" s="1"/>
      <c r="Q258" s="1"/>
      <c r="R258" s="1"/>
      <c r="S258" s="1"/>
      <c r="T258" s="1"/>
      <c r="U258" s="1"/>
      <c r="V258" s="1"/>
      <c r="W258" s="1"/>
      <c r="X258" s="1"/>
    </row>
    <row r="259" spans="1:24" ht="12.75" customHeight="1" x14ac:dyDescent="0.2">
      <c r="A259" s="1"/>
      <c r="B259" s="1"/>
      <c r="C259" s="89"/>
      <c r="D259" s="89"/>
      <c r="E259" s="93"/>
      <c r="F259" s="93"/>
      <c r="G259" s="105"/>
      <c r="H259" s="105"/>
      <c r="I259" s="1"/>
      <c r="J259" s="1"/>
      <c r="K259" s="1"/>
      <c r="L259" s="1"/>
      <c r="M259" s="1"/>
      <c r="N259" s="1"/>
      <c r="O259" s="1"/>
      <c r="P259" s="1"/>
      <c r="Q259" s="1"/>
      <c r="R259" s="1"/>
      <c r="S259" s="1"/>
      <c r="T259" s="1"/>
      <c r="U259" s="1"/>
      <c r="V259" s="1"/>
      <c r="W259" s="1"/>
      <c r="X259" s="1"/>
    </row>
    <row r="260" spans="1:24" ht="12.75" customHeight="1" x14ac:dyDescent="0.2">
      <c r="A260" s="1"/>
      <c r="B260" s="1"/>
      <c r="C260" s="89"/>
      <c r="D260" s="89"/>
      <c r="E260" s="93"/>
      <c r="F260" s="93"/>
      <c r="G260" s="105"/>
      <c r="H260" s="105"/>
      <c r="I260" s="1"/>
      <c r="J260" s="1"/>
      <c r="K260" s="1"/>
      <c r="L260" s="1"/>
      <c r="M260" s="1"/>
      <c r="N260" s="1"/>
      <c r="O260" s="1"/>
      <c r="P260" s="1"/>
      <c r="Q260" s="1"/>
      <c r="R260" s="1"/>
      <c r="S260" s="1"/>
      <c r="T260" s="1"/>
      <c r="U260" s="1"/>
      <c r="V260" s="1"/>
      <c r="W260" s="1"/>
      <c r="X260" s="1"/>
    </row>
    <row r="261" spans="1:24" ht="12.75" customHeight="1" x14ac:dyDescent="0.2">
      <c r="A261" s="1"/>
      <c r="B261" s="1"/>
      <c r="C261" s="89"/>
      <c r="D261" s="89"/>
      <c r="E261" s="93"/>
      <c r="F261" s="93"/>
      <c r="G261" s="105"/>
      <c r="H261" s="105"/>
      <c r="I261" s="1"/>
      <c r="J261" s="1"/>
      <c r="K261" s="1"/>
      <c r="L261" s="1"/>
      <c r="M261" s="1"/>
      <c r="N261" s="1"/>
      <c r="O261" s="1"/>
      <c r="P261" s="1"/>
      <c r="Q261" s="1"/>
      <c r="R261" s="1"/>
      <c r="S261" s="1"/>
      <c r="T261" s="1"/>
      <c r="U261" s="1"/>
      <c r="V261" s="1"/>
      <c r="W261" s="1"/>
      <c r="X261" s="1"/>
    </row>
    <row r="262" spans="1:24" ht="12.75" customHeight="1" x14ac:dyDescent="0.2">
      <c r="A262" s="1"/>
      <c r="B262" s="1"/>
      <c r="C262" s="89"/>
      <c r="D262" s="89"/>
      <c r="E262" s="93"/>
      <c r="F262" s="93"/>
      <c r="G262" s="105"/>
      <c r="H262" s="105"/>
      <c r="I262" s="1"/>
      <c r="J262" s="1"/>
      <c r="K262" s="1"/>
      <c r="L262" s="1"/>
      <c r="M262" s="1"/>
      <c r="N262" s="1"/>
      <c r="O262" s="1"/>
      <c r="P262" s="1"/>
      <c r="Q262" s="1"/>
      <c r="R262" s="1"/>
      <c r="S262" s="1"/>
      <c r="T262" s="1"/>
      <c r="U262" s="1"/>
      <c r="V262" s="1"/>
      <c r="W262" s="1"/>
      <c r="X262" s="1"/>
    </row>
    <row r="263" spans="1:24" ht="12.75" customHeight="1" x14ac:dyDescent="0.2">
      <c r="A263" s="1"/>
      <c r="B263" s="1"/>
      <c r="C263" s="89"/>
      <c r="D263" s="89"/>
      <c r="E263" s="93"/>
      <c r="F263" s="93"/>
      <c r="G263" s="105"/>
      <c r="H263" s="105"/>
      <c r="I263" s="1"/>
      <c r="J263" s="1"/>
      <c r="K263" s="1"/>
      <c r="L263" s="1"/>
      <c r="M263" s="1"/>
      <c r="N263" s="1"/>
      <c r="O263" s="1"/>
      <c r="P263" s="1"/>
      <c r="Q263" s="1"/>
      <c r="R263" s="1"/>
      <c r="S263" s="1"/>
      <c r="T263" s="1"/>
      <c r="U263" s="1"/>
      <c r="V263" s="1"/>
      <c r="W263" s="1"/>
      <c r="X263" s="1"/>
    </row>
    <row r="264" spans="1:24" ht="12.75" customHeight="1" x14ac:dyDescent="0.2">
      <c r="A264" s="1"/>
      <c r="B264" s="1"/>
      <c r="C264" s="89"/>
      <c r="D264" s="89"/>
      <c r="E264" s="93"/>
      <c r="F264" s="93"/>
      <c r="G264" s="105"/>
      <c r="H264" s="105"/>
      <c r="I264" s="1"/>
      <c r="J264" s="1"/>
      <c r="K264" s="1"/>
      <c r="L264" s="1"/>
      <c r="M264" s="1"/>
      <c r="N264" s="1"/>
      <c r="O264" s="1"/>
      <c r="P264" s="1"/>
      <c r="Q264" s="1"/>
      <c r="R264" s="1"/>
      <c r="S264" s="1"/>
      <c r="T264" s="1"/>
      <c r="U264" s="1"/>
      <c r="V264" s="1"/>
      <c r="W264" s="1"/>
      <c r="X264" s="1"/>
    </row>
    <row r="265" spans="1:24" ht="12.75" customHeight="1" x14ac:dyDescent="0.2">
      <c r="A265" s="1"/>
      <c r="B265" s="1"/>
      <c r="C265" s="89"/>
      <c r="D265" s="89"/>
      <c r="E265" s="93"/>
      <c r="F265" s="93"/>
      <c r="G265" s="105"/>
      <c r="H265" s="105"/>
      <c r="I265" s="1"/>
      <c r="J265" s="1"/>
      <c r="K265" s="1"/>
      <c r="L265" s="1"/>
      <c r="M265" s="1"/>
      <c r="N265" s="1"/>
      <c r="O265" s="1"/>
      <c r="P265" s="1"/>
      <c r="Q265" s="1"/>
      <c r="R265" s="1"/>
      <c r="S265" s="1"/>
      <c r="T265" s="1"/>
      <c r="U265" s="1"/>
      <c r="V265" s="1"/>
      <c r="W265" s="1"/>
      <c r="X265" s="1"/>
    </row>
    <row r="266" spans="1:24" ht="12.75" customHeight="1" x14ac:dyDescent="0.2">
      <c r="A266" s="1"/>
      <c r="B266" s="1"/>
      <c r="C266" s="89"/>
      <c r="D266" s="89"/>
      <c r="E266" s="93"/>
      <c r="F266" s="93"/>
      <c r="G266" s="105"/>
      <c r="H266" s="105"/>
      <c r="I266" s="1"/>
      <c r="J266" s="1"/>
      <c r="K266" s="1"/>
      <c r="L266" s="1"/>
      <c r="M266" s="1"/>
      <c r="N266" s="1"/>
      <c r="O266" s="1"/>
      <c r="P266" s="1"/>
      <c r="Q266" s="1"/>
      <c r="R266" s="1"/>
      <c r="S266" s="1"/>
      <c r="T266" s="1"/>
      <c r="U266" s="1"/>
      <c r="V266" s="1"/>
      <c r="W266" s="1"/>
      <c r="X266" s="1"/>
    </row>
    <row r="267" spans="1:24" ht="12.75" customHeight="1" x14ac:dyDescent="0.2">
      <c r="A267" s="1"/>
      <c r="B267" s="1"/>
      <c r="C267" s="89"/>
      <c r="D267" s="89"/>
      <c r="E267" s="93"/>
      <c r="F267" s="93"/>
      <c r="G267" s="105"/>
      <c r="H267" s="105"/>
      <c r="I267" s="1"/>
      <c r="J267" s="1"/>
      <c r="K267" s="1"/>
      <c r="L267" s="1"/>
      <c r="M267" s="1"/>
      <c r="N267" s="1"/>
      <c r="O267" s="1"/>
      <c r="P267" s="1"/>
      <c r="Q267" s="1"/>
      <c r="R267" s="1"/>
      <c r="S267" s="1"/>
      <c r="T267" s="1"/>
      <c r="U267" s="1"/>
      <c r="V267" s="1"/>
      <c r="W267" s="1"/>
      <c r="X267" s="1"/>
    </row>
    <row r="268" spans="1:24" ht="12.75" customHeight="1" x14ac:dyDescent="0.2">
      <c r="A268" s="1"/>
      <c r="B268" s="1"/>
      <c r="C268" s="89"/>
      <c r="D268" s="89"/>
      <c r="E268" s="93"/>
      <c r="F268" s="93"/>
      <c r="G268" s="105"/>
      <c r="H268" s="105"/>
      <c r="I268" s="1"/>
      <c r="J268" s="1"/>
      <c r="K268" s="1"/>
      <c r="L268" s="1"/>
      <c r="M268" s="1"/>
      <c r="N268" s="1"/>
      <c r="O268" s="1"/>
      <c r="P268" s="1"/>
      <c r="Q268" s="1"/>
      <c r="R268" s="1"/>
      <c r="S268" s="1"/>
      <c r="T268" s="1"/>
      <c r="U268" s="1"/>
      <c r="V268" s="1"/>
      <c r="W268" s="1"/>
      <c r="X268" s="1"/>
    </row>
    <row r="269" spans="1:24" ht="12.75" customHeight="1" x14ac:dyDescent="0.2">
      <c r="A269" s="1"/>
      <c r="B269" s="1"/>
      <c r="C269" s="89"/>
      <c r="D269" s="89"/>
      <c r="E269" s="93"/>
      <c r="F269" s="93"/>
      <c r="G269" s="105"/>
      <c r="H269" s="105"/>
      <c r="I269" s="1"/>
      <c r="J269" s="1"/>
      <c r="K269" s="1"/>
      <c r="L269" s="1"/>
      <c r="M269" s="1"/>
      <c r="N269" s="1"/>
      <c r="O269" s="1"/>
      <c r="P269" s="1"/>
      <c r="Q269" s="1"/>
      <c r="R269" s="1"/>
      <c r="S269" s="1"/>
      <c r="T269" s="1"/>
      <c r="U269" s="1"/>
      <c r="V269" s="1"/>
      <c r="W269" s="1"/>
      <c r="X269" s="1"/>
    </row>
    <row r="270" spans="1:24" ht="12.75" customHeight="1" x14ac:dyDescent="0.2">
      <c r="A270" s="1"/>
      <c r="B270" s="1"/>
      <c r="C270" s="89"/>
      <c r="D270" s="89"/>
      <c r="E270" s="93"/>
      <c r="F270" s="93"/>
      <c r="G270" s="105"/>
      <c r="H270" s="105"/>
      <c r="I270" s="1"/>
      <c r="J270" s="1"/>
      <c r="K270" s="1"/>
      <c r="L270" s="1"/>
      <c r="M270" s="1"/>
      <c r="N270" s="1"/>
      <c r="O270" s="1"/>
      <c r="P270" s="1"/>
      <c r="Q270" s="1"/>
      <c r="R270" s="1"/>
      <c r="S270" s="1"/>
      <c r="T270" s="1"/>
      <c r="U270" s="1"/>
      <c r="V270" s="1"/>
      <c r="W270" s="1"/>
      <c r="X270" s="1"/>
    </row>
    <row r="271" spans="1:24" ht="12.75" customHeight="1" x14ac:dyDescent="0.2">
      <c r="A271" s="1"/>
      <c r="B271" s="1"/>
      <c r="C271" s="89"/>
      <c r="D271" s="89"/>
      <c r="E271" s="93"/>
      <c r="F271" s="93"/>
      <c r="G271" s="105"/>
      <c r="H271" s="105"/>
      <c r="I271" s="1"/>
      <c r="J271" s="1"/>
      <c r="K271" s="1"/>
      <c r="L271" s="1"/>
      <c r="M271" s="1"/>
      <c r="N271" s="1"/>
      <c r="O271" s="1"/>
      <c r="P271" s="1"/>
      <c r="Q271" s="1"/>
      <c r="R271" s="1"/>
      <c r="S271" s="1"/>
      <c r="T271" s="1"/>
      <c r="U271" s="1"/>
      <c r="V271" s="1"/>
      <c r="W271" s="1"/>
      <c r="X271" s="1"/>
    </row>
    <row r="272" spans="1:24" ht="12.75" customHeight="1" x14ac:dyDescent="0.2">
      <c r="A272" s="1"/>
      <c r="B272" s="1"/>
      <c r="C272" s="89"/>
      <c r="D272" s="89"/>
      <c r="E272" s="93"/>
      <c r="F272" s="93"/>
      <c r="G272" s="105"/>
      <c r="H272" s="105"/>
      <c r="I272" s="1"/>
      <c r="J272" s="1"/>
      <c r="K272" s="1"/>
      <c r="L272" s="1"/>
      <c r="M272" s="1"/>
      <c r="N272" s="1"/>
      <c r="O272" s="1"/>
      <c r="P272" s="1"/>
      <c r="Q272" s="1"/>
      <c r="R272" s="1"/>
      <c r="S272" s="1"/>
      <c r="T272" s="1"/>
      <c r="U272" s="1"/>
      <c r="V272" s="1"/>
      <c r="W272" s="1"/>
      <c r="X272" s="1"/>
    </row>
    <row r="273" spans="1:24" ht="12.75" customHeight="1" x14ac:dyDescent="0.2">
      <c r="A273" s="1"/>
      <c r="B273" s="1"/>
      <c r="C273" s="89"/>
      <c r="D273" s="89"/>
      <c r="E273" s="93"/>
      <c r="F273" s="93"/>
      <c r="G273" s="105"/>
      <c r="H273" s="105"/>
      <c r="I273" s="1"/>
      <c r="J273" s="1"/>
      <c r="K273" s="1"/>
      <c r="L273" s="1"/>
      <c r="M273" s="1"/>
      <c r="N273" s="1"/>
      <c r="O273" s="1"/>
      <c r="P273" s="1"/>
      <c r="Q273" s="1"/>
      <c r="R273" s="1"/>
      <c r="S273" s="1"/>
      <c r="T273" s="1"/>
      <c r="U273" s="1"/>
      <c r="V273" s="1"/>
      <c r="W273" s="1"/>
      <c r="X273" s="1"/>
    </row>
    <row r="274" spans="1:24" ht="12.75" customHeight="1" x14ac:dyDescent="0.2">
      <c r="A274" s="1"/>
      <c r="B274" s="1"/>
      <c r="C274" s="89"/>
      <c r="D274" s="89"/>
      <c r="E274" s="93"/>
      <c r="F274" s="93"/>
      <c r="G274" s="105"/>
      <c r="H274" s="105"/>
      <c r="I274" s="1"/>
      <c r="J274" s="1"/>
      <c r="K274" s="1"/>
      <c r="L274" s="1"/>
      <c r="M274" s="1"/>
      <c r="N274" s="1"/>
      <c r="O274" s="1"/>
      <c r="P274" s="1"/>
      <c r="Q274" s="1"/>
      <c r="R274" s="1"/>
      <c r="S274" s="1"/>
      <c r="T274" s="1"/>
      <c r="U274" s="1"/>
      <c r="V274" s="1"/>
      <c r="W274" s="1"/>
      <c r="X274" s="1"/>
    </row>
    <row r="275" spans="1:24" ht="12.75" customHeight="1" x14ac:dyDescent="0.2">
      <c r="A275" s="1"/>
      <c r="B275" s="1"/>
      <c r="C275" s="89"/>
      <c r="D275" s="89"/>
      <c r="E275" s="93"/>
      <c r="F275" s="93"/>
      <c r="G275" s="105"/>
      <c r="H275" s="105"/>
      <c r="I275" s="1"/>
      <c r="J275" s="1"/>
      <c r="K275" s="1"/>
      <c r="L275" s="1"/>
      <c r="M275" s="1"/>
      <c r="N275" s="1"/>
      <c r="O275" s="1"/>
      <c r="P275" s="1"/>
      <c r="Q275" s="1"/>
      <c r="R275" s="1"/>
      <c r="S275" s="1"/>
      <c r="T275" s="1"/>
      <c r="U275" s="1"/>
      <c r="V275" s="1"/>
      <c r="W275" s="1"/>
      <c r="X275" s="1"/>
    </row>
    <row r="276" spans="1:24" ht="12.75" customHeight="1" x14ac:dyDescent="0.2">
      <c r="A276" s="1"/>
      <c r="B276" s="1"/>
      <c r="C276" s="89"/>
      <c r="D276" s="89"/>
      <c r="E276" s="93"/>
      <c r="F276" s="93"/>
      <c r="G276" s="105"/>
      <c r="H276" s="105"/>
      <c r="I276" s="1"/>
      <c r="J276" s="1"/>
      <c r="K276" s="1"/>
      <c r="L276" s="1"/>
      <c r="M276" s="1"/>
      <c r="N276" s="1"/>
      <c r="O276" s="1"/>
      <c r="P276" s="1"/>
      <c r="Q276" s="1"/>
      <c r="R276" s="1"/>
      <c r="S276" s="1"/>
      <c r="T276" s="1"/>
      <c r="U276" s="1"/>
      <c r="V276" s="1"/>
      <c r="W276" s="1"/>
      <c r="X276" s="1"/>
    </row>
    <row r="277" spans="1:24" ht="12.75" customHeight="1" x14ac:dyDescent="0.2">
      <c r="A277" s="1"/>
      <c r="B277" s="1"/>
      <c r="C277" s="89"/>
      <c r="D277" s="89"/>
      <c r="E277" s="93"/>
      <c r="F277" s="93"/>
      <c r="G277" s="105"/>
      <c r="H277" s="105"/>
      <c r="I277" s="1"/>
      <c r="J277" s="1"/>
      <c r="K277" s="1"/>
      <c r="L277" s="1"/>
      <c r="M277" s="1"/>
      <c r="N277" s="1"/>
      <c r="O277" s="1"/>
      <c r="P277" s="1"/>
      <c r="Q277" s="1"/>
      <c r="R277" s="1"/>
      <c r="S277" s="1"/>
      <c r="T277" s="1"/>
      <c r="U277" s="1"/>
      <c r="V277" s="1"/>
      <c r="W277" s="1"/>
      <c r="X277" s="1"/>
    </row>
    <row r="278" spans="1:24" ht="12.75" customHeight="1" x14ac:dyDescent="0.2">
      <c r="A278" s="1"/>
      <c r="B278" s="1"/>
      <c r="C278" s="89"/>
      <c r="D278" s="89"/>
      <c r="E278" s="93"/>
      <c r="F278" s="93"/>
      <c r="G278" s="105"/>
      <c r="H278" s="105"/>
      <c r="I278" s="1"/>
      <c r="J278" s="1"/>
      <c r="K278" s="1"/>
      <c r="L278" s="1"/>
      <c r="M278" s="1"/>
      <c r="N278" s="1"/>
      <c r="O278" s="1"/>
      <c r="P278" s="1"/>
      <c r="Q278" s="1"/>
      <c r="R278" s="1"/>
      <c r="S278" s="1"/>
      <c r="T278" s="1"/>
      <c r="U278" s="1"/>
      <c r="V278" s="1"/>
      <c r="W278" s="1"/>
      <c r="X278" s="1"/>
    </row>
    <row r="279" spans="1:24" ht="12.75" customHeight="1" x14ac:dyDescent="0.2">
      <c r="A279" s="1"/>
      <c r="B279" s="1"/>
      <c r="C279" s="89"/>
      <c r="D279" s="89"/>
      <c r="E279" s="93"/>
      <c r="F279" s="93"/>
      <c r="G279" s="105"/>
      <c r="H279" s="105"/>
      <c r="I279" s="1"/>
      <c r="J279" s="1"/>
      <c r="K279" s="1"/>
      <c r="L279" s="1"/>
      <c r="M279" s="1"/>
      <c r="N279" s="1"/>
      <c r="O279" s="1"/>
      <c r="P279" s="1"/>
      <c r="Q279" s="1"/>
      <c r="R279" s="1"/>
      <c r="S279" s="1"/>
      <c r="T279" s="1"/>
      <c r="U279" s="1"/>
      <c r="V279" s="1"/>
      <c r="W279" s="1"/>
      <c r="X279" s="1"/>
    </row>
    <row r="280" spans="1:24" ht="12.75" customHeight="1" x14ac:dyDescent="0.2">
      <c r="A280" s="1"/>
      <c r="B280" s="1"/>
      <c r="C280" s="89"/>
      <c r="D280" s="89"/>
      <c r="E280" s="93"/>
      <c r="F280" s="93"/>
      <c r="G280" s="105"/>
      <c r="H280" s="105"/>
      <c r="I280" s="1"/>
      <c r="J280" s="1"/>
      <c r="K280" s="1"/>
      <c r="L280" s="1"/>
      <c r="M280" s="1"/>
      <c r="N280" s="1"/>
      <c r="O280" s="1"/>
      <c r="P280" s="1"/>
      <c r="Q280" s="1"/>
      <c r="R280" s="1"/>
      <c r="S280" s="1"/>
      <c r="T280" s="1"/>
      <c r="U280" s="1"/>
      <c r="V280" s="1"/>
      <c r="W280" s="1"/>
      <c r="X280" s="1"/>
    </row>
    <row r="281" spans="1:24" ht="12.75" customHeight="1" x14ac:dyDescent="0.2">
      <c r="A281" s="1"/>
      <c r="B281" s="1"/>
      <c r="C281" s="89"/>
      <c r="D281" s="89"/>
      <c r="E281" s="93"/>
      <c r="F281" s="93"/>
      <c r="G281" s="105"/>
      <c r="H281" s="105"/>
      <c r="I281" s="1"/>
      <c r="J281" s="1"/>
      <c r="K281" s="1"/>
      <c r="L281" s="1"/>
      <c r="M281" s="1"/>
      <c r="N281" s="1"/>
      <c r="O281" s="1"/>
      <c r="P281" s="1"/>
      <c r="Q281" s="1"/>
      <c r="R281" s="1"/>
      <c r="S281" s="1"/>
      <c r="T281" s="1"/>
      <c r="U281" s="1"/>
      <c r="V281" s="1"/>
      <c r="W281" s="1"/>
      <c r="X281" s="1"/>
    </row>
    <row r="282" spans="1:24" ht="12.75" customHeight="1" x14ac:dyDescent="0.2">
      <c r="A282" s="1"/>
      <c r="B282" s="1"/>
      <c r="C282" s="89"/>
      <c r="D282" s="89"/>
      <c r="E282" s="93"/>
      <c r="F282" s="93"/>
      <c r="G282" s="105"/>
      <c r="H282" s="105"/>
      <c r="I282" s="1"/>
      <c r="J282" s="1"/>
      <c r="K282" s="1"/>
      <c r="L282" s="1"/>
      <c r="M282" s="1"/>
      <c r="N282" s="1"/>
      <c r="O282" s="1"/>
      <c r="P282" s="1"/>
      <c r="Q282" s="1"/>
      <c r="R282" s="1"/>
      <c r="S282" s="1"/>
      <c r="T282" s="1"/>
      <c r="U282" s="1"/>
      <c r="V282" s="1"/>
      <c r="W282" s="1"/>
      <c r="X282" s="1"/>
    </row>
    <row r="283" spans="1:24" ht="12.75" customHeight="1" x14ac:dyDescent="0.2">
      <c r="A283" s="1"/>
      <c r="B283" s="1"/>
      <c r="C283" s="89"/>
      <c r="D283" s="89"/>
      <c r="E283" s="93"/>
      <c r="F283" s="93"/>
      <c r="G283" s="105"/>
      <c r="H283" s="105"/>
      <c r="I283" s="1"/>
      <c r="J283" s="1"/>
      <c r="K283" s="1"/>
      <c r="L283" s="1"/>
      <c r="M283" s="1"/>
      <c r="N283" s="1"/>
      <c r="O283" s="1"/>
      <c r="P283" s="1"/>
      <c r="Q283" s="1"/>
      <c r="R283" s="1"/>
      <c r="S283" s="1"/>
      <c r="T283" s="1"/>
      <c r="U283" s="1"/>
      <c r="V283" s="1"/>
      <c r="W283" s="1"/>
      <c r="X283" s="1"/>
    </row>
    <row r="284" spans="1:24" ht="12.75" customHeight="1" x14ac:dyDescent="0.2">
      <c r="A284" s="1"/>
      <c r="B284" s="1"/>
      <c r="C284" s="89"/>
      <c r="D284" s="89"/>
      <c r="E284" s="93"/>
      <c r="F284" s="93"/>
      <c r="G284" s="105"/>
      <c r="H284" s="105"/>
      <c r="I284" s="1"/>
      <c r="J284" s="1"/>
      <c r="K284" s="1"/>
      <c r="L284" s="1"/>
      <c r="M284" s="1"/>
      <c r="N284" s="1"/>
      <c r="O284" s="1"/>
      <c r="P284" s="1"/>
      <c r="Q284" s="1"/>
      <c r="R284" s="1"/>
      <c r="S284" s="1"/>
      <c r="T284" s="1"/>
      <c r="U284" s="1"/>
      <c r="V284" s="1"/>
      <c r="W284" s="1"/>
      <c r="X284" s="1"/>
    </row>
    <row r="285" spans="1:24" ht="12.75" customHeight="1" x14ac:dyDescent="0.2">
      <c r="A285" s="1"/>
      <c r="B285" s="1"/>
      <c r="C285" s="89"/>
      <c r="D285" s="89"/>
      <c r="E285" s="93"/>
      <c r="F285" s="93"/>
      <c r="G285" s="105"/>
      <c r="H285" s="105"/>
      <c r="I285" s="1"/>
      <c r="J285" s="1"/>
      <c r="K285" s="1"/>
      <c r="L285" s="1"/>
      <c r="M285" s="1"/>
      <c r="N285" s="1"/>
      <c r="O285" s="1"/>
      <c r="P285" s="1"/>
      <c r="Q285" s="1"/>
      <c r="R285" s="1"/>
      <c r="S285" s="1"/>
      <c r="T285" s="1"/>
      <c r="U285" s="1"/>
      <c r="V285" s="1"/>
      <c r="W285" s="1"/>
      <c r="X285" s="1"/>
    </row>
    <row r="286" spans="1:24" ht="12.75" customHeight="1" x14ac:dyDescent="0.2">
      <c r="A286" s="1"/>
      <c r="B286" s="1"/>
      <c r="C286" s="89"/>
      <c r="D286" s="89"/>
      <c r="E286" s="93"/>
      <c r="F286" s="93"/>
      <c r="G286" s="105"/>
      <c r="H286" s="105"/>
      <c r="I286" s="1"/>
      <c r="J286" s="1"/>
      <c r="K286" s="1"/>
      <c r="L286" s="1"/>
      <c r="M286" s="1"/>
      <c r="N286" s="1"/>
      <c r="O286" s="1"/>
      <c r="P286" s="1"/>
      <c r="Q286" s="1"/>
      <c r="R286" s="1"/>
      <c r="S286" s="1"/>
      <c r="T286" s="1"/>
      <c r="U286" s="1"/>
      <c r="V286" s="1"/>
      <c r="W286" s="1"/>
      <c r="X286" s="1"/>
    </row>
    <row r="287" spans="1:24" ht="12.75" customHeight="1" x14ac:dyDescent="0.2">
      <c r="A287" s="1"/>
      <c r="B287" s="1"/>
      <c r="C287" s="89"/>
      <c r="D287" s="89"/>
      <c r="E287" s="93"/>
      <c r="F287" s="93"/>
      <c r="G287" s="105"/>
      <c r="H287" s="105"/>
      <c r="I287" s="1"/>
      <c r="J287" s="1"/>
      <c r="K287" s="1"/>
      <c r="L287" s="1"/>
      <c r="M287" s="1"/>
      <c r="N287" s="1"/>
      <c r="O287" s="1"/>
      <c r="P287" s="1"/>
      <c r="Q287" s="1"/>
      <c r="R287" s="1"/>
      <c r="S287" s="1"/>
      <c r="T287" s="1"/>
      <c r="U287" s="1"/>
      <c r="V287" s="1"/>
      <c r="W287" s="1"/>
      <c r="X287" s="1"/>
    </row>
    <row r="288" spans="1:24" ht="12.75" customHeight="1" x14ac:dyDescent="0.2">
      <c r="A288" s="1"/>
      <c r="B288" s="1"/>
      <c r="C288" s="89"/>
      <c r="D288" s="89"/>
      <c r="E288" s="93"/>
      <c r="F288" s="93"/>
      <c r="G288" s="105"/>
      <c r="H288" s="105"/>
      <c r="I288" s="1"/>
      <c r="J288" s="1"/>
      <c r="K288" s="1"/>
      <c r="L288" s="1"/>
      <c r="M288" s="1"/>
      <c r="N288" s="1"/>
      <c r="O288" s="1"/>
      <c r="P288" s="1"/>
      <c r="Q288" s="1"/>
      <c r="R288" s="1"/>
      <c r="S288" s="1"/>
      <c r="T288" s="1"/>
      <c r="U288" s="1"/>
      <c r="V288" s="1"/>
      <c r="W288" s="1"/>
      <c r="X288" s="1"/>
    </row>
    <row r="289" spans="1:24" ht="12.75" customHeight="1" x14ac:dyDescent="0.2">
      <c r="A289" s="1"/>
      <c r="B289" s="1"/>
      <c r="C289" s="89"/>
      <c r="D289" s="89"/>
      <c r="E289" s="93"/>
      <c r="F289" s="93"/>
      <c r="G289" s="105"/>
      <c r="H289" s="105"/>
      <c r="I289" s="1"/>
      <c r="J289" s="1"/>
      <c r="K289" s="1"/>
      <c r="L289" s="1"/>
      <c r="M289" s="1"/>
      <c r="N289" s="1"/>
      <c r="O289" s="1"/>
      <c r="P289" s="1"/>
      <c r="Q289" s="1"/>
      <c r="R289" s="1"/>
      <c r="S289" s="1"/>
      <c r="T289" s="1"/>
      <c r="U289" s="1"/>
      <c r="V289" s="1"/>
      <c r="W289" s="1"/>
      <c r="X289" s="1"/>
    </row>
    <row r="290" spans="1:24" ht="12.75" customHeight="1" x14ac:dyDescent="0.2">
      <c r="A290" s="1"/>
      <c r="B290" s="1"/>
      <c r="C290" s="89"/>
      <c r="D290" s="89"/>
      <c r="E290" s="93"/>
      <c r="F290" s="93"/>
      <c r="G290" s="105"/>
      <c r="H290" s="105"/>
      <c r="I290" s="1"/>
      <c r="J290" s="1"/>
      <c r="K290" s="1"/>
      <c r="L290" s="1"/>
      <c r="M290" s="1"/>
      <c r="N290" s="1"/>
      <c r="O290" s="1"/>
      <c r="P290" s="1"/>
      <c r="Q290" s="1"/>
      <c r="R290" s="1"/>
      <c r="S290" s="1"/>
      <c r="T290" s="1"/>
      <c r="U290" s="1"/>
      <c r="V290" s="1"/>
      <c r="W290" s="1"/>
      <c r="X290" s="1"/>
    </row>
    <row r="291" spans="1:24" ht="12.75" customHeight="1" x14ac:dyDescent="0.2">
      <c r="A291" s="1"/>
      <c r="B291" s="1"/>
      <c r="C291" s="89"/>
      <c r="D291" s="89"/>
      <c r="E291" s="93"/>
      <c r="F291" s="93"/>
      <c r="G291" s="105"/>
      <c r="H291" s="105"/>
      <c r="I291" s="1"/>
      <c r="J291" s="1"/>
      <c r="K291" s="1"/>
      <c r="L291" s="1"/>
      <c r="M291" s="1"/>
      <c r="N291" s="1"/>
      <c r="O291" s="1"/>
      <c r="P291" s="1"/>
      <c r="Q291" s="1"/>
      <c r="R291" s="1"/>
      <c r="S291" s="1"/>
      <c r="T291" s="1"/>
      <c r="U291" s="1"/>
      <c r="V291" s="1"/>
      <c r="W291" s="1"/>
      <c r="X291" s="1"/>
    </row>
    <row r="292" spans="1:24" ht="12.75" customHeight="1" x14ac:dyDescent="0.2">
      <c r="A292" s="1"/>
      <c r="B292" s="1"/>
      <c r="C292" s="89"/>
      <c r="D292" s="89"/>
      <c r="E292" s="93"/>
      <c r="F292" s="93"/>
      <c r="G292" s="105"/>
      <c r="H292" s="105"/>
      <c r="I292" s="1"/>
      <c r="J292" s="1"/>
      <c r="K292" s="1"/>
      <c r="L292" s="1"/>
      <c r="M292" s="1"/>
      <c r="N292" s="1"/>
      <c r="O292" s="1"/>
      <c r="P292" s="1"/>
      <c r="Q292" s="1"/>
      <c r="R292" s="1"/>
      <c r="S292" s="1"/>
      <c r="T292" s="1"/>
      <c r="U292" s="1"/>
      <c r="V292" s="1"/>
      <c r="W292" s="1"/>
      <c r="X292" s="1"/>
    </row>
    <row r="293" spans="1:24" ht="12.75" customHeight="1" x14ac:dyDescent="0.2">
      <c r="A293" s="1"/>
      <c r="B293" s="1"/>
      <c r="C293" s="89"/>
      <c r="D293" s="89"/>
      <c r="E293" s="93"/>
      <c r="F293" s="93"/>
      <c r="G293" s="105"/>
      <c r="H293" s="105"/>
      <c r="I293" s="1"/>
      <c r="J293" s="1"/>
      <c r="K293" s="1"/>
      <c r="L293" s="1"/>
      <c r="M293" s="1"/>
      <c r="N293" s="1"/>
      <c r="O293" s="1"/>
      <c r="P293" s="1"/>
      <c r="Q293" s="1"/>
      <c r="R293" s="1"/>
      <c r="S293" s="1"/>
      <c r="T293" s="1"/>
      <c r="U293" s="1"/>
      <c r="V293" s="1"/>
      <c r="W293" s="1"/>
      <c r="X293" s="1"/>
    </row>
    <row r="294" spans="1:24" ht="12.75" customHeight="1" x14ac:dyDescent="0.2">
      <c r="A294" s="1"/>
      <c r="B294" s="1"/>
      <c r="C294" s="89"/>
      <c r="D294" s="89"/>
      <c r="E294" s="93"/>
      <c r="F294" s="93"/>
      <c r="G294" s="105"/>
      <c r="H294" s="105"/>
      <c r="I294" s="1"/>
      <c r="J294" s="1"/>
      <c r="K294" s="1"/>
      <c r="L294" s="1"/>
      <c r="M294" s="1"/>
      <c r="N294" s="1"/>
      <c r="O294" s="1"/>
      <c r="P294" s="1"/>
      <c r="Q294" s="1"/>
      <c r="R294" s="1"/>
      <c r="S294" s="1"/>
      <c r="T294" s="1"/>
      <c r="U294" s="1"/>
      <c r="V294" s="1"/>
      <c r="W294" s="1"/>
      <c r="X294" s="1"/>
    </row>
    <row r="295" spans="1:24" ht="12.75" customHeight="1" x14ac:dyDescent="0.2">
      <c r="A295" s="1"/>
      <c r="B295" s="1"/>
      <c r="C295" s="89"/>
      <c r="D295" s="89"/>
      <c r="E295" s="93"/>
      <c r="F295" s="93"/>
      <c r="G295" s="105"/>
      <c r="H295" s="105"/>
      <c r="I295" s="1"/>
      <c r="J295" s="1"/>
      <c r="K295" s="1"/>
      <c r="L295" s="1"/>
      <c r="M295" s="1"/>
      <c r="N295" s="1"/>
      <c r="O295" s="1"/>
      <c r="P295" s="1"/>
      <c r="Q295" s="1"/>
      <c r="R295" s="1"/>
      <c r="S295" s="1"/>
      <c r="T295" s="1"/>
      <c r="U295" s="1"/>
      <c r="V295" s="1"/>
      <c r="W295" s="1"/>
      <c r="X295" s="1"/>
    </row>
    <row r="296" spans="1:24" ht="12.75" customHeight="1" x14ac:dyDescent="0.2">
      <c r="A296" s="1"/>
      <c r="B296" s="1"/>
      <c r="C296" s="89"/>
      <c r="D296" s="89"/>
      <c r="E296" s="93"/>
      <c r="F296" s="93"/>
      <c r="G296" s="105"/>
      <c r="H296" s="105"/>
      <c r="I296" s="1"/>
      <c r="J296" s="1"/>
      <c r="K296" s="1"/>
      <c r="L296" s="1"/>
      <c r="M296" s="1"/>
      <c r="N296" s="1"/>
      <c r="O296" s="1"/>
      <c r="P296" s="1"/>
      <c r="Q296" s="1"/>
      <c r="R296" s="1"/>
      <c r="S296" s="1"/>
      <c r="T296" s="1"/>
      <c r="U296" s="1"/>
      <c r="V296" s="1"/>
      <c r="W296" s="1"/>
      <c r="X296" s="1"/>
    </row>
    <row r="297" spans="1:24" ht="12.75" customHeight="1" x14ac:dyDescent="0.2">
      <c r="A297" s="1"/>
      <c r="B297" s="1"/>
      <c r="C297" s="89"/>
      <c r="D297" s="89"/>
      <c r="E297" s="93"/>
      <c r="F297" s="93"/>
      <c r="G297" s="105"/>
      <c r="H297" s="105"/>
      <c r="I297" s="1"/>
      <c r="J297" s="1"/>
      <c r="K297" s="1"/>
      <c r="L297" s="1"/>
      <c r="M297" s="1"/>
      <c r="N297" s="1"/>
      <c r="O297" s="1"/>
      <c r="P297" s="1"/>
      <c r="Q297" s="1"/>
      <c r="R297" s="1"/>
      <c r="S297" s="1"/>
      <c r="T297" s="1"/>
      <c r="U297" s="1"/>
      <c r="V297" s="1"/>
      <c r="W297" s="1"/>
      <c r="X297" s="1"/>
    </row>
    <row r="298" spans="1:24" ht="12.75" customHeight="1" x14ac:dyDescent="0.2">
      <c r="A298" s="1"/>
      <c r="B298" s="1"/>
      <c r="C298" s="89"/>
      <c r="D298" s="89"/>
      <c r="E298" s="93"/>
      <c r="F298" s="93"/>
      <c r="G298" s="105"/>
      <c r="H298" s="105"/>
      <c r="I298" s="1"/>
      <c r="J298" s="1"/>
      <c r="K298" s="1"/>
      <c r="L298" s="1"/>
      <c r="M298" s="1"/>
      <c r="N298" s="1"/>
      <c r="O298" s="1"/>
      <c r="P298" s="1"/>
      <c r="Q298" s="1"/>
      <c r="R298" s="1"/>
      <c r="S298" s="1"/>
      <c r="T298" s="1"/>
      <c r="U298" s="1"/>
      <c r="V298" s="1"/>
      <c r="W298" s="1"/>
      <c r="X298" s="1"/>
    </row>
    <row r="299" spans="1:24" ht="12.75" customHeight="1" x14ac:dyDescent="0.2">
      <c r="A299" s="1"/>
      <c r="B299" s="1"/>
      <c r="C299" s="89"/>
      <c r="D299" s="89"/>
      <c r="E299" s="93"/>
      <c r="F299" s="93"/>
      <c r="G299" s="105"/>
      <c r="H299" s="105"/>
      <c r="I299" s="1"/>
      <c r="J299" s="1"/>
      <c r="K299" s="1"/>
      <c r="L299" s="1"/>
      <c r="M299" s="1"/>
      <c r="N299" s="1"/>
      <c r="O299" s="1"/>
      <c r="P299" s="1"/>
      <c r="Q299" s="1"/>
      <c r="R299" s="1"/>
      <c r="S299" s="1"/>
      <c r="T299" s="1"/>
      <c r="U299" s="1"/>
      <c r="V299" s="1"/>
      <c r="W299" s="1"/>
      <c r="X299" s="1"/>
    </row>
    <row r="300" spans="1:24" ht="12.75" customHeight="1" x14ac:dyDescent="0.2">
      <c r="A300" s="1"/>
      <c r="B300" s="1"/>
      <c r="C300" s="89"/>
      <c r="D300" s="89"/>
      <c r="E300" s="93"/>
      <c r="F300" s="93"/>
      <c r="G300" s="105"/>
      <c r="H300" s="105"/>
      <c r="I300" s="1"/>
      <c r="J300" s="1"/>
      <c r="K300" s="1"/>
      <c r="L300" s="1"/>
      <c r="M300" s="1"/>
      <c r="N300" s="1"/>
      <c r="O300" s="1"/>
      <c r="P300" s="1"/>
      <c r="Q300" s="1"/>
      <c r="R300" s="1"/>
      <c r="S300" s="1"/>
      <c r="T300" s="1"/>
      <c r="U300" s="1"/>
      <c r="V300" s="1"/>
      <c r="W300" s="1"/>
      <c r="X300" s="1"/>
    </row>
    <row r="301" spans="1:24" ht="12.75" customHeight="1" x14ac:dyDescent="0.2">
      <c r="A301" s="1"/>
      <c r="B301" s="1"/>
      <c r="C301" s="89"/>
      <c r="D301" s="89"/>
      <c r="E301" s="93"/>
      <c r="F301" s="93"/>
      <c r="G301" s="105"/>
      <c r="H301" s="105"/>
      <c r="I301" s="1"/>
      <c r="J301" s="1"/>
      <c r="K301" s="1"/>
      <c r="L301" s="1"/>
      <c r="M301" s="1"/>
      <c r="N301" s="1"/>
      <c r="O301" s="1"/>
      <c r="P301" s="1"/>
      <c r="Q301" s="1"/>
      <c r="R301" s="1"/>
      <c r="S301" s="1"/>
      <c r="T301" s="1"/>
      <c r="U301" s="1"/>
      <c r="V301" s="1"/>
      <c r="W301" s="1"/>
      <c r="X301" s="1"/>
    </row>
    <row r="302" spans="1:24" ht="12.75" customHeight="1" x14ac:dyDescent="0.2">
      <c r="A302" s="1"/>
      <c r="B302" s="1"/>
      <c r="C302" s="89"/>
      <c r="D302" s="89"/>
      <c r="E302" s="93"/>
      <c r="F302" s="93"/>
      <c r="G302" s="105"/>
      <c r="H302" s="105"/>
      <c r="I302" s="1"/>
      <c r="J302" s="1"/>
      <c r="K302" s="1"/>
      <c r="L302" s="1"/>
      <c r="M302" s="1"/>
      <c r="N302" s="1"/>
      <c r="O302" s="1"/>
      <c r="P302" s="1"/>
      <c r="Q302" s="1"/>
      <c r="R302" s="1"/>
      <c r="S302" s="1"/>
      <c r="T302" s="1"/>
      <c r="U302" s="1"/>
      <c r="V302" s="1"/>
      <c r="W302" s="1"/>
      <c r="X302" s="1"/>
    </row>
    <row r="303" spans="1:24" ht="12.75" customHeight="1" x14ac:dyDescent="0.2">
      <c r="A303" s="1"/>
      <c r="B303" s="1"/>
      <c r="C303" s="89"/>
      <c r="D303" s="89"/>
      <c r="E303" s="93"/>
      <c r="F303" s="93"/>
      <c r="G303" s="105"/>
      <c r="H303" s="105"/>
      <c r="I303" s="1"/>
      <c r="J303" s="1"/>
      <c r="K303" s="1"/>
      <c r="L303" s="1"/>
      <c r="M303" s="1"/>
      <c r="N303" s="1"/>
      <c r="O303" s="1"/>
      <c r="P303" s="1"/>
      <c r="Q303" s="1"/>
      <c r="R303" s="1"/>
      <c r="S303" s="1"/>
      <c r="T303" s="1"/>
      <c r="U303" s="1"/>
      <c r="V303" s="1"/>
      <c r="W303" s="1"/>
      <c r="X303" s="1"/>
    </row>
    <row r="304" spans="1:24" ht="12.75" customHeight="1" x14ac:dyDescent="0.2">
      <c r="A304" s="1"/>
      <c r="B304" s="1"/>
      <c r="C304" s="89"/>
      <c r="D304" s="89"/>
      <c r="E304" s="93"/>
      <c r="F304" s="93"/>
      <c r="G304" s="105"/>
      <c r="H304" s="105"/>
      <c r="I304" s="1"/>
      <c r="J304" s="1"/>
      <c r="K304" s="1"/>
      <c r="L304" s="1"/>
      <c r="M304" s="1"/>
      <c r="N304" s="1"/>
      <c r="O304" s="1"/>
      <c r="P304" s="1"/>
      <c r="Q304" s="1"/>
      <c r="R304" s="1"/>
      <c r="S304" s="1"/>
      <c r="T304" s="1"/>
      <c r="U304" s="1"/>
      <c r="V304" s="1"/>
      <c r="W304" s="1"/>
      <c r="X304" s="1"/>
    </row>
    <row r="305" spans="1:24" ht="12.75" customHeight="1" x14ac:dyDescent="0.2">
      <c r="A305" s="1"/>
      <c r="B305" s="1"/>
      <c r="C305" s="89"/>
      <c r="D305" s="89"/>
      <c r="E305" s="93"/>
      <c r="F305" s="93"/>
      <c r="G305" s="105"/>
      <c r="H305" s="105"/>
      <c r="I305" s="1"/>
      <c r="J305" s="1"/>
      <c r="K305" s="1"/>
      <c r="L305" s="1"/>
      <c r="M305" s="1"/>
      <c r="N305" s="1"/>
      <c r="O305" s="1"/>
      <c r="P305" s="1"/>
      <c r="Q305" s="1"/>
      <c r="R305" s="1"/>
      <c r="S305" s="1"/>
      <c r="T305" s="1"/>
      <c r="U305" s="1"/>
      <c r="V305" s="1"/>
      <c r="W305" s="1"/>
      <c r="X305" s="1"/>
    </row>
    <row r="306" spans="1:24" ht="12.75" customHeight="1" x14ac:dyDescent="0.2">
      <c r="A306" s="1"/>
      <c r="B306" s="1"/>
      <c r="C306" s="89"/>
      <c r="D306" s="89"/>
      <c r="E306" s="93"/>
      <c r="F306" s="93"/>
      <c r="G306" s="105"/>
      <c r="H306" s="105"/>
      <c r="I306" s="1"/>
      <c r="J306" s="1"/>
      <c r="K306" s="1"/>
      <c r="L306" s="1"/>
      <c r="M306" s="1"/>
      <c r="N306" s="1"/>
      <c r="O306" s="1"/>
      <c r="P306" s="1"/>
      <c r="Q306" s="1"/>
      <c r="R306" s="1"/>
      <c r="S306" s="1"/>
      <c r="T306" s="1"/>
      <c r="U306" s="1"/>
      <c r="V306" s="1"/>
      <c r="W306" s="1"/>
      <c r="X306" s="1"/>
    </row>
    <row r="307" spans="1:24" ht="12.75" customHeight="1" x14ac:dyDescent="0.2">
      <c r="A307" s="1"/>
      <c r="B307" s="1"/>
      <c r="C307" s="89"/>
      <c r="D307" s="89"/>
      <c r="E307" s="93"/>
      <c r="F307" s="93"/>
      <c r="G307" s="105"/>
      <c r="H307" s="105"/>
      <c r="I307" s="1"/>
      <c r="J307" s="1"/>
      <c r="K307" s="1"/>
      <c r="L307" s="1"/>
      <c r="M307" s="1"/>
      <c r="N307" s="1"/>
      <c r="O307" s="1"/>
      <c r="P307" s="1"/>
      <c r="Q307" s="1"/>
      <c r="R307" s="1"/>
      <c r="S307" s="1"/>
      <c r="T307" s="1"/>
      <c r="U307" s="1"/>
      <c r="V307" s="1"/>
      <c r="W307" s="1"/>
      <c r="X307" s="1"/>
    </row>
    <row r="308" spans="1:24" ht="12.75" customHeight="1" x14ac:dyDescent="0.2">
      <c r="A308" s="1"/>
      <c r="B308" s="1"/>
      <c r="C308" s="89"/>
      <c r="D308" s="89"/>
      <c r="E308" s="93"/>
      <c r="F308" s="93"/>
      <c r="G308" s="105"/>
      <c r="H308" s="105"/>
      <c r="I308" s="1"/>
      <c r="J308" s="1"/>
      <c r="K308" s="1"/>
      <c r="L308" s="1"/>
      <c r="M308" s="1"/>
      <c r="N308" s="1"/>
      <c r="O308" s="1"/>
      <c r="P308" s="1"/>
      <c r="Q308" s="1"/>
      <c r="R308" s="1"/>
      <c r="S308" s="1"/>
      <c r="T308" s="1"/>
      <c r="U308" s="1"/>
      <c r="V308" s="1"/>
      <c r="W308" s="1"/>
      <c r="X308" s="1"/>
    </row>
    <row r="309" spans="1:24" ht="12.75" customHeight="1" x14ac:dyDescent="0.2">
      <c r="A309" s="1"/>
      <c r="B309" s="1"/>
      <c r="C309" s="89"/>
      <c r="D309" s="89"/>
      <c r="E309" s="93"/>
      <c r="F309" s="93"/>
      <c r="G309" s="105"/>
      <c r="H309" s="105"/>
      <c r="I309" s="1"/>
      <c r="J309" s="1"/>
      <c r="K309" s="1"/>
      <c r="L309" s="1"/>
      <c r="M309" s="1"/>
      <c r="N309" s="1"/>
      <c r="O309" s="1"/>
      <c r="P309" s="1"/>
      <c r="Q309" s="1"/>
      <c r="R309" s="1"/>
      <c r="S309" s="1"/>
      <c r="T309" s="1"/>
      <c r="U309" s="1"/>
      <c r="V309" s="1"/>
      <c r="W309" s="1"/>
      <c r="X309" s="1"/>
    </row>
    <row r="310" spans="1:24" ht="12.75" customHeight="1" x14ac:dyDescent="0.2">
      <c r="A310" s="1"/>
      <c r="B310" s="1"/>
      <c r="C310" s="89"/>
      <c r="D310" s="89"/>
      <c r="E310" s="93"/>
      <c r="F310" s="93"/>
      <c r="G310" s="105"/>
      <c r="H310" s="105"/>
      <c r="I310" s="1"/>
      <c r="J310" s="1"/>
      <c r="K310" s="1"/>
      <c r="L310" s="1"/>
      <c r="M310" s="1"/>
      <c r="N310" s="1"/>
      <c r="O310" s="1"/>
      <c r="P310" s="1"/>
      <c r="Q310" s="1"/>
      <c r="R310" s="1"/>
      <c r="S310" s="1"/>
      <c r="T310" s="1"/>
      <c r="U310" s="1"/>
      <c r="V310" s="1"/>
      <c r="W310" s="1"/>
      <c r="X310" s="1"/>
    </row>
    <row r="311" spans="1:24" ht="12.75" customHeight="1" x14ac:dyDescent="0.2">
      <c r="A311" s="1"/>
      <c r="B311" s="1"/>
      <c r="C311" s="89"/>
      <c r="D311" s="89"/>
      <c r="E311" s="93"/>
      <c r="F311" s="93"/>
      <c r="G311" s="105"/>
      <c r="H311" s="105"/>
      <c r="I311" s="1"/>
      <c r="J311" s="1"/>
      <c r="K311" s="1"/>
      <c r="L311" s="1"/>
      <c r="M311" s="1"/>
      <c r="N311" s="1"/>
      <c r="O311" s="1"/>
      <c r="P311" s="1"/>
      <c r="Q311" s="1"/>
      <c r="R311" s="1"/>
      <c r="S311" s="1"/>
      <c r="T311" s="1"/>
      <c r="U311" s="1"/>
      <c r="V311" s="1"/>
      <c r="W311" s="1"/>
      <c r="X311" s="1"/>
    </row>
    <row r="312" spans="1:24" ht="12.75" customHeight="1" x14ac:dyDescent="0.2">
      <c r="A312" s="1"/>
      <c r="B312" s="1"/>
      <c r="C312" s="89"/>
      <c r="D312" s="89"/>
      <c r="E312" s="93"/>
      <c r="F312" s="93"/>
      <c r="G312" s="105"/>
      <c r="H312" s="105"/>
      <c r="I312" s="1"/>
      <c r="J312" s="1"/>
      <c r="K312" s="1"/>
      <c r="L312" s="1"/>
      <c r="M312" s="1"/>
      <c r="N312" s="1"/>
      <c r="O312" s="1"/>
      <c r="P312" s="1"/>
      <c r="Q312" s="1"/>
      <c r="R312" s="1"/>
      <c r="S312" s="1"/>
      <c r="T312" s="1"/>
      <c r="U312" s="1"/>
      <c r="V312" s="1"/>
      <c r="W312" s="1"/>
      <c r="X312" s="1"/>
    </row>
    <row r="313" spans="1:24" ht="12.75" customHeight="1" x14ac:dyDescent="0.2">
      <c r="A313" s="1"/>
      <c r="B313" s="1"/>
      <c r="C313" s="89"/>
      <c r="D313" s="89"/>
      <c r="E313" s="93"/>
      <c r="F313" s="93"/>
      <c r="G313" s="105"/>
      <c r="H313" s="105"/>
      <c r="I313" s="1"/>
      <c r="J313" s="1"/>
      <c r="K313" s="1"/>
      <c r="L313" s="1"/>
      <c r="M313" s="1"/>
      <c r="N313" s="1"/>
      <c r="O313" s="1"/>
      <c r="P313" s="1"/>
      <c r="Q313" s="1"/>
      <c r="R313" s="1"/>
      <c r="S313" s="1"/>
      <c r="T313" s="1"/>
      <c r="U313" s="1"/>
      <c r="V313" s="1"/>
      <c r="W313" s="1"/>
      <c r="X313" s="1"/>
    </row>
    <row r="314" spans="1:24" ht="12.75" customHeight="1" x14ac:dyDescent="0.2">
      <c r="A314" s="1"/>
      <c r="B314" s="1"/>
      <c r="C314" s="89"/>
      <c r="D314" s="89"/>
      <c r="E314" s="93"/>
      <c r="F314" s="93"/>
      <c r="G314" s="105"/>
      <c r="H314" s="105"/>
      <c r="I314" s="1"/>
      <c r="J314" s="1"/>
      <c r="K314" s="1"/>
      <c r="L314" s="1"/>
      <c r="M314" s="1"/>
      <c r="N314" s="1"/>
      <c r="O314" s="1"/>
      <c r="P314" s="1"/>
      <c r="Q314" s="1"/>
      <c r="R314" s="1"/>
      <c r="S314" s="1"/>
      <c r="T314" s="1"/>
      <c r="U314" s="1"/>
      <c r="V314" s="1"/>
      <c r="W314" s="1"/>
      <c r="X314" s="1"/>
    </row>
    <row r="315" spans="1:24" ht="12.75" customHeight="1" x14ac:dyDescent="0.2">
      <c r="A315" s="1"/>
      <c r="B315" s="1"/>
      <c r="C315" s="89"/>
      <c r="D315" s="89"/>
      <c r="E315" s="93"/>
      <c r="F315" s="93"/>
      <c r="G315" s="105"/>
      <c r="H315" s="105"/>
      <c r="I315" s="1"/>
      <c r="J315" s="1"/>
      <c r="K315" s="1"/>
      <c r="L315" s="1"/>
      <c r="M315" s="1"/>
      <c r="N315" s="1"/>
      <c r="O315" s="1"/>
      <c r="P315" s="1"/>
      <c r="Q315" s="1"/>
      <c r="R315" s="1"/>
      <c r="S315" s="1"/>
      <c r="T315" s="1"/>
      <c r="U315" s="1"/>
      <c r="V315" s="1"/>
      <c r="W315" s="1"/>
      <c r="X315" s="1"/>
    </row>
    <row r="316" spans="1:24" ht="12.75" customHeight="1" x14ac:dyDescent="0.2">
      <c r="A316" s="1"/>
      <c r="B316" s="1"/>
      <c r="C316" s="89"/>
      <c r="D316" s="89"/>
      <c r="E316" s="93"/>
      <c r="F316" s="93"/>
      <c r="G316" s="105"/>
      <c r="H316" s="105"/>
      <c r="I316" s="1"/>
      <c r="J316" s="1"/>
      <c r="K316" s="1"/>
      <c r="L316" s="1"/>
      <c r="M316" s="1"/>
      <c r="N316" s="1"/>
      <c r="O316" s="1"/>
      <c r="P316" s="1"/>
      <c r="Q316" s="1"/>
      <c r="R316" s="1"/>
      <c r="S316" s="1"/>
      <c r="T316" s="1"/>
      <c r="U316" s="1"/>
      <c r="V316" s="1"/>
      <c r="W316" s="1"/>
      <c r="X316" s="1"/>
    </row>
    <row r="317" spans="1:24" ht="12.75" customHeight="1" x14ac:dyDescent="0.2">
      <c r="A317" s="1"/>
      <c r="B317" s="1"/>
      <c r="C317" s="89"/>
      <c r="D317" s="89"/>
      <c r="E317" s="93"/>
      <c r="F317" s="93"/>
      <c r="G317" s="105"/>
      <c r="H317" s="105"/>
      <c r="I317" s="1"/>
      <c r="J317" s="1"/>
      <c r="K317" s="1"/>
      <c r="L317" s="1"/>
      <c r="M317" s="1"/>
      <c r="N317" s="1"/>
      <c r="O317" s="1"/>
      <c r="P317" s="1"/>
      <c r="Q317" s="1"/>
      <c r="R317" s="1"/>
      <c r="S317" s="1"/>
      <c r="T317" s="1"/>
      <c r="U317" s="1"/>
      <c r="V317" s="1"/>
      <c r="W317" s="1"/>
      <c r="X317" s="1"/>
    </row>
    <row r="318" spans="1:24" ht="12.75" customHeight="1" x14ac:dyDescent="0.2">
      <c r="A318" s="1"/>
      <c r="B318" s="1"/>
      <c r="C318" s="89"/>
      <c r="D318" s="89"/>
      <c r="E318" s="93"/>
      <c r="F318" s="93"/>
      <c r="G318" s="105"/>
      <c r="H318" s="105"/>
      <c r="I318" s="1"/>
      <c r="J318" s="1"/>
      <c r="K318" s="1"/>
      <c r="L318" s="1"/>
      <c r="M318" s="1"/>
      <c r="N318" s="1"/>
      <c r="O318" s="1"/>
      <c r="P318" s="1"/>
      <c r="Q318" s="1"/>
      <c r="R318" s="1"/>
      <c r="S318" s="1"/>
      <c r="T318" s="1"/>
      <c r="U318" s="1"/>
      <c r="V318" s="1"/>
      <c r="W318" s="1"/>
      <c r="X318" s="1"/>
    </row>
    <row r="319" spans="1:24" ht="12.75" customHeight="1" x14ac:dyDescent="0.2">
      <c r="A319" s="1"/>
      <c r="B319" s="1"/>
      <c r="C319" s="89"/>
      <c r="D319" s="89"/>
      <c r="E319" s="93"/>
      <c r="F319" s="93"/>
      <c r="G319" s="105"/>
      <c r="H319" s="105"/>
      <c r="I319" s="1"/>
      <c r="J319" s="1"/>
      <c r="K319" s="1"/>
      <c r="L319" s="1"/>
      <c r="M319" s="1"/>
      <c r="N319" s="1"/>
      <c r="O319" s="1"/>
      <c r="P319" s="1"/>
      <c r="Q319" s="1"/>
      <c r="R319" s="1"/>
      <c r="S319" s="1"/>
      <c r="T319" s="1"/>
      <c r="U319" s="1"/>
      <c r="V319" s="1"/>
      <c r="W319" s="1"/>
      <c r="X319" s="1"/>
    </row>
    <row r="320" spans="1:24" ht="12.75" customHeight="1" x14ac:dyDescent="0.2">
      <c r="A320" s="1"/>
      <c r="B320" s="1"/>
      <c r="C320" s="89"/>
      <c r="D320" s="89"/>
      <c r="E320" s="93"/>
      <c r="F320" s="93"/>
      <c r="G320" s="105"/>
      <c r="H320" s="105"/>
      <c r="I320" s="1"/>
      <c r="J320" s="1"/>
      <c r="K320" s="1"/>
      <c r="L320" s="1"/>
      <c r="M320" s="1"/>
      <c r="N320" s="1"/>
      <c r="O320" s="1"/>
      <c r="P320" s="1"/>
      <c r="Q320" s="1"/>
      <c r="R320" s="1"/>
      <c r="S320" s="1"/>
      <c r="T320" s="1"/>
      <c r="U320" s="1"/>
      <c r="V320" s="1"/>
      <c r="W320" s="1"/>
      <c r="X320" s="1"/>
    </row>
    <row r="321" spans="1:24" ht="12.75" customHeight="1" x14ac:dyDescent="0.2">
      <c r="A321" s="1"/>
      <c r="B321" s="1"/>
      <c r="C321" s="89"/>
      <c r="D321" s="89"/>
      <c r="E321" s="93"/>
      <c r="F321" s="93"/>
      <c r="G321" s="105"/>
      <c r="H321" s="105"/>
      <c r="I321" s="1"/>
      <c r="J321" s="1"/>
      <c r="K321" s="1"/>
      <c r="L321" s="1"/>
      <c r="M321" s="1"/>
      <c r="N321" s="1"/>
      <c r="O321" s="1"/>
      <c r="P321" s="1"/>
      <c r="Q321" s="1"/>
      <c r="R321" s="1"/>
      <c r="S321" s="1"/>
      <c r="T321" s="1"/>
      <c r="U321" s="1"/>
      <c r="V321" s="1"/>
      <c r="W321" s="1"/>
      <c r="X321" s="1"/>
    </row>
    <row r="322" spans="1:24" ht="12.75" customHeight="1" x14ac:dyDescent="0.2">
      <c r="A322" s="1"/>
      <c r="B322" s="1"/>
      <c r="C322" s="89"/>
      <c r="D322" s="89"/>
      <c r="E322" s="93"/>
      <c r="F322" s="93"/>
      <c r="G322" s="105"/>
      <c r="H322" s="105"/>
      <c r="I322" s="1"/>
      <c r="J322" s="1"/>
      <c r="K322" s="1"/>
      <c r="L322" s="1"/>
      <c r="M322" s="1"/>
      <c r="N322" s="1"/>
      <c r="O322" s="1"/>
      <c r="P322" s="1"/>
      <c r="Q322" s="1"/>
      <c r="R322" s="1"/>
      <c r="S322" s="1"/>
      <c r="T322" s="1"/>
      <c r="U322" s="1"/>
      <c r="V322" s="1"/>
      <c r="W322" s="1"/>
      <c r="X322" s="1"/>
    </row>
    <row r="323" spans="1:24" ht="12.75" customHeight="1" x14ac:dyDescent="0.2">
      <c r="A323" s="1"/>
      <c r="B323" s="1"/>
      <c r="C323" s="89"/>
      <c r="D323" s="89"/>
      <c r="E323" s="93"/>
      <c r="F323" s="93"/>
      <c r="G323" s="105"/>
      <c r="H323" s="105"/>
      <c r="I323" s="1"/>
      <c r="J323" s="1"/>
      <c r="K323" s="1"/>
      <c r="L323" s="1"/>
      <c r="M323" s="1"/>
      <c r="N323" s="1"/>
      <c r="O323" s="1"/>
      <c r="P323" s="1"/>
      <c r="Q323" s="1"/>
      <c r="R323" s="1"/>
      <c r="S323" s="1"/>
      <c r="T323" s="1"/>
      <c r="U323" s="1"/>
      <c r="V323" s="1"/>
      <c r="W323" s="1"/>
      <c r="X323" s="1"/>
    </row>
    <row r="324" spans="1:24" ht="12.75" customHeight="1" x14ac:dyDescent="0.2">
      <c r="A324" s="1"/>
      <c r="B324" s="1"/>
      <c r="C324" s="89"/>
      <c r="D324" s="89"/>
      <c r="E324" s="93"/>
      <c r="F324" s="93"/>
      <c r="G324" s="105"/>
      <c r="H324" s="105"/>
      <c r="I324" s="1"/>
      <c r="J324" s="1"/>
      <c r="K324" s="1"/>
      <c r="L324" s="1"/>
      <c r="M324" s="1"/>
      <c r="N324" s="1"/>
      <c r="O324" s="1"/>
      <c r="P324" s="1"/>
      <c r="Q324" s="1"/>
      <c r="R324" s="1"/>
      <c r="S324" s="1"/>
      <c r="T324" s="1"/>
      <c r="U324" s="1"/>
      <c r="V324" s="1"/>
      <c r="W324" s="1"/>
      <c r="X324" s="1"/>
    </row>
    <row r="325" spans="1:24" ht="12.75" customHeight="1" x14ac:dyDescent="0.2">
      <c r="A325" s="1"/>
      <c r="B325" s="1"/>
      <c r="C325" s="89"/>
      <c r="D325" s="89"/>
      <c r="E325" s="93"/>
      <c r="F325" s="93"/>
      <c r="G325" s="105"/>
      <c r="H325" s="105"/>
      <c r="I325" s="1"/>
      <c r="J325" s="1"/>
      <c r="K325" s="1"/>
      <c r="L325" s="1"/>
      <c r="M325" s="1"/>
      <c r="N325" s="1"/>
      <c r="O325" s="1"/>
      <c r="P325" s="1"/>
      <c r="Q325" s="1"/>
      <c r="R325" s="1"/>
      <c r="S325" s="1"/>
      <c r="T325" s="1"/>
      <c r="U325" s="1"/>
      <c r="V325" s="1"/>
      <c r="W325" s="1"/>
      <c r="X325" s="1"/>
    </row>
    <row r="326" spans="1:24" ht="12.75" customHeight="1" x14ac:dyDescent="0.2">
      <c r="A326" s="1"/>
      <c r="B326" s="1"/>
      <c r="C326" s="89"/>
      <c r="D326" s="89"/>
      <c r="E326" s="93"/>
      <c r="F326" s="93"/>
      <c r="G326" s="105"/>
      <c r="H326" s="105"/>
      <c r="I326" s="1"/>
      <c r="J326" s="1"/>
      <c r="K326" s="1"/>
      <c r="L326" s="1"/>
      <c r="M326" s="1"/>
      <c r="N326" s="1"/>
      <c r="O326" s="1"/>
      <c r="P326" s="1"/>
      <c r="Q326" s="1"/>
      <c r="R326" s="1"/>
      <c r="S326" s="1"/>
      <c r="T326" s="1"/>
      <c r="U326" s="1"/>
      <c r="V326" s="1"/>
      <c r="W326" s="1"/>
      <c r="X326" s="1"/>
    </row>
    <row r="327" spans="1:24" ht="12.75" customHeight="1" x14ac:dyDescent="0.2">
      <c r="A327" s="1"/>
      <c r="B327" s="1"/>
      <c r="C327" s="89"/>
      <c r="D327" s="89"/>
      <c r="E327" s="93"/>
      <c r="F327" s="93"/>
      <c r="G327" s="105"/>
      <c r="H327" s="105"/>
      <c r="I327" s="1"/>
      <c r="J327" s="1"/>
      <c r="K327" s="1"/>
      <c r="L327" s="1"/>
      <c r="M327" s="1"/>
      <c r="N327" s="1"/>
      <c r="O327" s="1"/>
      <c r="P327" s="1"/>
      <c r="Q327" s="1"/>
      <c r="R327" s="1"/>
      <c r="S327" s="1"/>
      <c r="T327" s="1"/>
      <c r="U327" s="1"/>
      <c r="V327" s="1"/>
      <c r="W327" s="1"/>
      <c r="X327" s="1"/>
    </row>
    <row r="328" spans="1:24" ht="12.75" customHeight="1" x14ac:dyDescent="0.2">
      <c r="A328" s="1"/>
      <c r="B328" s="1"/>
      <c r="C328" s="89"/>
      <c r="D328" s="89"/>
      <c r="E328" s="93"/>
      <c r="F328" s="93"/>
      <c r="G328" s="105"/>
      <c r="H328" s="105"/>
      <c r="I328" s="1"/>
      <c r="J328" s="1"/>
      <c r="K328" s="1"/>
      <c r="L328" s="1"/>
      <c r="M328" s="1"/>
      <c r="N328" s="1"/>
      <c r="O328" s="1"/>
      <c r="P328" s="1"/>
      <c r="Q328" s="1"/>
      <c r="R328" s="1"/>
      <c r="S328" s="1"/>
      <c r="T328" s="1"/>
      <c r="U328" s="1"/>
      <c r="V328" s="1"/>
      <c r="W328" s="1"/>
      <c r="X328" s="1"/>
    </row>
    <row r="329" spans="1:24" ht="12.75" customHeight="1" x14ac:dyDescent="0.2">
      <c r="A329" s="1"/>
      <c r="B329" s="1"/>
      <c r="C329" s="89"/>
      <c r="D329" s="89"/>
      <c r="E329" s="93"/>
      <c r="F329" s="93"/>
      <c r="G329" s="105"/>
      <c r="H329" s="105"/>
      <c r="I329" s="1"/>
      <c r="J329" s="1"/>
      <c r="K329" s="1"/>
      <c r="L329" s="1"/>
      <c r="M329" s="1"/>
      <c r="N329" s="1"/>
      <c r="O329" s="1"/>
      <c r="P329" s="1"/>
      <c r="Q329" s="1"/>
      <c r="R329" s="1"/>
      <c r="S329" s="1"/>
      <c r="T329" s="1"/>
      <c r="U329" s="1"/>
      <c r="V329" s="1"/>
      <c r="W329" s="1"/>
      <c r="X329" s="1"/>
    </row>
    <row r="330" spans="1:24" ht="12.75" customHeight="1" x14ac:dyDescent="0.2">
      <c r="A330" s="1"/>
      <c r="B330" s="1"/>
      <c r="C330" s="89"/>
      <c r="D330" s="89"/>
      <c r="E330" s="93"/>
      <c r="F330" s="93"/>
      <c r="G330" s="105"/>
      <c r="H330" s="105"/>
      <c r="I330" s="1"/>
      <c r="J330" s="1"/>
      <c r="K330" s="1"/>
      <c r="L330" s="1"/>
      <c r="M330" s="1"/>
      <c r="N330" s="1"/>
      <c r="O330" s="1"/>
      <c r="P330" s="1"/>
      <c r="Q330" s="1"/>
      <c r="R330" s="1"/>
      <c r="S330" s="1"/>
      <c r="T330" s="1"/>
      <c r="U330" s="1"/>
      <c r="V330" s="1"/>
      <c r="W330" s="1"/>
      <c r="X330" s="1"/>
    </row>
    <row r="331" spans="1:24" ht="12.75" customHeight="1" x14ac:dyDescent="0.2">
      <c r="A331" s="1"/>
      <c r="B331" s="1"/>
      <c r="C331" s="89"/>
      <c r="D331" s="89"/>
      <c r="E331" s="93"/>
      <c r="F331" s="93"/>
      <c r="G331" s="105"/>
      <c r="H331" s="105"/>
      <c r="I331" s="1"/>
      <c r="J331" s="1"/>
      <c r="K331" s="1"/>
      <c r="L331" s="1"/>
      <c r="M331" s="1"/>
      <c r="N331" s="1"/>
      <c r="O331" s="1"/>
      <c r="P331" s="1"/>
      <c r="Q331" s="1"/>
      <c r="R331" s="1"/>
      <c r="S331" s="1"/>
      <c r="T331" s="1"/>
      <c r="U331" s="1"/>
      <c r="V331" s="1"/>
      <c r="W331" s="1"/>
      <c r="X331" s="1"/>
    </row>
    <row r="332" spans="1:24" ht="12.75" customHeight="1" x14ac:dyDescent="0.2">
      <c r="A332" s="1"/>
      <c r="B332" s="1"/>
      <c r="C332" s="89"/>
      <c r="D332" s="89"/>
      <c r="E332" s="93"/>
      <c r="F332" s="93"/>
      <c r="G332" s="105"/>
      <c r="H332" s="105"/>
      <c r="I332" s="1"/>
      <c r="J332" s="1"/>
      <c r="K332" s="1"/>
      <c r="L332" s="1"/>
      <c r="M332" s="1"/>
      <c r="N332" s="1"/>
      <c r="O332" s="1"/>
      <c r="P332" s="1"/>
      <c r="Q332" s="1"/>
      <c r="R332" s="1"/>
      <c r="S332" s="1"/>
      <c r="T332" s="1"/>
      <c r="U332" s="1"/>
      <c r="V332" s="1"/>
      <c r="W332" s="1"/>
      <c r="X332" s="1"/>
    </row>
    <row r="333" spans="1:24" ht="12.75" customHeight="1" x14ac:dyDescent="0.2">
      <c r="A333" s="1"/>
      <c r="B333" s="1"/>
      <c r="C333" s="89"/>
      <c r="D333" s="89"/>
      <c r="E333" s="93"/>
      <c r="F333" s="93"/>
      <c r="G333" s="105"/>
      <c r="H333" s="105"/>
      <c r="I333" s="1"/>
      <c r="J333" s="1"/>
      <c r="K333" s="1"/>
      <c r="L333" s="1"/>
      <c r="M333" s="1"/>
      <c r="N333" s="1"/>
      <c r="O333" s="1"/>
      <c r="P333" s="1"/>
      <c r="Q333" s="1"/>
      <c r="R333" s="1"/>
      <c r="S333" s="1"/>
      <c r="T333" s="1"/>
      <c r="U333" s="1"/>
      <c r="V333" s="1"/>
      <c r="W333" s="1"/>
      <c r="X333" s="1"/>
    </row>
    <row r="334" spans="1:24" ht="12.75" customHeight="1" x14ac:dyDescent="0.2">
      <c r="A334" s="1"/>
      <c r="B334" s="1"/>
      <c r="C334" s="89"/>
      <c r="D334" s="89"/>
      <c r="E334" s="93"/>
      <c r="F334" s="93"/>
      <c r="G334" s="105"/>
      <c r="H334" s="105"/>
      <c r="I334" s="1"/>
      <c r="J334" s="1"/>
      <c r="K334" s="1"/>
      <c r="L334" s="1"/>
      <c r="M334" s="1"/>
      <c r="N334" s="1"/>
      <c r="O334" s="1"/>
      <c r="P334" s="1"/>
      <c r="Q334" s="1"/>
      <c r="R334" s="1"/>
      <c r="S334" s="1"/>
      <c r="T334" s="1"/>
      <c r="U334" s="1"/>
      <c r="V334" s="1"/>
      <c r="W334" s="1"/>
      <c r="X334" s="1"/>
    </row>
    <row r="335" spans="1:24" ht="12.75" customHeight="1" x14ac:dyDescent="0.2">
      <c r="A335" s="1"/>
      <c r="B335" s="1"/>
      <c r="C335" s="89"/>
      <c r="D335" s="89"/>
      <c r="E335" s="93"/>
      <c r="F335" s="93"/>
      <c r="G335" s="105"/>
      <c r="H335" s="105"/>
      <c r="I335" s="1"/>
      <c r="J335" s="1"/>
      <c r="K335" s="1"/>
      <c r="L335" s="1"/>
      <c r="M335" s="1"/>
      <c r="N335" s="1"/>
      <c r="O335" s="1"/>
      <c r="P335" s="1"/>
      <c r="Q335" s="1"/>
      <c r="R335" s="1"/>
      <c r="S335" s="1"/>
      <c r="T335" s="1"/>
      <c r="U335" s="1"/>
      <c r="V335" s="1"/>
      <c r="W335" s="1"/>
      <c r="X335" s="1"/>
    </row>
    <row r="336" spans="1:24" ht="12.75" customHeight="1" x14ac:dyDescent="0.2">
      <c r="A336" s="1"/>
      <c r="B336" s="1"/>
      <c r="C336" s="89"/>
      <c r="D336" s="89"/>
      <c r="E336" s="93"/>
      <c r="F336" s="93"/>
      <c r="G336" s="105"/>
      <c r="H336" s="105"/>
      <c r="I336" s="1"/>
      <c r="J336" s="1"/>
      <c r="K336" s="1"/>
      <c r="L336" s="1"/>
      <c r="M336" s="1"/>
      <c r="N336" s="1"/>
      <c r="O336" s="1"/>
      <c r="P336" s="1"/>
      <c r="Q336" s="1"/>
      <c r="R336" s="1"/>
      <c r="S336" s="1"/>
      <c r="T336" s="1"/>
      <c r="U336" s="1"/>
      <c r="V336" s="1"/>
      <c r="W336" s="1"/>
      <c r="X336" s="1"/>
    </row>
    <row r="337" spans="1:24" ht="12.75" customHeight="1" x14ac:dyDescent="0.2">
      <c r="A337" s="1"/>
      <c r="B337" s="1"/>
      <c r="C337" s="89"/>
      <c r="D337" s="89"/>
      <c r="E337" s="93"/>
      <c r="F337" s="93"/>
      <c r="G337" s="105"/>
      <c r="H337" s="105"/>
      <c r="I337" s="1"/>
      <c r="J337" s="1"/>
      <c r="K337" s="1"/>
      <c r="L337" s="1"/>
      <c r="M337" s="1"/>
      <c r="N337" s="1"/>
      <c r="O337" s="1"/>
      <c r="P337" s="1"/>
      <c r="Q337" s="1"/>
      <c r="R337" s="1"/>
      <c r="S337" s="1"/>
      <c r="T337" s="1"/>
      <c r="U337" s="1"/>
      <c r="V337" s="1"/>
      <c r="W337" s="1"/>
      <c r="X337" s="1"/>
    </row>
    <row r="338" spans="1:24" ht="12.75" customHeight="1" x14ac:dyDescent="0.2">
      <c r="A338" s="1"/>
      <c r="B338" s="1"/>
      <c r="C338" s="89"/>
      <c r="D338" s="89"/>
      <c r="E338" s="93"/>
      <c r="F338" s="93"/>
      <c r="G338" s="105"/>
      <c r="H338" s="105"/>
      <c r="I338" s="1"/>
      <c r="J338" s="1"/>
      <c r="K338" s="1"/>
      <c r="L338" s="1"/>
      <c r="M338" s="1"/>
      <c r="N338" s="1"/>
      <c r="O338" s="1"/>
      <c r="P338" s="1"/>
      <c r="Q338" s="1"/>
      <c r="R338" s="1"/>
      <c r="S338" s="1"/>
      <c r="T338" s="1"/>
      <c r="U338" s="1"/>
      <c r="V338" s="1"/>
      <c r="W338" s="1"/>
      <c r="X338" s="1"/>
    </row>
    <row r="339" spans="1:24" ht="12.75" customHeight="1" x14ac:dyDescent="0.2">
      <c r="A339" s="1"/>
      <c r="B339" s="1"/>
      <c r="C339" s="89"/>
      <c r="D339" s="89"/>
      <c r="E339" s="93"/>
      <c r="F339" s="93"/>
      <c r="G339" s="105"/>
      <c r="H339" s="105"/>
      <c r="I339" s="1"/>
      <c r="J339" s="1"/>
      <c r="K339" s="1"/>
      <c r="L339" s="1"/>
      <c r="M339" s="1"/>
      <c r="N339" s="1"/>
      <c r="O339" s="1"/>
      <c r="P339" s="1"/>
      <c r="Q339" s="1"/>
      <c r="R339" s="1"/>
      <c r="S339" s="1"/>
      <c r="T339" s="1"/>
      <c r="U339" s="1"/>
      <c r="V339" s="1"/>
      <c r="W339" s="1"/>
      <c r="X339" s="1"/>
    </row>
    <row r="340" spans="1:24" ht="12.75" customHeight="1" x14ac:dyDescent="0.2">
      <c r="A340" s="1"/>
      <c r="B340" s="1"/>
      <c r="C340" s="89"/>
      <c r="D340" s="89"/>
      <c r="E340" s="93"/>
      <c r="F340" s="93"/>
      <c r="G340" s="105"/>
      <c r="H340" s="105"/>
      <c r="I340" s="1"/>
      <c r="J340" s="1"/>
      <c r="K340" s="1"/>
      <c r="L340" s="1"/>
      <c r="M340" s="1"/>
      <c r="N340" s="1"/>
      <c r="O340" s="1"/>
      <c r="P340" s="1"/>
      <c r="Q340" s="1"/>
      <c r="R340" s="1"/>
      <c r="S340" s="1"/>
      <c r="T340" s="1"/>
      <c r="U340" s="1"/>
      <c r="V340" s="1"/>
      <c r="W340" s="1"/>
      <c r="X340" s="1"/>
    </row>
    <row r="341" spans="1:24" ht="12.75" customHeight="1" x14ac:dyDescent="0.2">
      <c r="A341" s="1"/>
      <c r="B341" s="1"/>
      <c r="C341" s="89"/>
      <c r="D341" s="89"/>
      <c r="E341" s="93"/>
      <c r="F341" s="93"/>
      <c r="G341" s="105"/>
      <c r="H341" s="105"/>
      <c r="I341" s="1"/>
      <c r="J341" s="1"/>
      <c r="K341" s="1"/>
      <c r="L341" s="1"/>
      <c r="M341" s="1"/>
      <c r="N341" s="1"/>
      <c r="O341" s="1"/>
      <c r="P341" s="1"/>
      <c r="Q341" s="1"/>
      <c r="R341" s="1"/>
      <c r="S341" s="1"/>
      <c r="T341" s="1"/>
      <c r="U341" s="1"/>
      <c r="V341" s="1"/>
      <c r="W341" s="1"/>
      <c r="X341" s="1"/>
    </row>
    <row r="342" spans="1:24" ht="12.75" customHeight="1" x14ac:dyDescent="0.2">
      <c r="A342" s="1"/>
      <c r="B342" s="1"/>
      <c r="C342" s="89"/>
      <c r="D342" s="89"/>
      <c r="E342" s="93"/>
      <c r="F342" s="93"/>
      <c r="G342" s="105"/>
      <c r="H342" s="105"/>
      <c r="I342" s="1"/>
      <c r="J342" s="1"/>
      <c r="K342" s="1"/>
      <c r="L342" s="1"/>
      <c r="M342" s="1"/>
      <c r="N342" s="1"/>
      <c r="O342" s="1"/>
      <c r="P342" s="1"/>
      <c r="Q342" s="1"/>
      <c r="R342" s="1"/>
      <c r="S342" s="1"/>
      <c r="T342" s="1"/>
      <c r="U342" s="1"/>
      <c r="V342" s="1"/>
      <c r="W342" s="1"/>
      <c r="X342" s="1"/>
    </row>
    <row r="343" spans="1:24" ht="12.75" customHeight="1" x14ac:dyDescent="0.2">
      <c r="A343" s="1"/>
      <c r="B343" s="1"/>
      <c r="C343" s="89"/>
      <c r="D343" s="89"/>
      <c r="E343" s="93"/>
      <c r="F343" s="93"/>
      <c r="G343" s="105"/>
      <c r="H343" s="105"/>
      <c r="I343" s="1"/>
      <c r="J343" s="1"/>
      <c r="K343" s="1"/>
      <c r="L343" s="1"/>
      <c r="M343" s="1"/>
      <c r="N343" s="1"/>
      <c r="O343" s="1"/>
      <c r="P343" s="1"/>
      <c r="Q343" s="1"/>
      <c r="R343" s="1"/>
      <c r="S343" s="1"/>
      <c r="T343" s="1"/>
      <c r="U343" s="1"/>
      <c r="V343" s="1"/>
      <c r="W343" s="1"/>
      <c r="X343" s="1"/>
    </row>
    <row r="344" spans="1:24" ht="12.75" customHeight="1" x14ac:dyDescent="0.2">
      <c r="A344" s="1"/>
      <c r="B344" s="1"/>
      <c r="C344" s="89"/>
      <c r="D344" s="89"/>
      <c r="E344" s="93"/>
      <c r="F344" s="93"/>
      <c r="G344" s="105"/>
      <c r="H344" s="105"/>
      <c r="I344" s="1"/>
      <c r="J344" s="1"/>
      <c r="K344" s="1"/>
      <c r="L344" s="1"/>
      <c r="M344" s="1"/>
      <c r="N344" s="1"/>
      <c r="O344" s="1"/>
      <c r="P344" s="1"/>
      <c r="Q344" s="1"/>
      <c r="R344" s="1"/>
      <c r="S344" s="1"/>
      <c r="T344" s="1"/>
      <c r="U344" s="1"/>
      <c r="V344" s="1"/>
      <c r="W344" s="1"/>
      <c r="X344" s="1"/>
    </row>
    <row r="345" spans="1:24" ht="12.75" customHeight="1" x14ac:dyDescent="0.2">
      <c r="A345" s="1"/>
      <c r="B345" s="1"/>
      <c r="C345" s="89"/>
      <c r="D345" s="89"/>
      <c r="E345" s="93"/>
      <c r="F345" s="93"/>
      <c r="G345" s="105"/>
      <c r="H345" s="105"/>
      <c r="I345" s="1"/>
      <c r="J345" s="1"/>
      <c r="K345" s="1"/>
      <c r="L345" s="1"/>
      <c r="M345" s="1"/>
      <c r="N345" s="1"/>
      <c r="O345" s="1"/>
      <c r="P345" s="1"/>
      <c r="Q345" s="1"/>
      <c r="R345" s="1"/>
      <c r="S345" s="1"/>
      <c r="T345" s="1"/>
      <c r="U345" s="1"/>
      <c r="V345" s="1"/>
      <c r="W345" s="1"/>
      <c r="X345" s="1"/>
    </row>
    <row r="346" spans="1:24" ht="12.75" customHeight="1" x14ac:dyDescent="0.2">
      <c r="A346" s="1"/>
      <c r="B346" s="1"/>
      <c r="C346" s="89"/>
      <c r="D346" s="89"/>
      <c r="E346" s="93"/>
      <c r="F346" s="93"/>
      <c r="G346" s="105"/>
      <c r="H346" s="105"/>
      <c r="I346" s="1"/>
      <c r="J346" s="1"/>
      <c r="K346" s="1"/>
      <c r="L346" s="1"/>
      <c r="M346" s="1"/>
      <c r="N346" s="1"/>
      <c r="O346" s="1"/>
      <c r="P346" s="1"/>
      <c r="Q346" s="1"/>
      <c r="R346" s="1"/>
      <c r="S346" s="1"/>
      <c r="T346" s="1"/>
      <c r="U346" s="1"/>
      <c r="V346" s="1"/>
      <c r="W346" s="1"/>
      <c r="X346" s="1"/>
    </row>
    <row r="347" spans="1:24" ht="12.75" customHeight="1" x14ac:dyDescent="0.2">
      <c r="A347" s="1"/>
      <c r="B347" s="1"/>
      <c r="C347" s="89"/>
      <c r="D347" s="89"/>
      <c r="E347" s="93"/>
      <c r="F347" s="93"/>
      <c r="G347" s="105"/>
      <c r="H347" s="105"/>
      <c r="I347" s="1"/>
      <c r="J347" s="1"/>
      <c r="K347" s="1"/>
      <c r="L347" s="1"/>
      <c r="M347" s="1"/>
      <c r="N347" s="1"/>
      <c r="O347" s="1"/>
      <c r="P347" s="1"/>
      <c r="Q347" s="1"/>
      <c r="R347" s="1"/>
      <c r="S347" s="1"/>
      <c r="T347" s="1"/>
      <c r="U347" s="1"/>
      <c r="V347" s="1"/>
      <c r="W347" s="1"/>
      <c r="X347" s="1"/>
    </row>
    <row r="348" spans="1:24" ht="12.75" customHeight="1" x14ac:dyDescent="0.2">
      <c r="A348" s="1"/>
      <c r="B348" s="1"/>
      <c r="C348" s="89"/>
      <c r="D348" s="89"/>
      <c r="E348" s="93"/>
      <c r="F348" s="93"/>
      <c r="G348" s="105"/>
      <c r="H348" s="105"/>
      <c r="I348" s="1"/>
      <c r="J348" s="1"/>
      <c r="K348" s="1"/>
      <c r="L348" s="1"/>
      <c r="M348" s="1"/>
      <c r="N348" s="1"/>
      <c r="O348" s="1"/>
      <c r="P348" s="1"/>
      <c r="Q348" s="1"/>
      <c r="R348" s="1"/>
      <c r="S348" s="1"/>
      <c r="T348" s="1"/>
      <c r="U348" s="1"/>
      <c r="V348" s="1"/>
      <c r="W348" s="1"/>
      <c r="X348" s="1"/>
    </row>
    <row r="349" spans="1:24" ht="12.75" customHeight="1" x14ac:dyDescent="0.2">
      <c r="A349" s="1"/>
      <c r="B349" s="1"/>
      <c r="C349" s="89"/>
      <c r="D349" s="89"/>
      <c r="E349" s="93"/>
      <c r="F349" s="93"/>
      <c r="G349" s="105"/>
      <c r="H349" s="105"/>
      <c r="I349" s="1"/>
      <c r="J349" s="1"/>
      <c r="K349" s="1"/>
      <c r="L349" s="1"/>
      <c r="M349" s="1"/>
      <c r="N349" s="1"/>
      <c r="O349" s="1"/>
      <c r="P349" s="1"/>
      <c r="Q349" s="1"/>
      <c r="R349" s="1"/>
      <c r="S349" s="1"/>
      <c r="T349" s="1"/>
      <c r="U349" s="1"/>
      <c r="V349" s="1"/>
      <c r="W349" s="1"/>
      <c r="X349" s="1"/>
    </row>
    <row r="350" spans="1:24" ht="12.75" customHeight="1" x14ac:dyDescent="0.2">
      <c r="A350" s="1"/>
      <c r="B350" s="1"/>
      <c r="C350" s="89"/>
      <c r="D350" s="89"/>
      <c r="E350" s="93"/>
      <c r="F350" s="93"/>
      <c r="G350" s="105"/>
      <c r="H350" s="105"/>
      <c r="I350" s="1"/>
      <c r="J350" s="1"/>
      <c r="K350" s="1"/>
      <c r="L350" s="1"/>
      <c r="M350" s="1"/>
      <c r="N350" s="1"/>
      <c r="O350" s="1"/>
      <c r="P350" s="1"/>
      <c r="Q350" s="1"/>
      <c r="R350" s="1"/>
      <c r="S350" s="1"/>
      <c r="T350" s="1"/>
      <c r="U350" s="1"/>
      <c r="V350" s="1"/>
      <c r="W350" s="1"/>
      <c r="X350" s="1"/>
    </row>
    <row r="351" spans="1:24" ht="12.75" customHeight="1" x14ac:dyDescent="0.2">
      <c r="A351" s="1"/>
      <c r="B351" s="1"/>
      <c r="C351" s="89"/>
      <c r="D351" s="89"/>
      <c r="E351" s="93"/>
      <c r="F351" s="93"/>
      <c r="G351" s="105"/>
      <c r="H351" s="105"/>
      <c r="I351" s="1"/>
      <c r="J351" s="1"/>
      <c r="K351" s="1"/>
      <c r="L351" s="1"/>
      <c r="M351" s="1"/>
      <c r="N351" s="1"/>
      <c r="O351" s="1"/>
      <c r="P351" s="1"/>
      <c r="Q351" s="1"/>
      <c r="R351" s="1"/>
      <c r="S351" s="1"/>
      <c r="T351" s="1"/>
      <c r="U351" s="1"/>
      <c r="V351" s="1"/>
      <c r="W351" s="1"/>
      <c r="X351" s="1"/>
    </row>
    <row r="352" spans="1:24" ht="12.75" customHeight="1" x14ac:dyDescent="0.2">
      <c r="A352" s="1"/>
      <c r="B352" s="1"/>
      <c r="C352" s="89"/>
      <c r="D352" s="89"/>
      <c r="E352" s="93"/>
      <c r="F352" s="93"/>
      <c r="G352" s="105"/>
      <c r="H352" s="105"/>
      <c r="I352" s="1"/>
      <c r="J352" s="1"/>
      <c r="K352" s="1"/>
      <c r="L352" s="1"/>
      <c r="M352" s="1"/>
      <c r="N352" s="1"/>
      <c r="O352" s="1"/>
      <c r="P352" s="1"/>
      <c r="Q352" s="1"/>
      <c r="R352" s="1"/>
      <c r="S352" s="1"/>
      <c r="T352" s="1"/>
      <c r="U352" s="1"/>
      <c r="V352" s="1"/>
      <c r="W352" s="1"/>
      <c r="X352" s="1"/>
    </row>
    <row r="353" spans="1:24" ht="12.75" customHeight="1" x14ac:dyDescent="0.2">
      <c r="A353" s="1"/>
      <c r="B353" s="1"/>
      <c r="C353" s="89"/>
      <c r="D353" s="89"/>
      <c r="E353" s="93"/>
      <c r="F353" s="93"/>
      <c r="G353" s="105"/>
      <c r="H353" s="105"/>
      <c r="I353" s="1"/>
      <c r="J353" s="1"/>
      <c r="K353" s="1"/>
      <c r="L353" s="1"/>
      <c r="M353" s="1"/>
      <c r="N353" s="1"/>
      <c r="O353" s="1"/>
      <c r="P353" s="1"/>
      <c r="Q353" s="1"/>
      <c r="R353" s="1"/>
      <c r="S353" s="1"/>
      <c r="T353" s="1"/>
      <c r="U353" s="1"/>
      <c r="V353" s="1"/>
      <c r="W353" s="1"/>
      <c r="X353" s="1"/>
    </row>
    <row r="354" spans="1:24" ht="12.75" customHeight="1" x14ac:dyDescent="0.2">
      <c r="A354" s="1"/>
      <c r="B354" s="1"/>
      <c r="C354" s="89"/>
      <c r="D354" s="89"/>
      <c r="E354" s="93"/>
      <c r="F354" s="93"/>
      <c r="G354" s="105"/>
      <c r="H354" s="105"/>
      <c r="I354" s="1"/>
      <c r="J354" s="1"/>
      <c r="K354" s="1"/>
      <c r="L354" s="1"/>
      <c r="M354" s="1"/>
      <c r="N354" s="1"/>
      <c r="O354" s="1"/>
      <c r="P354" s="1"/>
      <c r="Q354" s="1"/>
      <c r="R354" s="1"/>
      <c r="S354" s="1"/>
      <c r="T354" s="1"/>
      <c r="U354" s="1"/>
      <c r="V354" s="1"/>
      <c r="W354" s="1"/>
      <c r="X354" s="1"/>
    </row>
    <row r="355" spans="1:24" ht="12.75" customHeight="1" x14ac:dyDescent="0.2">
      <c r="A355" s="1"/>
      <c r="B355" s="1"/>
      <c r="C355" s="89"/>
      <c r="D355" s="89"/>
      <c r="E355" s="93"/>
      <c r="F355" s="93"/>
      <c r="G355" s="105"/>
      <c r="H355" s="105"/>
      <c r="I355" s="1"/>
      <c r="J355" s="1"/>
      <c r="K355" s="1"/>
      <c r="L355" s="1"/>
      <c r="M355" s="1"/>
      <c r="N355" s="1"/>
      <c r="O355" s="1"/>
      <c r="P355" s="1"/>
      <c r="Q355" s="1"/>
      <c r="R355" s="1"/>
      <c r="S355" s="1"/>
      <c r="T355" s="1"/>
      <c r="U355" s="1"/>
      <c r="V355" s="1"/>
      <c r="W355" s="1"/>
      <c r="X355" s="1"/>
    </row>
    <row r="356" spans="1:24" ht="12.75" customHeight="1" x14ac:dyDescent="0.2">
      <c r="A356" s="1"/>
      <c r="B356" s="1"/>
      <c r="C356" s="89"/>
      <c r="D356" s="89"/>
      <c r="E356" s="93"/>
      <c r="F356" s="93"/>
      <c r="G356" s="105"/>
      <c r="H356" s="105"/>
      <c r="I356" s="1"/>
      <c r="J356" s="1"/>
      <c r="K356" s="1"/>
      <c r="L356" s="1"/>
      <c r="M356" s="1"/>
      <c r="N356" s="1"/>
      <c r="O356" s="1"/>
      <c r="P356" s="1"/>
      <c r="Q356" s="1"/>
      <c r="R356" s="1"/>
      <c r="S356" s="1"/>
      <c r="T356" s="1"/>
      <c r="U356" s="1"/>
      <c r="V356" s="1"/>
      <c r="W356" s="1"/>
      <c r="X356" s="1"/>
    </row>
    <row r="357" spans="1:24" ht="12.75" customHeight="1" x14ac:dyDescent="0.2">
      <c r="A357" s="1"/>
      <c r="B357" s="1"/>
      <c r="C357" s="89"/>
      <c r="D357" s="89"/>
      <c r="E357" s="93"/>
      <c r="F357" s="93"/>
      <c r="G357" s="105"/>
      <c r="H357" s="105"/>
      <c r="I357" s="1"/>
      <c r="J357" s="1"/>
      <c r="K357" s="1"/>
      <c r="L357" s="1"/>
      <c r="M357" s="1"/>
      <c r="N357" s="1"/>
      <c r="O357" s="1"/>
      <c r="P357" s="1"/>
      <c r="Q357" s="1"/>
      <c r="R357" s="1"/>
      <c r="S357" s="1"/>
      <c r="T357" s="1"/>
      <c r="U357" s="1"/>
      <c r="V357" s="1"/>
      <c r="W357" s="1"/>
      <c r="X357" s="1"/>
    </row>
    <row r="358" spans="1:24" ht="12.75" customHeight="1" x14ac:dyDescent="0.2">
      <c r="A358" s="1"/>
      <c r="B358" s="1"/>
      <c r="C358" s="89"/>
      <c r="D358" s="89"/>
      <c r="E358" s="93"/>
      <c r="F358" s="93"/>
      <c r="G358" s="105"/>
      <c r="H358" s="105"/>
      <c r="I358" s="1"/>
      <c r="J358" s="1"/>
      <c r="K358" s="1"/>
      <c r="L358" s="1"/>
      <c r="M358" s="1"/>
      <c r="N358" s="1"/>
      <c r="O358" s="1"/>
      <c r="P358" s="1"/>
      <c r="Q358" s="1"/>
      <c r="R358" s="1"/>
      <c r="S358" s="1"/>
      <c r="T358" s="1"/>
      <c r="U358" s="1"/>
      <c r="V358" s="1"/>
      <c r="W358" s="1"/>
      <c r="X358" s="1"/>
    </row>
    <row r="359" spans="1:24" ht="12.75" customHeight="1" x14ac:dyDescent="0.2">
      <c r="A359" s="1"/>
      <c r="B359" s="1"/>
      <c r="C359" s="89"/>
      <c r="D359" s="89"/>
      <c r="E359" s="93"/>
      <c r="F359" s="93"/>
      <c r="G359" s="105"/>
      <c r="H359" s="105"/>
      <c r="I359" s="1"/>
      <c r="J359" s="1"/>
      <c r="K359" s="1"/>
      <c r="L359" s="1"/>
      <c r="M359" s="1"/>
      <c r="N359" s="1"/>
      <c r="O359" s="1"/>
      <c r="P359" s="1"/>
      <c r="Q359" s="1"/>
      <c r="R359" s="1"/>
      <c r="S359" s="1"/>
      <c r="T359" s="1"/>
      <c r="U359" s="1"/>
      <c r="V359" s="1"/>
      <c r="W359" s="1"/>
      <c r="X359" s="1"/>
    </row>
    <row r="360" spans="1:24" ht="12.75" customHeight="1" x14ac:dyDescent="0.2">
      <c r="A360" s="1"/>
      <c r="B360" s="1"/>
      <c r="C360" s="89"/>
      <c r="D360" s="89"/>
      <c r="E360" s="93"/>
      <c r="F360" s="93"/>
      <c r="G360" s="105"/>
      <c r="H360" s="105"/>
      <c r="I360" s="1"/>
      <c r="J360" s="1"/>
      <c r="K360" s="1"/>
      <c r="L360" s="1"/>
      <c r="M360" s="1"/>
      <c r="N360" s="1"/>
      <c r="O360" s="1"/>
      <c r="P360" s="1"/>
      <c r="Q360" s="1"/>
      <c r="R360" s="1"/>
      <c r="S360" s="1"/>
      <c r="T360" s="1"/>
      <c r="U360" s="1"/>
      <c r="V360" s="1"/>
      <c r="W360" s="1"/>
      <c r="X360" s="1"/>
    </row>
    <row r="361" spans="1:24" ht="12.75" customHeight="1" x14ac:dyDescent="0.2">
      <c r="A361" s="1"/>
      <c r="B361" s="1"/>
      <c r="C361" s="89"/>
      <c r="D361" s="89"/>
      <c r="E361" s="93"/>
      <c r="F361" s="93"/>
      <c r="G361" s="105"/>
      <c r="H361" s="105"/>
      <c r="I361" s="1"/>
      <c r="J361" s="1"/>
      <c r="K361" s="1"/>
      <c r="L361" s="1"/>
      <c r="M361" s="1"/>
      <c r="N361" s="1"/>
      <c r="O361" s="1"/>
      <c r="P361" s="1"/>
      <c r="Q361" s="1"/>
      <c r="R361" s="1"/>
      <c r="S361" s="1"/>
      <c r="T361" s="1"/>
      <c r="U361" s="1"/>
      <c r="V361" s="1"/>
      <c r="W361" s="1"/>
      <c r="X361" s="1"/>
    </row>
    <row r="362" spans="1:24" ht="12.75" customHeight="1" x14ac:dyDescent="0.2">
      <c r="A362" s="1"/>
      <c r="B362" s="1"/>
      <c r="C362" s="89"/>
      <c r="D362" s="89"/>
      <c r="E362" s="93"/>
      <c r="F362" s="93"/>
      <c r="G362" s="105"/>
      <c r="H362" s="105"/>
      <c r="I362" s="1"/>
      <c r="J362" s="1"/>
      <c r="K362" s="1"/>
      <c r="L362" s="1"/>
      <c r="M362" s="1"/>
      <c r="N362" s="1"/>
      <c r="O362" s="1"/>
      <c r="P362" s="1"/>
      <c r="Q362" s="1"/>
      <c r="R362" s="1"/>
      <c r="S362" s="1"/>
      <c r="T362" s="1"/>
      <c r="U362" s="1"/>
      <c r="V362" s="1"/>
      <c r="W362" s="1"/>
      <c r="X362" s="1"/>
    </row>
    <row r="363" spans="1:24" ht="12.75" customHeight="1" x14ac:dyDescent="0.2">
      <c r="A363" s="1"/>
      <c r="B363" s="1"/>
      <c r="C363" s="89"/>
      <c r="D363" s="89"/>
      <c r="E363" s="93"/>
      <c r="F363" s="93"/>
      <c r="G363" s="105"/>
      <c r="H363" s="105"/>
      <c r="I363" s="1"/>
      <c r="J363" s="1"/>
      <c r="K363" s="1"/>
      <c r="L363" s="1"/>
      <c r="M363" s="1"/>
      <c r="N363" s="1"/>
      <c r="O363" s="1"/>
      <c r="P363" s="1"/>
      <c r="Q363" s="1"/>
      <c r="R363" s="1"/>
      <c r="S363" s="1"/>
      <c r="T363" s="1"/>
      <c r="U363" s="1"/>
      <c r="V363" s="1"/>
      <c r="W363" s="1"/>
      <c r="X363" s="1"/>
    </row>
    <row r="364" spans="1:24" ht="12.75" customHeight="1" x14ac:dyDescent="0.2">
      <c r="A364" s="1"/>
      <c r="B364" s="1"/>
      <c r="C364" s="89"/>
      <c r="D364" s="89"/>
      <c r="E364" s="93"/>
      <c r="F364" s="93"/>
      <c r="G364" s="105"/>
      <c r="H364" s="105"/>
      <c r="I364" s="1"/>
      <c r="J364" s="1"/>
      <c r="K364" s="1"/>
      <c r="L364" s="1"/>
      <c r="M364" s="1"/>
      <c r="N364" s="1"/>
      <c r="O364" s="1"/>
      <c r="P364" s="1"/>
      <c r="Q364" s="1"/>
      <c r="R364" s="1"/>
      <c r="S364" s="1"/>
      <c r="T364" s="1"/>
      <c r="U364" s="1"/>
      <c r="V364" s="1"/>
      <c r="W364" s="1"/>
      <c r="X364" s="1"/>
    </row>
    <row r="365" spans="1:24" ht="12.75" customHeight="1" x14ac:dyDescent="0.2">
      <c r="A365" s="1"/>
      <c r="B365" s="1"/>
      <c r="C365" s="89"/>
      <c r="D365" s="89"/>
      <c r="E365" s="93"/>
      <c r="F365" s="93"/>
      <c r="G365" s="105"/>
      <c r="H365" s="105"/>
      <c r="I365" s="1"/>
      <c r="J365" s="1"/>
      <c r="K365" s="1"/>
      <c r="L365" s="1"/>
      <c r="M365" s="1"/>
      <c r="N365" s="1"/>
      <c r="O365" s="1"/>
      <c r="P365" s="1"/>
      <c r="Q365" s="1"/>
      <c r="R365" s="1"/>
      <c r="S365" s="1"/>
      <c r="T365" s="1"/>
      <c r="U365" s="1"/>
      <c r="V365" s="1"/>
      <c r="W365" s="1"/>
      <c r="X365" s="1"/>
    </row>
    <row r="366" spans="1:24" ht="12.75" customHeight="1" x14ac:dyDescent="0.2">
      <c r="A366" s="1"/>
      <c r="B366" s="1"/>
      <c r="C366" s="89"/>
      <c r="D366" s="89"/>
      <c r="E366" s="93"/>
      <c r="F366" s="93"/>
      <c r="G366" s="105"/>
      <c r="H366" s="105"/>
      <c r="I366" s="1"/>
      <c r="J366" s="1"/>
      <c r="K366" s="1"/>
      <c r="L366" s="1"/>
      <c r="M366" s="1"/>
      <c r="N366" s="1"/>
      <c r="O366" s="1"/>
      <c r="P366" s="1"/>
      <c r="Q366" s="1"/>
      <c r="R366" s="1"/>
      <c r="S366" s="1"/>
      <c r="T366" s="1"/>
      <c r="U366" s="1"/>
      <c r="V366" s="1"/>
      <c r="W366" s="1"/>
      <c r="X366" s="1"/>
    </row>
    <row r="367" spans="1:24" ht="12.75" customHeight="1" x14ac:dyDescent="0.2">
      <c r="A367" s="1"/>
      <c r="B367" s="1"/>
      <c r="C367" s="89"/>
      <c r="D367" s="89"/>
      <c r="E367" s="93"/>
      <c r="F367" s="93"/>
      <c r="G367" s="105"/>
      <c r="H367" s="105"/>
      <c r="I367" s="1"/>
      <c r="J367" s="1"/>
      <c r="K367" s="1"/>
      <c r="L367" s="1"/>
      <c r="M367" s="1"/>
      <c r="N367" s="1"/>
      <c r="O367" s="1"/>
      <c r="P367" s="1"/>
      <c r="Q367" s="1"/>
      <c r="R367" s="1"/>
      <c r="S367" s="1"/>
      <c r="T367" s="1"/>
      <c r="U367" s="1"/>
      <c r="V367" s="1"/>
      <c r="W367" s="1"/>
      <c r="X367" s="1"/>
    </row>
    <row r="368" spans="1:24" ht="12.75" customHeight="1" x14ac:dyDescent="0.2">
      <c r="A368" s="1"/>
      <c r="B368" s="1"/>
      <c r="C368" s="89"/>
      <c r="D368" s="89"/>
      <c r="E368" s="93"/>
      <c r="F368" s="93"/>
      <c r="G368" s="105"/>
      <c r="H368" s="105"/>
      <c r="I368" s="1"/>
      <c r="J368" s="1"/>
      <c r="K368" s="1"/>
      <c r="L368" s="1"/>
      <c r="M368" s="1"/>
      <c r="N368" s="1"/>
      <c r="O368" s="1"/>
      <c r="P368" s="1"/>
      <c r="Q368" s="1"/>
      <c r="R368" s="1"/>
      <c r="S368" s="1"/>
      <c r="T368" s="1"/>
      <c r="U368" s="1"/>
      <c r="V368" s="1"/>
      <c r="W368" s="1"/>
      <c r="X368" s="1"/>
    </row>
    <row r="369" spans="1:24" ht="12.75" customHeight="1" x14ac:dyDescent="0.2">
      <c r="A369" s="1"/>
      <c r="B369" s="1"/>
      <c r="C369" s="89"/>
      <c r="D369" s="89"/>
      <c r="E369" s="93"/>
      <c r="F369" s="93"/>
      <c r="G369" s="105"/>
      <c r="H369" s="105"/>
      <c r="I369" s="1"/>
      <c r="J369" s="1"/>
      <c r="K369" s="1"/>
      <c r="L369" s="1"/>
      <c r="M369" s="1"/>
      <c r="N369" s="1"/>
      <c r="O369" s="1"/>
      <c r="P369" s="1"/>
      <c r="Q369" s="1"/>
      <c r="R369" s="1"/>
      <c r="S369" s="1"/>
      <c r="T369" s="1"/>
      <c r="U369" s="1"/>
      <c r="V369" s="1"/>
      <c r="W369" s="1"/>
      <c r="X369" s="1"/>
    </row>
    <row r="370" spans="1:24" ht="12.75" customHeight="1" x14ac:dyDescent="0.2">
      <c r="A370" s="1"/>
      <c r="B370" s="1"/>
      <c r="C370" s="89"/>
      <c r="D370" s="89"/>
      <c r="E370" s="93"/>
      <c r="F370" s="93"/>
      <c r="G370" s="105"/>
      <c r="H370" s="105"/>
      <c r="I370" s="1"/>
      <c r="J370" s="1"/>
      <c r="K370" s="1"/>
      <c r="L370" s="1"/>
      <c r="M370" s="1"/>
      <c r="N370" s="1"/>
      <c r="O370" s="1"/>
      <c r="P370" s="1"/>
      <c r="Q370" s="1"/>
      <c r="R370" s="1"/>
      <c r="S370" s="1"/>
      <c r="T370" s="1"/>
      <c r="U370" s="1"/>
      <c r="V370" s="1"/>
      <c r="W370" s="1"/>
      <c r="X370" s="1"/>
    </row>
    <row r="371" spans="1:24" ht="12.75" customHeight="1" x14ac:dyDescent="0.2">
      <c r="A371" s="1"/>
      <c r="B371" s="1"/>
      <c r="C371" s="89"/>
      <c r="D371" s="89"/>
      <c r="E371" s="93"/>
      <c r="F371" s="93"/>
      <c r="G371" s="105"/>
      <c r="H371" s="105"/>
      <c r="I371" s="1"/>
      <c r="J371" s="1"/>
      <c r="K371" s="1"/>
      <c r="L371" s="1"/>
      <c r="M371" s="1"/>
      <c r="N371" s="1"/>
      <c r="O371" s="1"/>
      <c r="P371" s="1"/>
      <c r="Q371" s="1"/>
      <c r="R371" s="1"/>
      <c r="S371" s="1"/>
      <c r="T371" s="1"/>
      <c r="U371" s="1"/>
      <c r="V371" s="1"/>
      <c r="W371" s="1"/>
      <c r="X371" s="1"/>
    </row>
    <row r="372" spans="1:24" ht="12.75" customHeight="1" x14ac:dyDescent="0.2">
      <c r="A372" s="1"/>
      <c r="B372" s="1"/>
      <c r="C372" s="89"/>
      <c r="D372" s="89"/>
      <c r="E372" s="93"/>
      <c r="F372" s="93"/>
      <c r="G372" s="105"/>
      <c r="H372" s="105"/>
      <c r="I372" s="1"/>
      <c r="J372" s="1"/>
      <c r="K372" s="1"/>
      <c r="L372" s="1"/>
      <c r="M372" s="1"/>
      <c r="N372" s="1"/>
      <c r="O372" s="1"/>
      <c r="P372" s="1"/>
      <c r="Q372" s="1"/>
      <c r="R372" s="1"/>
      <c r="S372" s="1"/>
      <c r="T372" s="1"/>
      <c r="U372" s="1"/>
      <c r="V372" s="1"/>
      <c r="W372" s="1"/>
      <c r="X372" s="1"/>
    </row>
    <row r="373" spans="1:24" ht="12.75" customHeight="1" x14ac:dyDescent="0.2">
      <c r="A373" s="1"/>
      <c r="B373" s="1"/>
      <c r="C373" s="89"/>
      <c r="D373" s="89"/>
      <c r="E373" s="93"/>
      <c r="F373" s="93"/>
      <c r="G373" s="105"/>
      <c r="H373" s="105"/>
      <c r="I373" s="1"/>
      <c r="J373" s="1"/>
      <c r="K373" s="1"/>
      <c r="L373" s="1"/>
      <c r="M373" s="1"/>
      <c r="N373" s="1"/>
      <c r="O373" s="1"/>
      <c r="P373" s="1"/>
      <c r="Q373" s="1"/>
      <c r="R373" s="1"/>
      <c r="S373" s="1"/>
      <c r="T373" s="1"/>
      <c r="U373" s="1"/>
      <c r="V373" s="1"/>
      <c r="W373" s="1"/>
      <c r="X373" s="1"/>
    </row>
    <row r="374" spans="1:24" ht="12.75" customHeight="1" x14ac:dyDescent="0.2">
      <c r="A374" s="1"/>
      <c r="B374" s="1"/>
      <c r="C374" s="89"/>
      <c r="D374" s="89"/>
      <c r="E374" s="93"/>
      <c r="F374" s="93"/>
      <c r="G374" s="105"/>
      <c r="H374" s="105"/>
      <c r="I374" s="1"/>
      <c r="J374" s="1"/>
      <c r="K374" s="1"/>
      <c r="L374" s="1"/>
      <c r="M374" s="1"/>
      <c r="N374" s="1"/>
      <c r="O374" s="1"/>
      <c r="P374" s="1"/>
      <c r="Q374" s="1"/>
      <c r="R374" s="1"/>
      <c r="S374" s="1"/>
      <c r="T374" s="1"/>
      <c r="U374" s="1"/>
      <c r="V374" s="1"/>
      <c r="W374" s="1"/>
      <c r="X374" s="1"/>
    </row>
    <row r="375" spans="1:24" ht="12.75" customHeight="1" x14ac:dyDescent="0.2">
      <c r="A375" s="1"/>
      <c r="B375" s="1"/>
      <c r="C375" s="89"/>
      <c r="D375" s="89"/>
      <c r="E375" s="93"/>
      <c r="F375" s="93"/>
      <c r="G375" s="105"/>
      <c r="H375" s="105"/>
      <c r="I375" s="1"/>
      <c r="J375" s="1"/>
      <c r="K375" s="1"/>
      <c r="L375" s="1"/>
      <c r="M375" s="1"/>
      <c r="N375" s="1"/>
      <c r="O375" s="1"/>
      <c r="P375" s="1"/>
      <c r="Q375" s="1"/>
      <c r="R375" s="1"/>
      <c r="S375" s="1"/>
      <c r="T375" s="1"/>
      <c r="U375" s="1"/>
      <c r="V375" s="1"/>
      <c r="W375" s="1"/>
      <c r="X375" s="1"/>
    </row>
    <row r="376" spans="1:24" ht="12.75" customHeight="1" x14ac:dyDescent="0.2">
      <c r="A376" s="1"/>
      <c r="B376" s="1"/>
      <c r="C376" s="89"/>
      <c r="D376" s="89"/>
      <c r="E376" s="93"/>
      <c r="F376" s="93"/>
      <c r="G376" s="105"/>
      <c r="H376" s="105"/>
      <c r="I376" s="1"/>
      <c r="J376" s="1"/>
      <c r="K376" s="1"/>
      <c r="L376" s="1"/>
      <c r="M376" s="1"/>
      <c r="N376" s="1"/>
      <c r="O376" s="1"/>
      <c r="P376" s="1"/>
      <c r="Q376" s="1"/>
      <c r="R376" s="1"/>
      <c r="S376" s="1"/>
      <c r="T376" s="1"/>
      <c r="U376" s="1"/>
      <c r="V376" s="1"/>
      <c r="W376" s="1"/>
      <c r="X376" s="1"/>
    </row>
    <row r="377" spans="1:24" ht="12.75" customHeight="1" x14ac:dyDescent="0.2">
      <c r="A377" s="1"/>
      <c r="B377" s="1"/>
      <c r="C377" s="89"/>
      <c r="D377" s="89"/>
      <c r="E377" s="93"/>
      <c r="F377" s="93"/>
      <c r="G377" s="105"/>
      <c r="H377" s="105"/>
      <c r="I377" s="1"/>
      <c r="J377" s="1"/>
      <c r="K377" s="1"/>
      <c r="L377" s="1"/>
      <c r="M377" s="1"/>
      <c r="N377" s="1"/>
      <c r="O377" s="1"/>
      <c r="P377" s="1"/>
      <c r="Q377" s="1"/>
      <c r="R377" s="1"/>
      <c r="S377" s="1"/>
      <c r="T377" s="1"/>
      <c r="U377" s="1"/>
      <c r="V377" s="1"/>
      <c r="W377" s="1"/>
      <c r="X377" s="1"/>
    </row>
    <row r="378" spans="1:24" ht="12.75" customHeight="1" x14ac:dyDescent="0.2">
      <c r="A378" s="1"/>
      <c r="B378" s="1"/>
      <c r="C378" s="89"/>
      <c r="D378" s="89"/>
      <c r="E378" s="93"/>
      <c r="F378" s="93"/>
      <c r="G378" s="105"/>
      <c r="H378" s="105"/>
      <c r="I378" s="1"/>
      <c r="J378" s="1"/>
      <c r="K378" s="1"/>
      <c r="L378" s="1"/>
      <c r="M378" s="1"/>
      <c r="N378" s="1"/>
      <c r="O378" s="1"/>
      <c r="P378" s="1"/>
      <c r="Q378" s="1"/>
      <c r="R378" s="1"/>
      <c r="S378" s="1"/>
      <c r="T378" s="1"/>
      <c r="U378" s="1"/>
      <c r="V378" s="1"/>
      <c r="W378" s="1"/>
      <c r="X378" s="1"/>
    </row>
    <row r="379" spans="1:24" ht="12.75" customHeight="1" x14ac:dyDescent="0.2">
      <c r="A379" s="1"/>
      <c r="B379" s="1"/>
      <c r="C379" s="89"/>
      <c r="D379" s="89"/>
      <c r="E379" s="93"/>
      <c r="F379" s="93"/>
      <c r="G379" s="105"/>
      <c r="H379" s="105"/>
      <c r="I379" s="1"/>
      <c r="J379" s="1"/>
      <c r="K379" s="1"/>
      <c r="L379" s="1"/>
      <c r="M379" s="1"/>
      <c r="N379" s="1"/>
      <c r="O379" s="1"/>
      <c r="P379" s="1"/>
      <c r="Q379" s="1"/>
      <c r="R379" s="1"/>
      <c r="S379" s="1"/>
      <c r="T379" s="1"/>
      <c r="U379" s="1"/>
      <c r="V379" s="1"/>
      <c r="W379" s="1"/>
      <c r="X379" s="1"/>
    </row>
    <row r="380" spans="1:24" ht="12.75" customHeight="1" x14ac:dyDescent="0.2">
      <c r="A380" s="1"/>
      <c r="B380" s="1"/>
      <c r="C380" s="89"/>
      <c r="D380" s="89"/>
      <c r="E380" s="93"/>
      <c r="F380" s="93"/>
      <c r="G380" s="105"/>
      <c r="H380" s="105"/>
      <c r="I380" s="1"/>
      <c r="J380" s="1"/>
      <c r="K380" s="1"/>
      <c r="L380" s="1"/>
      <c r="M380" s="1"/>
      <c r="N380" s="1"/>
      <c r="O380" s="1"/>
      <c r="P380" s="1"/>
      <c r="Q380" s="1"/>
      <c r="R380" s="1"/>
      <c r="S380" s="1"/>
      <c r="T380" s="1"/>
      <c r="U380" s="1"/>
      <c r="V380" s="1"/>
      <c r="W380" s="1"/>
      <c r="X380" s="1"/>
    </row>
    <row r="381" spans="1:24" ht="12.75" customHeight="1" x14ac:dyDescent="0.2">
      <c r="A381" s="1"/>
      <c r="B381" s="1"/>
      <c r="C381" s="89"/>
      <c r="D381" s="89"/>
      <c r="E381" s="93"/>
      <c r="F381" s="93"/>
      <c r="G381" s="105"/>
      <c r="H381" s="105"/>
      <c r="I381" s="1"/>
      <c r="J381" s="1"/>
      <c r="K381" s="1"/>
      <c r="L381" s="1"/>
      <c r="M381" s="1"/>
      <c r="N381" s="1"/>
      <c r="O381" s="1"/>
      <c r="P381" s="1"/>
      <c r="Q381" s="1"/>
      <c r="R381" s="1"/>
      <c r="S381" s="1"/>
      <c r="T381" s="1"/>
      <c r="U381" s="1"/>
      <c r="V381" s="1"/>
      <c r="W381" s="1"/>
      <c r="X381" s="1"/>
    </row>
    <row r="382" spans="1:24" ht="12.75" customHeight="1" x14ac:dyDescent="0.2">
      <c r="A382" s="1"/>
      <c r="B382" s="1"/>
      <c r="C382" s="89"/>
      <c r="D382" s="89"/>
      <c r="E382" s="93"/>
      <c r="F382" s="93"/>
      <c r="G382" s="105"/>
      <c r="H382" s="105"/>
      <c r="I382" s="1"/>
      <c r="J382" s="1"/>
      <c r="K382" s="1"/>
      <c r="L382" s="1"/>
      <c r="M382" s="1"/>
      <c r="N382" s="1"/>
      <c r="O382" s="1"/>
      <c r="P382" s="1"/>
      <c r="Q382" s="1"/>
      <c r="R382" s="1"/>
      <c r="S382" s="1"/>
      <c r="T382" s="1"/>
      <c r="U382" s="1"/>
      <c r="V382" s="1"/>
      <c r="W382" s="1"/>
      <c r="X382" s="1"/>
    </row>
    <row r="383" spans="1:24" ht="12.75" customHeight="1" x14ac:dyDescent="0.2">
      <c r="A383" s="1"/>
      <c r="B383" s="1"/>
      <c r="C383" s="89"/>
      <c r="D383" s="89"/>
      <c r="E383" s="93"/>
      <c r="F383" s="93"/>
      <c r="G383" s="105"/>
      <c r="H383" s="105"/>
      <c r="I383" s="1"/>
      <c r="J383" s="1"/>
      <c r="K383" s="1"/>
      <c r="L383" s="1"/>
      <c r="M383" s="1"/>
      <c r="N383" s="1"/>
      <c r="O383" s="1"/>
      <c r="P383" s="1"/>
      <c r="Q383" s="1"/>
      <c r="R383" s="1"/>
      <c r="S383" s="1"/>
      <c r="T383" s="1"/>
      <c r="U383" s="1"/>
      <c r="V383" s="1"/>
      <c r="W383" s="1"/>
      <c r="X383" s="1"/>
    </row>
    <row r="384" spans="1:24" ht="12.75" customHeight="1" x14ac:dyDescent="0.2">
      <c r="A384" s="1"/>
      <c r="B384" s="1"/>
      <c r="C384" s="89"/>
      <c r="D384" s="89"/>
      <c r="E384" s="93"/>
      <c r="F384" s="93"/>
      <c r="G384" s="105"/>
      <c r="H384" s="105"/>
      <c r="I384" s="1"/>
      <c r="J384" s="1"/>
      <c r="K384" s="1"/>
      <c r="L384" s="1"/>
      <c r="M384" s="1"/>
      <c r="N384" s="1"/>
      <c r="O384" s="1"/>
      <c r="P384" s="1"/>
      <c r="Q384" s="1"/>
      <c r="R384" s="1"/>
      <c r="S384" s="1"/>
      <c r="T384" s="1"/>
      <c r="U384" s="1"/>
      <c r="V384" s="1"/>
      <c r="W384" s="1"/>
      <c r="X384" s="1"/>
    </row>
    <row r="385" spans="1:24" ht="12.75" customHeight="1" x14ac:dyDescent="0.2">
      <c r="A385" s="1"/>
      <c r="B385" s="1"/>
      <c r="C385" s="89"/>
      <c r="D385" s="89"/>
      <c r="E385" s="93"/>
      <c r="F385" s="93"/>
      <c r="G385" s="105"/>
      <c r="H385" s="105"/>
      <c r="I385" s="1"/>
      <c r="J385" s="1"/>
      <c r="K385" s="1"/>
      <c r="L385" s="1"/>
      <c r="M385" s="1"/>
      <c r="N385" s="1"/>
      <c r="O385" s="1"/>
      <c r="P385" s="1"/>
      <c r="Q385" s="1"/>
      <c r="R385" s="1"/>
      <c r="S385" s="1"/>
      <c r="T385" s="1"/>
      <c r="U385" s="1"/>
      <c r="V385" s="1"/>
      <c r="W385" s="1"/>
      <c r="X385" s="1"/>
    </row>
    <row r="386" spans="1:24" ht="12.75" customHeight="1" x14ac:dyDescent="0.2">
      <c r="A386" s="1"/>
      <c r="B386" s="1"/>
      <c r="C386" s="89"/>
      <c r="D386" s="89"/>
      <c r="E386" s="93"/>
      <c r="F386" s="93"/>
      <c r="G386" s="105"/>
      <c r="H386" s="105"/>
      <c r="I386" s="1"/>
      <c r="J386" s="1"/>
      <c r="K386" s="1"/>
      <c r="L386" s="1"/>
      <c r="M386" s="1"/>
      <c r="N386" s="1"/>
      <c r="O386" s="1"/>
      <c r="P386" s="1"/>
      <c r="Q386" s="1"/>
      <c r="R386" s="1"/>
      <c r="S386" s="1"/>
      <c r="T386" s="1"/>
      <c r="U386" s="1"/>
      <c r="V386" s="1"/>
      <c r="W386" s="1"/>
      <c r="X386" s="1"/>
    </row>
    <row r="387" spans="1:24" ht="12.75" customHeight="1" x14ac:dyDescent="0.2">
      <c r="A387" s="1"/>
      <c r="B387" s="1"/>
      <c r="C387" s="89"/>
      <c r="D387" s="89"/>
      <c r="E387" s="93"/>
      <c r="F387" s="93"/>
      <c r="G387" s="105"/>
      <c r="H387" s="105"/>
      <c r="I387" s="1"/>
      <c r="J387" s="1"/>
      <c r="K387" s="1"/>
      <c r="L387" s="1"/>
      <c r="M387" s="1"/>
      <c r="N387" s="1"/>
      <c r="O387" s="1"/>
      <c r="P387" s="1"/>
      <c r="Q387" s="1"/>
      <c r="R387" s="1"/>
      <c r="S387" s="1"/>
      <c r="T387" s="1"/>
      <c r="U387" s="1"/>
      <c r="V387" s="1"/>
      <c r="W387" s="1"/>
      <c r="X387" s="1"/>
    </row>
    <row r="388" spans="1:24" ht="12.75" customHeight="1" x14ac:dyDescent="0.2">
      <c r="A388" s="1"/>
      <c r="B388" s="1"/>
      <c r="C388" s="89"/>
      <c r="D388" s="89"/>
      <c r="E388" s="93"/>
      <c r="F388" s="93"/>
      <c r="G388" s="105"/>
      <c r="H388" s="105"/>
      <c r="I388" s="1"/>
      <c r="J388" s="1"/>
      <c r="K388" s="1"/>
      <c r="L388" s="1"/>
      <c r="M388" s="1"/>
      <c r="N388" s="1"/>
      <c r="O388" s="1"/>
      <c r="P388" s="1"/>
      <c r="Q388" s="1"/>
      <c r="R388" s="1"/>
      <c r="S388" s="1"/>
      <c r="T388" s="1"/>
      <c r="U388" s="1"/>
      <c r="V388" s="1"/>
      <c r="W388" s="1"/>
      <c r="X388" s="1"/>
    </row>
    <row r="389" spans="1:24" ht="12.75" customHeight="1" x14ac:dyDescent="0.2">
      <c r="A389" s="1"/>
      <c r="B389" s="1"/>
      <c r="C389" s="89"/>
      <c r="D389" s="89"/>
      <c r="E389" s="93"/>
      <c r="F389" s="93"/>
      <c r="G389" s="105"/>
      <c r="H389" s="105"/>
      <c r="I389" s="1"/>
      <c r="J389" s="1"/>
      <c r="K389" s="1"/>
      <c r="L389" s="1"/>
      <c r="M389" s="1"/>
      <c r="N389" s="1"/>
      <c r="O389" s="1"/>
      <c r="P389" s="1"/>
      <c r="Q389" s="1"/>
      <c r="R389" s="1"/>
      <c r="S389" s="1"/>
      <c r="T389" s="1"/>
      <c r="U389" s="1"/>
      <c r="V389" s="1"/>
      <c r="W389" s="1"/>
      <c r="X389" s="1"/>
    </row>
    <row r="390" spans="1:24" ht="12.75" customHeight="1" x14ac:dyDescent="0.2">
      <c r="A390" s="1"/>
      <c r="B390" s="1"/>
      <c r="C390" s="89"/>
      <c r="D390" s="89"/>
      <c r="E390" s="93"/>
      <c r="F390" s="93"/>
      <c r="G390" s="105"/>
      <c r="H390" s="105"/>
      <c r="I390" s="1"/>
      <c r="J390" s="1"/>
      <c r="K390" s="1"/>
      <c r="L390" s="1"/>
      <c r="M390" s="1"/>
      <c r="N390" s="1"/>
      <c r="O390" s="1"/>
      <c r="P390" s="1"/>
      <c r="Q390" s="1"/>
      <c r="R390" s="1"/>
      <c r="S390" s="1"/>
      <c r="T390" s="1"/>
      <c r="U390" s="1"/>
      <c r="V390" s="1"/>
      <c r="W390" s="1"/>
      <c r="X390" s="1"/>
    </row>
    <row r="391" spans="1:24" ht="12.75" customHeight="1" x14ac:dyDescent="0.2">
      <c r="A391" s="1"/>
      <c r="B391" s="1"/>
      <c r="C391" s="89"/>
      <c r="D391" s="89"/>
      <c r="E391" s="93"/>
      <c r="F391" s="93"/>
      <c r="G391" s="105"/>
      <c r="H391" s="105"/>
      <c r="I391" s="1"/>
      <c r="J391" s="1"/>
      <c r="K391" s="1"/>
      <c r="L391" s="1"/>
      <c r="M391" s="1"/>
      <c r="N391" s="1"/>
      <c r="O391" s="1"/>
      <c r="P391" s="1"/>
      <c r="Q391" s="1"/>
      <c r="R391" s="1"/>
      <c r="S391" s="1"/>
      <c r="T391" s="1"/>
      <c r="U391" s="1"/>
      <c r="V391" s="1"/>
      <c r="W391" s="1"/>
      <c r="X391" s="1"/>
    </row>
    <row r="392" spans="1:24" ht="12.75" customHeight="1" x14ac:dyDescent="0.2">
      <c r="A392" s="1"/>
      <c r="B392" s="1"/>
      <c r="C392" s="89"/>
      <c r="D392" s="89"/>
      <c r="E392" s="93"/>
      <c r="F392" s="93"/>
      <c r="G392" s="105"/>
      <c r="H392" s="105"/>
      <c r="I392" s="1"/>
      <c r="J392" s="1"/>
      <c r="K392" s="1"/>
      <c r="L392" s="1"/>
      <c r="M392" s="1"/>
      <c r="N392" s="1"/>
      <c r="O392" s="1"/>
      <c r="P392" s="1"/>
      <c r="Q392" s="1"/>
      <c r="R392" s="1"/>
      <c r="S392" s="1"/>
      <c r="T392" s="1"/>
      <c r="U392" s="1"/>
      <c r="V392" s="1"/>
      <c r="W392" s="1"/>
      <c r="X392" s="1"/>
    </row>
    <row r="393" spans="1:24" ht="12.75" customHeight="1" x14ac:dyDescent="0.2">
      <c r="A393" s="1"/>
      <c r="B393" s="1"/>
      <c r="C393" s="89"/>
      <c r="D393" s="89"/>
      <c r="E393" s="93"/>
      <c r="F393" s="93"/>
      <c r="G393" s="105"/>
      <c r="H393" s="105"/>
      <c r="I393" s="1"/>
      <c r="J393" s="1"/>
      <c r="K393" s="1"/>
      <c r="L393" s="1"/>
      <c r="M393" s="1"/>
      <c r="N393" s="1"/>
      <c r="O393" s="1"/>
      <c r="P393" s="1"/>
      <c r="Q393" s="1"/>
      <c r="R393" s="1"/>
      <c r="S393" s="1"/>
      <c r="T393" s="1"/>
      <c r="U393" s="1"/>
      <c r="V393" s="1"/>
      <c r="W393" s="1"/>
      <c r="X393" s="1"/>
    </row>
    <row r="394" spans="1:24" ht="12.75" customHeight="1" x14ac:dyDescent="0.2">
      <c r="A394" s="1"/>
      <c r="B394" s="1"/>
      <c r="C394" s="89"/>
      <c r="D394" s="89"/>
      <c r="E394" s="93"/>
      <c r="F394" s="93"/>
      <c r="G394" s="105"/>
      <c r="H394" s="105"/>
      <c r="I394" s="1"/>
      <c r="J394" s="1"/>
      <c r="K394" s="1"/>
      <c r="L394" s="1"/>
      <c r="M394" s="1"/>
      <c r="N394" s="1"/>
      <c r="O394" s="1"/>
      <c r="P394" s="1"/>
      <c r="Q394" s="1"/>
      <c r="R394" s="1"/>
      <c r="S394" s="1"/>
      <c r="T394" s="1"/>
      <c r="U394" s="1"/>
      <c r="V394" s="1"/>
      <c r="W394" s="1"/>
      <c r="X394" s="1"/>
    </row>
    <row r="395" spans="1:24" ht="12.75" customHeight="1" x14ac:dyDescent="0.2">
      <c r="A395" s="1"/>
      <c r="B395" s="1"/>
      <c r="C395" s="89"/>
      <c r="D395" s="89"/>
      <c r="E395" s="93"/>
      <c r="F395" s="93"/>
      <c r="G395" s="105"/>
      <c r="H395" s="105"/>
      <c r="I395" s="1"/>
      <c r="J395" s="1"/>
      <c r="K395" s="1"/>
      <c r="L395" s="1"/>
      <c r="M395" s="1"/>
      <c r="N395" s="1"/>
      <c r="O395" s="1"/>
      <c r="P395" s="1"/>
      <c r="Q395" s="1"/>
      <c r="R395" s="1"/>
      <c r="S395" s="1"/>
      <c r="T395" s="1"/>
      <c r="U395" s="1"/>
      <c r="V395" s="1"/>
      <c r="W395" s="1"/>
      <c r="X395" s="1"/>
    </row>
    <row r="396" spans="1:24" ht="12.75" customHeight="1" x14ac:dyDescent="0.2">
      <c r="A396" s="1"/>
      <c r="B396" s="1"/>
      <c r="C396" s="89"/>
      <c r="D396" s="89"/>
      <c r="E396" s="93"/>
      <c r="F396" s="93"/>
      <c r="G396" s="105"/>
      <c r="H396" s="105"/>
      <c r="I396" s="1"/>
      <c r="J396" s="1"/>
      <c r="K396" s="1"/>
      <c r="L396" s="1"/>
      <c r="M396" s="1"/>
      <c r="N396" s="1"/>
      <c r="O396" s="1"/>
      <c r="P396" s="1"/>
      <c r="Q396" s="1"/>
      <c r="R396" s="1"/>
      <c r="S396" s="1"/>
      <c r="T396" s="1"/>
      <c r="U396" s="1"/>
      <c r="V396" s="1"/>
      <c r="W396" s="1"/>
      <c r="X396" s="1"/>
    </row>
    <row r="397" spans="1:24" ht="12.75" customHeight="1" x14ac:dyDescent="0.2">
      <c r="A397" s="1"/>
      <c r="B397" s="1"/>
      <c r="C397" s="89"/>
      <c r="D397" s="89"/>
      <c r="E397" s="93"/>
      <c r="F397" s="93"/>
      <c r="G397" s="105"/>
      <c r="H397" s="105"/>
      <c r="I397" s="1"/>
      <c r="J397" s="1"/>
      <c r="K397" s="1"/>
      <c r="L397" s="1"/>
      <c r="M397" s="1"/>
      <c r="N397" s="1"/>
      <c r="O397" s="1"/>
      <c r="P397" s="1"/>
      <c r="Q397" s="1"/>
      <c r="R397" s="1"/>
      <c r="S397" s="1"/>
      <c r="T397" s="1"/>
      <c r="U397" s="1"/>
      <c r="V397" s="1"/>
      <c r="W397" s="1"/>
      <c r="X397" s="1"/>
    </row>
    <row r="398" spans="1:24" ht="12.75" customHeight="1" x14ac:dyDescent="0.2">
      <c r="A398" s="1"/>
      <c r="B398" s="1"/>
      <c r="C398" s="89"/>
      <c r="D398" s="89"/>
      <c r="E398" s="93"/>
      <c r="F398" s="93"/>
      <c r="G398" s="105"/>
      <c r="H398" s="105"/>
      <c r="I398" s="1"/>
      <c r="J398" s="1"/>
      <c r="K398" s="1"/>
      <c r="L398" s="1"/>
      <c r="M398" s="1"/>
      <c r="N398" s="1"/>
      <c r="O398" s="1"/>
      <c r="P398" s="1"/>
      <c r="Q398" s="1"/>
      <c r="R398" s="1"/>
      <c r="S398" s="1"/>
      <c r="T398" s="1"/>
      <c r="U398" s="1"/>
      <c r="V398" s="1"/>
      <c r="W398" s="1"/>
      <c r="X398" s="1"/>
    </row>
    <row r="399" spans="1:24" ht="12.75" customHeight="1" x14ac:dyDescent="0.2">
      <c r="A399" s="1"/>
      <c r="B399" s="1"/>
      <c r="C399" s="89"/>
      <c r="D399" s="89"/>
      <c r="E399" s="93"/>
      <c r="F399" s="93"/>
      <c r="G399" s="105"/>
      <c r="H399" s="105"/>
      <c r="I399" s="1"/>
      <c r="J399" s="1"/>
      <c r="K399" s="1"/>
      <c r="L399" s="1"/>
      <c r="M399" s="1"/>
      <c r="N399" s="1"/>
      <c r="O399" s="1"/>
      <c r="P399" s="1"/>
      <c r="Q399" s="1"/>
      <c r="R399" s="1"/>
      <c r="S399" s="1"/>
      <c r="T399" s="1"/>
      <c r="U399" s="1"/>
      <c r="V399" s="1"/>
      <c r="W399" s="1"/>
      <c r="X399" s="1"/>
    </row>
    <row r="400" spans="1:24" ht="12.75" customHeight="1" x14ac:dyDescent="0.2">
      <c r="A400" s="1"/>
      <c r="B400" s="1"/>
      <c r="C400" s="89"/>
      <c r="D400" s="89"/>
      <c r="E400" s="93"/>
      <c r="F400" s="93"/>
      <c r="G400" s="105"/>
      <c r="H400" s="105"/>
      <c r="I400" s="1"/>
      <c r="J400" s="1"/>
      <c r="K400" s="1"/>
      <c r="L400" s="1"/>
      <c r="M400" s="1"/>
      <c r="N400" s="1"/>
      <c r="O400" s="1"/>
      <c r="P400" s="1"/>
      <c r="Q400" s="1"/>
      <c r="R400" s="1"/>
      <c r="S400" s="1"/>
      <c r="T400" s="1"/>
      <c r="U400" s="1"/>
      <c r="V400" s="1"/>
      <c r="W400" s="1"/>
      <c r="X400" s="1"/>
    </row>
    <row r="401" spans="1:24" ht="12.75" customHeight="1" x14ac:dyDescent="0.2">
      <c r="A401" s="1"/>
      <c r="B401" s="1"/>
      <c r="C401" s="89"/>
      <c r="D401" s="89"/>
      <c r="E401" s="93"/>
      <c r="F401" s="93"/>
      <c r="G401" s="105"/>
      <c r="H401" s="105"/>
      <c r="I401" s="1"/>
      <c r="J401" s="1"/>
      <c r="K401" s="1"/>
      <c r="L401" s="1"/>
      <c r="M401" s="1"/>
      <c r="N401" s="1"/>
      <c r="O401" s="1"/>
      <c r="P401" s="1"/>
      <c r="Q401" s="1"/>
      <c r="R401" s="1"/>
      <c r="S401" s="1"/>
      <c r="T401" s="1"/>
      <c r="U401" s="1"/>
      <c r="V401" s="1"/>
      <c r="W401" s="1"/>
      <c r="X401" s="1"/>
    </row>
    <row r="402" spans="1:24" ht="12.75" customHeight="1" x14ac:dyDescent="0.2">
      <c r="A402" s="1"/>
      <c r="B402" s="1"/>
      <c r="C402" s="89"/>
      <c r="D402" s="89"/>
      <c r="E402" s="93"/>
      <c r="F402" s="93"/>
      <c r="G402" s="105"/>
      <c r="H402" s="105"/>
      <c r="I402" s="1"/>
      <c r="J402" s="1"/>
      <c r="K402" s="1"/>
      <c r="L402" s="1"/>
      <c r="M402" s="1"/>
      <c r="N402" s="1"/>
      <c r="O402" s="1"/>
      <c r="P402" s="1"/>
      <c r="Q402" s="1"/>
      <c r="R402" s="1"/>
      <c r="S402" s="1"/>
      <c r="T402" s="1"/>
      <c r="U402" s="1"/>
      <c r="V402" s="1"/>
      <c r="W402" s="1"/>
      <c r="X402" s="1"/>
    </row>
    <row r="403" spans="1:24" ht="12.75" customHeight="1" x14ac:dyDescent="0.2">
      <c r="A403" s="1"/>
      <c r="B403" s="1"/>
      <c r="C403" s="89"/>
      <c r="D403" s="89"/>
      <c r="E403" s="93"/>
      <c r="F403" s="93"/>
      <c r="G403" s="105"/>
      <c r="H403" s="105"/>
      <c r="I403" s="1"/>
      <c r="J403" s="1"/>
      <c r="K403" s="1"/>
      <c r="L403" s="1"/>
      <c r="M403" s="1"/>
      <c r="N403" s="1"/>
      <c r="O403" s="1"/>
      <c r="P403" s="1"/>
      <c r="Q403" s="1"/>
      <c r="R403" s="1"/>
      <c r="S403" s="1"/>
      <c r="T403" s="1"/>
      <c r="U403" s="1"/>
      <c r="V403" s="1"/>
      <c r="W403" s="1"/>
      <c r="X403" s="1"/>
    </row>
    <row r="404" spans="1:24" ht="12.75" customHeight="1" x14ac:dyDescent="0.2">
      <c r="A404" s="1"/>
      <c r="B404" s="1"/>
      <c r="C404" s="89"/>
      <c r="D404" s="89"/>
      <c r="E404" s="93"/>
      <c r="F404" s="93"/>
      <c r="G404" s="105"/>
      <c r="H404" s="105"/>
      <c r="I404" s="1"/>
      <c r="J404" s="1"/>
      <c r="K404" s="1"/>
      <c r="L404" s="1"/>
      <c r="M404" s="1"/>
      <c r="N404" s="1"/>
      <c r="O404" s="1"/>
      <c r="P404" s="1"/>
      <c r="Q404" s="1"/>
      <c r="R404" s="1"/>
      <c r="S404" s="1"/>
      <c r="T404" s="1"/>
      <c r="U404" s="1"/>
      <c r="V404" s="1"/>
      <c r="W404" s="1"/>
      <c r="X404" s="1"/>
    </row>
    <row r="405" spans="1:24" ht="12.75" customHeight="1" x14ac:dyDescent="0.2">
      <c r="A405" s="1"/>
      <c r="B405" s="1"/>
      <c r="C405" s="89"/>
      <c r="D405" s="89"/>
      <c r="E405" s="93"/>
      <c r="F405" s="93"/>
      <c r="G405" s="105"/>
      <c r="H405" s="105"/>
      <c r="I405" s="1"/>
      <c r="J405" s="1"/>
      <c r="K405" s="1"/>
      <c r="L405" s="1"/>
      <c r="M405" s="1"/>
      <c r="N405" s="1"/>
      <c r="O405" s="1"/>
      <c r="P405" s="1"/>
      <c r="Q405" s="1"/>
      <c r="R405" s="1"/>
      <c r="S405" s="1"/>
      <c r="T405" s="1"/>
      <c r="U405" s="1"/>
      <c r="V405" s="1"/>
      <c r="W405" s="1"/>
      <c r="X405" s="1"/>
    </row>
    <row r="406" spans="1:24" ht="12.75" customHeight="1" x14ac:dyDescent="0.2">
      <c r="A406" s="1"/>
      <c r="B406" s="1"/>
      <c r="C406" s="89"/>
      <c r="D406" s="89"/>
      <c r="E406" s="93"/>
      <c r="F406" s="93"/>
      <c r="G406" s="105"/>
      <c r="H406" s="105"/>
      <c r="I406" s="1"/>
      <c r="J406" s="1"/>
      <c r="K406" s="1"/>
      <c r="L406" s="1"/>
      <c r="M406" s="1"/>
      <c r="N406" s="1"/>
      <c r="O406" s="1"/>
      <c r="P406" s="1"/>
      <c r="Q406" s="1"/>
      <c r="R406" s="1"/>
      <c r="S406" s="1"/>
      <c r="T406" s="1"/>
      <c r="U406" s="1"/>
      <c r="V406" s="1"/>
      <c r="W406" s="1"/>
      <c r="X406" s="1"/>
    </row>
    <row r="407" spans="1:24" ht="12.75" customHeight="1" x14ac:dyDescent="0.2">
      <c r="A407" s="1"/>
      <c r="B407" s="1"/>
      <c r="C407" s="89"/>
      <c r="D407" s="89"/>
      <c r="E407" s="93"/>
      <c r="F407" s="93"/>
      <c r="G407" s="105"/>
      <c r="H407" s="105"/>
      <c r="I407" s="1"/>
      <c r="J407" s="1"/>
      <c r="K407" s="1"/>
      <c r="L407" s="1"/>
      <c r="M407" s="1"/>
      <c r="N407" s="1"/>
      <c r="O407" s="1"/>
      <c r="P407" s="1"/>
      <c r="Q407" s="1"/>
      <c r="R407" s="1"/>
      <c r="S407" s="1"/>
      <c r="T407" s="1"/>
      <c r="U407" s="1"/>
      <c r="V407" s="1"/>
      <c r="W407" s="1"/>
      <c r="X407" s="1"/>
    </row>
    <row r="408" spans="1:24" ht="12.75" customHeight="1" x14ac:dyDescent="0.2">
      <c r="A408" s="1"/>
      <c r="B408" s="1"/>
      <c r="C408" s="89"/>
      <c r="D408" s="89"/>
      <c r="E408" s="93"/>
      <c r="F408" s="93"/>
      <c r="G408" s="105"/>
      <c r="H408" s="105"/>
      <c r="I408" s="1"/>
      <c r="J408" s="1"/>
      <c r="K408" s="1"/>
      <c r="L408" s="1"/>
      <c r="M408" s="1"/>
      <c r="N408" s="1"/>
      <c r="O408" s="1"/>
      <c r="P408" s="1"/>
      <c r="Q408" s="1"/>
      <c r="R408" s="1"/>
      <c r="S408" s="1"/>
      <c r="T408" s="1"/>
      <c r="U408" s="1"/>
      <c r="V408" s="1"/>
      <c r="W408" s="1"/>
      <c r="X408" s="1"/>
    </row>
    <row r="409" spans="1:24" ht="12.75" customHeight="1" x14ac:dyDescent="0.2">
      <c r="A409" s="1"/>
      <c r="B409" s="1"/>
      <c r="C409" s="89"/>
      <c r="D409" s="89"/>
      <c r="E409" s="93"/>
      <c r="F409" s="93"/>
      <c r="G409" s="105"/>
      <c r="H409" s="105"/>
      <c r="I409" s="1"/>
      <c r="J409" s="1"/>
      <c r="K409" s="1"/>
      <c r="L409" s="1"/>
      <c r="M409" s="1"/>
      <c r="N409" s="1"/>
      <c r="O409" s="1"/>
      <c r="P409" s="1"/>
      <c r="Q409" s="1"/>
      <c r="R409" s="1"/>
      <c r="S409" s="1"/>
      <c r="T409" s="1"/>
      <c r="U409" s="1"/>
      <c r="V409" s="1"/>
      <c r="W409" s="1"/>
      <c r="X409" s="1"/>
    </row>
    <row r="410" spans="1:24" ht="12.75" customHeight="1" x14ac:dyDescent="0.2">
      <c r="A410" s="1"/>
      <c r="B410" s="1"/>
      <c r="C410" s="89"/>
      <c r="D410" s="89"/>
      <c r="E410" s="93"/>
      <c r="F410" s="93"/>
      <c r="G410" s="105"/>
      <c r="H410" s="105"/>
      <c r="I410" s="1"/>
      <c r="J410" s="1"/>
      <c r="K410" s="1"/>
      <c r="L410" s="1"/>
      <c r="M410" s="1"/>
      <c r="N410" s="1"/>
      <c r="O410" s="1"/>
      <c r="P410" s="1"/>
      <c r="Q410" s="1"/>
      <c r="R410" s="1"/>
      <c r="S410" s="1"/>
      <c r="T410" s="1"/>
      <c r="U410" s="1"/>
      <c r="V410" s="1"/>
      <c r="W410" s="1"/>
      <c r="X410" s="1"/>
    </row>
    <row r="411" spans="1:24" ht="12.75" customHeight="1" x14ac:dyDescent="0.2">
      <c r="A411" s="1"/>
      <c r="B411" s="1"/>
      <c r="C411" s="89"/>
      <c r="D411" s="89"/>
      <c r="E411" s="93"/>
      <c r="F411" s="93"/>
      <c r="G411" s="105"/>
      <c r="H411" s="105"/>
      <c r="I411" s="1"/>
      <c r="J411" s="1"/>
      <c r="K411" s="1"/>
      <c r="L411" s="1"/>
      <c r="M411" s="1"/>
      <c r="N411" s="1"/>
      <c r="O411" s="1"/>
      <c r="P411" s="1"/>
      <c r="Q411" s="1"/>
      <c r="R411" s="1"/>
      <c r="S411" s="1"/>
      <c r="T411" s="1"/>
      <c r="U411" s="1"/>
      <c r="V411" s="1"/>
      <c r="W411" s="1"/>
      <c r="X411" s="1"/>
    </row>
    <row r="412" spans="1:24" ht="12.75" customHeight="1" x14ac:dyDescent="0.2">
      <c r="A412" s="1"/>
      <c r="B412" s="1"/>
      <c r="C412" s="89"/>
      <c r="D412" s="89"/>
      <c r="E412" s="93"/>
      <c r="F412" s="93"/>
      <c r="G412" s="105"/>
      <c r="H412" s="105"/>
      <c r="I412" s="1"/>
      <c r="J412" s="1"/>
      <c r="K412" s="1"/>
      <c r="L412" s="1"/>
      <c r="M412" s="1"/>
      <c r="N412" s="1"/>
      <c r="O412" s="1"/>
      <c r="P412" s="1"/>
      <c r="Q412" s="1"/>
      <c r="R412" s="1"/>
      <c r="S412" s="1"/>
      <c r="T412" s="1"/>
      <c r="U412" s="1"/>
      <c r="V412" s="1"/>
      <c r="W412" s="1"/>
      <c r="X412" s="1"/>
    </row>
    <row r="413" spans="1:24" ht="12.75" customHeight="1" x14ac:dyDescent="0.2">
      <c r="A413" s="1"/>
      <c r="B413" s="1"/>
      <c r="C413" s="89"/>
      <c r="D413" s="89"/>
      <c r="E413" s="93"/>
      <c r="F413" s="93"/>
      <c r="G413" s="105"/>
      <c r="H413" s="105"/>
      <c r="I413" s="1"/>
      <c r="J413" s="1"/>
      <c r="K413" s="1"/>
      <c r="L413" s="1"/>
      <c r="M413" s="1"/>
      <c r="N413" s="1"/>
      <c r="O413" s="1"/>
      <c r="P413" s="1"/>
      <c r="Q413" s="1"/>
      <c r="R413" s="1"/>
      <c r="S413" s="1"/>
      <c r="T413" s="1"/>
      <c r="U413" s="1"/>
      <c r="V413" s="1"/>
      <c r="W413" s="1"/>
      <c r="X413" s="1"/>
    </row>
    <row r="414" spans="1:24" ht="12.75" customHeight="1" x14ac:dyDescent="0.2">
      <c r="A414" s="1"/>
      <c r="B414" s="1"/>
      <c r="C414" s="89"/>
      <c r="D414" s="89"/>
      <c r="E414" s="93"/>
      <c r="F414" s="93"/>
      <c r="G414" s="105"/>
      <c r="H414" s="105"/>
      <c r="I414" s="1"/>
      <c r="J414" s="1"/>
      <c r="K414" s="1"/>
      <c r="L414" s="1"/>
      <c r="M414" s="1"/>
      <c r="N414" s="1"/>
      <c r="O414" s="1"/>
      <c r="P414" s="1"/>
      <c r="Q414" s="1"/>
      <c r="R414" s="1"/>
      <c r="S414" s="1"/>
      <c r="T414" s="1"/>
      <c r="U414" s="1"/>
      <c r="V414" s="1"/>
      <c r="W414" s="1"/>
      <c r="X414" s="1"/>
    </row>
    <row r="415" spans="1:24" ht="12.75" customHeight="1" x14ac:dyDescent="0.2">
      <c r="A415" s="1"/>
      <c r="B415" s="1"/>
      <c r="C415" s="89"/>
      <c r="D415" s="89"/>
      <c r="E415" s="93"/>
      <c r="F415" s="93"/>
      <c r="G415" s="105"/>
      <c r="H415" s="105"/>
      <c r="I415" s="1"/>
      <c r="J415" s="1"/>
      <c r="K415" s="1"/>
      <c r="L415" s="1"/>
      <c r="M415" s="1"/>
      <c r="N415" s="1"/>
      <c r="O415" s="1"/>
      <c r="P415" s="1"/>
      <c r="Q415" s="1"/>
      <c r="R415" s="1"/>
      <c r="S415" s="1"/>
      <c r="T415" s="1"/>
      <c r="U415" s="1"/>
      <c r="V415" s="1"/>
      <c r="W415" s="1"/>
      <c r="X415" s="1"/>
    </row>
    <row r="416" spans="1:24" ht="12.75" customHeight="1" x14ac:dyDescent="0.2">
      <c r="A416" s="1"/>
      <c r="B416" s="1"/>
      <c r="C416" s="89"/>
      <c r="D416" s="89"/>
      <c r="E416" s="93"/>
      <c r="F416" s="93"/>
      <c r="G416" s="105"/>
      <c r="H416" s="105"/>
      <c r="I416" s="1"/>
      <c r="J416" s="1"/>
      <c r="K416" s="1"/>
      <c r="L416" s="1"/>
      <c r="M416" s="1"/>
      <c r="N416" s="1"/>
      <c r="O416" s="1"/>
      <c r="P416" s="1"/>
      <c r="Q416" s="1"/>
      <c r="R416" s="1"/>
      <c r="S416" s="1"/>
      <c r="T416" s="1"/>
      <c r="U416" s="1"/>
      <c r="V416" s="1"/>
      <c r="W416" s="1"/>
      <c r="X416" s="1"/>
    </row>
    <row r="417" spans="1:24" ht="12.75" customHeight="1" x14ac:dyDescent="0.2">
      <c r="A417" s="1"/>
      <c r="B417" s="1"/>
      <c r="C417" s="89"/>
      <c r="D417" s="89"/>
      <c r="E417" s="93"/>
      <c r="F417" s="93"/>
      <c r="G417" s="105"/>
      <c r="H417" s="105"/>
      <c r="I417" s="1"/>
      <c r="J417" s="1"/>
      <c r="K417" s="1"/>
      <c r="L417" s="1"/>
      <c r="M417" s="1"/>
      <c r="N417" s="1"/>
      <c r="O417" s="1"/>
      <c r="P417" s="1"/>
      <c r="Q417" s="1"/>
      <c r="R417" s="1"/>
      <c r="S417" s="1"/>
      <c r="T417" s="1"/>
      <c r="U417" s="1"/>
      <c r="V417" s="1"/>
      <c r="W417" s="1"/>
      <c r="X417" s="1"/>
    </row>
    <row r="418" spans="1:24" ht="12.75" customHeight="1" x14ac:dyDescent="0.2">
      <c r="A418" s="1"/>
      <c r="B418" s="1"/>
      <c r="C418" s="89"/>
      <c r="D418" s="89"/>
      <c r="E418" s="93"/>
      <c r="F418" s="93"/>
      <c r="G418" s="105"/>
      <c r="H418" s="105"/>
      <c r="I418" s="1"/>
      <c r="J418" s="1"/>
      <c r="K418" s="1"/>
      <c r="L418" s="1"/>
      <c r="M418" s="1"/>
      <c r="N418" s="1"/>
      <c r="O418" s="1"/>
      <c r="P418" s="1"/>
      <c r="Q418" s="1"/>
      <c r="R418" s="1"/>
      <c r="S418" s="1"/>
      <c r="T418" s="1"/>
      <c r="U418" s="1"/>
      <c r="V418" s="1"/>
      <c r="W418" s="1"/>
      <c r="X418" s="1"/>
    </row>
    <row r="419" spans="1:24" ht="12.75" customHeight="1" x14ac:dyDescent="0.2">
      <c r="A419" s="1"/>
      <c r="B419" s="1"/>
      <c r="C419" s="89"/>
      <c r="D419" s="89"/>
      <c r="E419" s="93"/>
      <c r="F419" s="93"/>
      <c r="G419" s="105"/>
      <c r="H419" s="105"/>
      <c r="I419" s="1"/>
      <c r="J419" s="1"/>
      <c r="K419" s="1"/>
      <c r="L419" s="1"/>
      <c r="M419" s="1"/>
      <c r="N419" s="1"/>
      <c r="O419" s="1"/>
      <c r="P419" s="1"/>
      <c r="Q419" s="1"/>
      <c r="R419" s="1"/>
      <c r="S419" s="1"/>
      <c r="T419" s="1"/>
      <c r="U419" s="1"/>
      <c r="V419" s="1"/>
      <c r="W419" s="1"/>
      <c r="X419" s="1"/>
    </row>
    <row r="420" spans="1:24" ht="12.75" customHeight="1" x14ac:dyDescent="0.2">
      <c r="A420" s="1"/>
      <c r="B420" s="1"/>
      <c r="C420" s="89"/>
      <c r="D420" s="89"/>
      <c r="E420" s="93"/>
      <c r="F420" s="93"/>
      <c r="G420" s="105"/>
      <c r="H420" s="105"/>
      <c r="I420" s="1"/>
      <c r="J420" s="1"/>
      <c r="K420" s="1"/>
      <c r="L420" s="1"/>
      <c r="M420" s="1"/>
      <c r="N420" s="1"/>
      <c r="O420" s="1"/>
      <c r="P420" s="1"/>
      <c r="Q420" s="1"/>
      <c r="R420" s="1"/>
      <c r="S420" s="1"/>
      <c r="T420" s="1"/>
      <c r="U420" s="1"/>
      <c r="V420" s="1"/>
      <c r="W420" s="1"/>
      <c r="X420" s="1"/>
    </row>
    <row r="421" spans="1:24" ht="12.75" customHeight="1" x14ac:dyDescent="0.2">
      <c r="A421" s="1"/>
      <c r="B421" s="1"/>
      <c r="C421" s="89"/>
      <c r="D421" s="89"/>
      <c r="E421" s="93"/>
      <c r="F421" s="93"/>
      <c r="G421" s="105"/>
      <c r="H421" s="105"/>
      <c r="I421" s="1"/>
      <c r="J421" s="1"/>
      <c r="K421" s="1"/>
      <c r="L421" s="1"/>
      <c r="M421" s="1"/>
      <c r="N421" s="1"/>
      <c r="O421" s="1"/>
      <c r="P421" s="1"/>
      <c r="Q421" s="1"/>
      <c r="R421" s="1"/>
      <c r="S421" s="1"/>
      <c r="T421" s="1"/>
      <c r="U421" s="1"/>
      <c r="V421" s="1"/>
      <c r="W421" s="1"/>
      <c r="X421" s="1"/>
    </row>
    <row r="422" spans="1:24" ht="12.75" customHeight="1" x14ac:dyDescent="0.2">
      <c r="A422" s="1"/>
      <c r="B422" s="1"/>
      <c r="C422" s="89"/>
      <c r="D422" s="89"/>
      <c r="E422" s="93"/>
      <c r="F422" s="93"/>
      <c r="G422" s="105"/>
      <c r="H422" s="105"/>
      <c r="I422" s="1"/>
      <c r="J422" s="1"/>
      <c r="K422" s="1"/>
      <c r="L422" s="1"/>
      <c r="M422" s="1"/>
      <c r="N422" s="1"/>
      <c r="O422" s="1"/>
      <c r="P422" s="1"/>
      <c r="Q422" s="1"/>
      <c r="R422" s="1"/>
      <c r="S422" s="1"/>
      <c r="T422" s="1"/>
      <c r="U422" s="1"/>
      <c r="V422" s="1"/>
      <c r="W422" s="1"/>
      <c r="X422" s="1"/>
    </row>
    <row r="423" spans="1:24" ht="12.75" customHeight="1" x14ac:dyDescent="0.2">
      <c r="A423" s="1"/>
      <c r="B423" s="1"/>
      <c r="C423" s="89"/>
      <c r="D423" s="89"/>
      <c r="E423" s="93"/>
      <c r="F423" s="93"/>
      <c r="G423" s="105"/>
      <c r="H423" s="105"/>
      <c r="I423" s="1"/>
      <c r="J423" s="1"/>
      <c r="K423" s="1"/>
      <c r="L423" s="1"/>
      <c r="M423" s="1"/>
      <c r="N423" s="1"/>
      <c r="O423" s="1"/>
      <c r="P423" s="1"/>
      <c r="Q423" s="1"/>
      <c r="R423" s="1"/>
      <c r="S423" s="1"/>
      <c r="T423" s="1"/>
      <c r="U423" s="1"/>
      <c r="V423" s="1"/>
      <c r="W423" s="1"/>
      <c r="X423" s="1"/>
    </row>
    <row r="424" spans="1:24" ht="12.75" customHeight="1" x14ac:dyDescent="0.2">
      <c r="A424" s="1"/>
      <c r="B424" s="1"/>
      <c r="C424" s="89"/>
      <c r="D424" s="89"/>
      <c r="E424" s="93"/>
      <c r="F424" s="93"/>
      <c r="G424" s="105"/>
      <c r="H424" s="105"/>
      <c r="I424" s="1"/>
      <c r="J424" s="1"/>
      <c r="K424" s="1"/>
      <c r="L424" s="1"/>
      <c r="M424" s="1"/>
      <c r="N424" s="1"/>
      <c r="O424" s="1"/>
      <c r="P424" s="1"/>
      <c r="Q424" s="1"/>
      <c r="R424" s="1"/>
      <c r="S424" s="1"/>
      <c r="T424" s="1"/>
      <c r="U424" s="1"/>
      <c r="V424" s="1"/>
      <c r="W424" s="1"/>
      <c r="X424" s="1"/>
    </row>
    <row r="425" spans="1:24" ht="12.75" customHeight="1" x14ac:dyDescent="0.2">
      <c r="A425" s="1"/>
      <c r="B425" s="1"/>
      <c r="C425" s="89"/>
      <c r="D425" s="89"/>
      <c r="E425" s="93"/>
      <c r="F425" s="93"/>
      <c r="G425" s="105"/>
      <c r="H425" s="105"/>
      <c r="I425" s="1"/>
      <c r="J425" s="1"/>
      <c r="K425" s="1"/>
      <c r="L425" s="1"/>
      <c r="M425" s="1"/>
      <c r="N425" s="1"/>
      <c r="O425" s="1"/>
      <c r="P425" s="1"/>
      <c r="Q425" s="1"/>
      <c r="R425" s="1"/>
      <c r="S425" s="1"/>
      <c r="T425" s="1"/>
      <c r="U425" s="1"/>
      <c r="V425" s="1"/>
      <c r="W425" s="1"/>
      <c r="X425" s="1"/>
    </row>
    <row r="426" spans="1:24" ht="12.75" customHeight="1" x14ac:dyDescent="0.2">
      <c r="A426" s="1"/>
      <c r="B426" s="1"/>
      <c r="C426" s="89"/>
      <c r="D426" s="89"/>
      <c r="E426" s="93"/>
      <c r="F426" s="93"/>
      <c r="G426" s="105"/>
      <c r="H426" s="105"/>
      <c r="I426" s="1"/>
      <c r="J426" s="1"/>
      <c r="K426" s="1"/>
      <c r="L426" s="1"/>
      <c r="M426" s="1"/>
      <c r="N426" s="1"/>
      <c r="O426" s="1"/>
      <c r="P426" s="1"/>
      <c r="Q426" s="1"/>
      <c r="R426" s="1"/>
      <c r="S426" s="1"/>
      <c r="T426" s="1"/>
      <c r="U426" s="1"/>
      <c r="V426" s="1"/>
      <c r="W426" s="1"/>
      <c r="X426" s="1"/>
    </row>
    <row r="427" spans="1:24" ht="12.75" customHeight="1" x14ac:dyDescent="0.2">
      <c r="A427" s="1"/>
      <c r="B427" s="1"/>
      <c r="C427" s="89"/>
      <c r="D427" s="89"/>
      <c r="E427" s="93"/>
      <c r="F427" s="93"/>
      <c r="G427" s="105"/>
      <c r="H427" s="105"/>
      <c r="I427" s="1"/>
      <c r="J427" s="1"/>
      <c r="K427" s="1"/>
      <c r="L427" s="1"/>
      <c r="M427" s="1"/>
      <c r="N427" s="1"/>
      <c r="O427" s="1"/>
      <c r="P427" s="1"/>
      <c r="Q427" s="1"/>
      <c r="R427" s="1"/>
      <c r="S427" s="1"/>
      <c r="T427" s="1"/>
      <c r="U427" s="1"/>
      <c r="V427" s="1"/>
      <c r="W427" s="1"/>
      <c r="X427" s="1"/>
    </row>
    <row r="428" spans="1:24" ht="12.75" customHeight="1" x14ac:dyDescent="0.2">
      <c r="A428" s="1"/>
      <c r="B428" s="1"/>
      <c r="C428" s="89"/>
      <c r="D428" s="89"/>
      <c r="E428" s="93"/>
      <c r="F428" s="93"/>
      <c r="G428" s="105"/>
      <c r="H428" s="105"/>
      <c r="I428" s="1"/>
      <c r="J428" s="1"/>
      <c r="K428" s="1"/>
      <c r="L428" s="1"/>
      <c r="M428" s="1"/>
      <c r="N428" s="1"/>
      <c r="O428" s="1"/>
      <c r="P428" s="1"/>
      <c r="Q428" s="1"/>
      <c r="R428" s="1"/>
      <c r="S428" s="1"/>
      <c r="T428" s="1"/>
      <c r="U428" s="1"/>
      <c r="V428" s="1"/>
      <c r="W428" s="1"/>
      <c r="X428" s="1"/>
    </row>
    <row r="429" spans="1:24" ht="12.75" customHeight="1" x14ac:dyDescent="0.2">
      <c r="A429" s="1"/>
      <c r="B429" s="1"/>
      <c r="C429" s="89"/>
      <c r="D429" s="89"/>
      <c r="E429" s="93"/>
      <c r="F429" s="93"/>
      <c r="G429" s="105"/>
      <c r="H429" s="105"/>
      <c r="I429" s="1"/>
      <c r="J429" s="1"/>
      <c r="K429" s="1"/>
      <c r="L429" s="1"/>
      <c r="M429" s="1"/>
      <c r="N429" s="1"/>
      <c r="O429" s="1"/>
      <c r="P429" s="1"/>
      <c r="Q429" s="1"/>
      <c r="R429" s="1"/>
      <c r="S429" s="1"/>
      <c r="T429" s="1"/>
      <c r="U429" s="1"/>
      <c r="V429" s="1"/>
      <c r="W429" s="1"/>
      <c r="X429" s="1"/>
    </row>
    <row r="430" spans="1:24" ht="12.75" customHeight="1" x14ac:dyDescent="0.2">
      <c r="A430" s="1"/>
      <c r="B430" s="1"/>
      <c r="C430" s="89"/>
      <c r="D430" s="89"/>
      <c r="E430" s="93"/>
      <c r="F430" s="93"/>
      <c r="G430" s="105"/>
      <c r="H430" s="105"/>
      <c r="I430" s="1"/>
      <c r="J430" s="1"/>
      <c r="K430" s="1"/>
      <c r="L430" s="1"/>
      <c r="M430" s="1"/>
      <c r="N430" s="1"/>
      <c r="O430" s="1"/>
      <c r="P430" s="1"/>
      <c r="Q430" s="1"/>
      <c r="R430" s="1"/>
      <c r="S430" s="1"/>
      <c r="T430" s="1"/>
      <c r="U430" s="1"/>
      <c r="V430" s="1"/>
      <c r="W430" s="1"/>
      <c r="X430" s="1"/>
    </row>
    <row r="431" spans="1:24" ht="12.75" customHeight="1" x14ac:dyDescent="0.2">
      <c r="A431" s="1"/>
      <c r="B431" s="1"/>
      <c r="C431" s="89"/>
      <c r="D431" s="89"/>
      <c r="E431" s="93"/>
      <c r="F431" s="93"/>
      <c r="G431" s="105"/>
      <c r="H431" s="105"/>
      <c r="I431" s="1"/>
      <c r="J431" s="1"/>
      <c r="K431" s="1"/>
      <c r="L431" s="1"/>
      <c r="M431" s="1"/>
      <c r="N431" s="1"/>
      <c r="O431" s="1"/>
      <c r="P431" s="1"/>
      <c r="Q431" s="1"/>
      <c r="R431" s="1"/>
      <c r="S431" s="1"/>
      <c r="T431" s="1"/>
      <c r="U431" s="1"/>
      <c r="V431" s="1"/>
      <c r="W431" s="1"/>
      <c r="X431" s="1"/>
    </row>
    <row r="432" spans="1:24" ht="12.75" customHeight="1" x14ac:dyDescent="0.2">
      <c r="A432" s="1"/>
      <c r="B432" s="1"/>
      <c r="C432" s="89"/>
      <c r="D432" s="89"/>
      <c r="E432" s="93"/>
      <c r="F432" s="93"/>
      <c r="G432" s="105"/>
      <c r="H432" s="105"/>
      <c r="I432" s="1"/>
      <c r="J432" s="1"/>
      <c r="K432" s="1"/>
      <c r="L432" s="1"/>
      <c r="M432" s="1"/>
      <c r="N432" s="1"/>
      <c r="O432" s="1"/>
      <c r="P432" s="1"/>
      <c r="Q432" s="1"/>
      <c r="R432" s="1"/>
      <c r="S432" s="1"/>
      <c r="T432" s="1"/>
      <c r="U432" s="1"/>
      <c r="V432" s="1"/>
      <c r="W432" s="1"/>
      <c r="X432" s="1"/>
    </row>
    <row r="433" spans="1:24" ht="12.75" customHeight="1" x14ac:dyDescent="0.2">
      <c r="A433" s="1"/>
      <c r="B433" s="1"/>
      <c r="C433" s="89"/>
      <c r="D433" s="89"/>
      <c r="E433" s="93"/>
      <c r="F433" s="93"/>
      <c r="G433" s="105"/>
      <c r="H433" s="105"/>
      <c r="I433" s="1"/>
      <c r="J433" s="1"/>
      <c r="K433" s="1"/>
      <c r="L433" s="1"/>
      <c r="M433" s="1"/>
      <c r="N433" s="1"/>
      <c r="O433" s="1"/>
      <c r="P433" s="1"/>
      <c r="Q433" s="1"/>
      <c r="R433" s="1"/>
      <c r="S433" s="1"/>
      <c r="T433" s="1"/>
      <c r="U433" s="1"/>
      <c r="V433" s="1"/>
      <c r="W433" s="1"/>
      <c r="X433" s="1"/>
    </row>
    <row r="434" spans="1:24" ht="12.75" customHeight="1" x14ac:dyDescent="0.2">
      <c r="A434" s="1"/>
      <c r="B434" s="1"/>
      <c r="C434" s="89"/>
      <c r="D434" s="89"/>
      <c r="E434" s="93"/>
      <c r="F434" s="93"/>
      <c r="G434" s="105"/>
      <c r="H434" s="105"/>
      <c r="I434" s="1"/>
      <c r="J434" s="1"/>
      <c r="K434" s="1"/>
      <c r="L434" s="1"/>
      <c r="M434" s="1"/>
      <c r="N434" s="1"/>
      <c r="O434" s="1"/>
      <c r="P434" s="1"/>
      <c r="Q434" s="1"/>
      <c r="R434" s="1"/>
      <c r="S434" s="1"/>
      <c r="T434" s="1"/>
      <c r="U434" s="1"/>
      <c r="V434" s="1"/>
      <c r="W434" s="1"/>
      <c r="X434" s="1"/>
    </row>
    <row r="435" spans="1:24" ht="12.75" customHeight="1" x14ac:dyDescent="0.2">
      <c r="A435" s="1"/>
      <c r="B435" s="1"/>
      <c r="C435" s="89"/>
      <c r="D435" s="89"/>
      <c r="E435" s="93"/>
      <c r="F435" s="93"/>
      <c r="G435" s="105"/>
      <c r="H435" s="105"/>
      <c r="I435" s="1"/>
      <c r="J435" s="1"/>
      <c r="K435" s="1"/>
      <c r="L435" s="1"/>
      <c r="M435" s="1"/>
      <c r="N435" s="1"/>
      <c r="O435" s="1"/>
      <c r="P435" s="1"/>
      <c r="Q435" s="1"/>
      <c r="R435" s="1"/>
      <c r="S435" s="1"/>
      <c r="T435" s="1"/>
      <c r="U435" s="1"/>
      <c r="V435" s="1"/>
      <c r="W435" s="1"/>
      <c r="X435" s="1"/>
    </row>
    <row r="436" spans="1:24" ht="12.75" customHeight="1" x14ac:dyDescent="0.2">
      <c r="A436" s="1"/>
      <c r="B436" s="1"/>
      <c r="C436" s="89"/>
      <c r="D436" s="89"/>
      <c r="E436" s="93"/>
      <c r="F436" s="93"/>
      <c r="G436" s="105"/>
      <c r="H436" s="105"/>
      <c r="I436" s="1"/>
      <c r="J436" s="1"/>
      <c r="K436" s="1"/>
      <c r="L436" s="1"/>
      <c r="M436" s="1"/>
      <c r="N436" s="1"/>
      <c r="O436" s="1"/>
      <c r="P436" s="1"/>
      <c r="Q436" s="1"/>
      <c r="R436" s="1"/>
      <c r="S436" s="1"/>
      <c r="T436" s="1"/>
      <c r="U436" s="1"/>
      <c r="V436" s="1"/>
      <c r="W436" s="1"/>
      <c r="X436" s="1"/>
    </row>
    <row r="437" spans="1:24" ht="12.75" customHeight="1" x14ac:dyDescent="0.2">
      <c r="A437" s="1"/>
      <c r="B437" s="1"/>
      <c r="C437" s="89"/>
      <c r="D437" s="89"/>
      <c r="E437" s="93"/>
      <c r="F437" s="93"/>
      <c r="G437" s="105"/>
      <c r="H437" s="105"/>
      <c r="I437" s="1"/>
      <c r="J437" s="1"/>
      <c r="K437" s="1"/>
      <c r="L437" s="1"/>
      <c r="M437" s="1"/>
      <c r="N437" s="1"/>
      <c r="O437" s="1"/>
      <c r="P437" s="1"/>
      <c r="Q437" s="1"/>
      <c r="R437" s="1"/>
      <c r="S437" s="1"/>
      <c r="T437" s="1"/>
      <c r="U437" s="1"/>
      <c r="V437" s="1"/>
      <c r="W437" s="1"/>
      <c r="X437" s="1"/>
    </row>
    <row r="438" spans="1:24" ht="12.75" customHeight="1" x14ac:dyDescent="0.2">
      <c r="A438" s="1"/>
      <c r="B438" s="1"/>
      <c r="C438" s="89"/>
      <c r="D438" s="89"/>
      <c r="E438" s="93"/>
      <c r="F438" s="93"/>
      <c r="G438" s="105"/>
      <c r="H438" s="105"/>
      <c r="I438" s="1"/>
      <c r="J438" s="1"/>
      <c r="K438" s="1"/>
      <c r="L438" s="1"/>
      <c r="M438" s="1"/>
      <c r="N438" s="1"/>
      <c r="O438" s="1"/>
      <c r="P438" s="1"/>
      <c r="Q438" s="1"/>
      <c r="R438" s="1"/>
      <c r="S438" s="1"/>
      <c r="T438" s="1"/>
      <c r="U438" s="1"/>
      <c r="V438" s="1"/>
      <c r="W438" s="1"/>
      <c r="X438" s="1"/>
    </row>
    <row r="439" spans="1:24" ht="12.75" customHeight="1" x14ac:dyDescent="0.2">
      <c r="A439" s="1"/>
      <c r="B439" s="1"/>
      <c r="C439" s="89"/>
      <c r="D439" s="89"/>
      <c r="E439" s="93"/>
      <c r="F439" s="93"/>
      <c r="G439" s="105"/>
      <c r="H439" s="105"/>
      <c r="I439" s="1"/>
      <c r="J439" s="1"/>
      <c r="K439" s="1"/>
      <c r="L439" s="1"/>
      <c r="M439" s="1"/>
      <c r="N439" s="1"/>
      <c r="O439" s="1"/>
      <c r="P439" s="1"/>
      <c r="Q439" s="1"/>
      <c r="R439" s="1"/>
      <c r="S439" s="1"/>
      <c r="T439" s="1"/>
      <c r="U439" s="1"/>
      <c r="V439" s="1"/>
      <c r="W439" s="1"/>
      <c r="X439" s="1"/>
    </row>
    <row r="440" spans="1:24" ht="12.75" customHeight="1" x14ac:dyDescent="0.2">
      <c r="A440" s="1"/>
      <c r="B440" s="1"/>
      <c r="C440" s="89"/>
      <c r="D440" s="89"/>
      <c r="E440" s="93"/>
      <c r="F440" s="93"/>
      <c r="G440" s="105"/>
      <c r="H440" s="105"/>
      <c r="I440" s="1"/>
      <c r="J440" s="1"/>
      <c r="K440" s="1"/>
      <c r="L440" s="1"/>
      <c r="M440" s="1"/>
      <c r="N440" s="1"/>
      <c r="O440" s="1"/>
      <c r="P440" s="1"/>
      <c r="Q440" s="1"/>
      <c r="R440" s="1"/>
      <c r="S440" s="1"/>
      <c r="T440" s="1"/>
      <c r="U440" s="1"/>
      <c r="V440" s="1"/>
      <c r="W440" s="1"/>
      <c r="X440" s="1"/>
    </row>
    <row r="441" spans="1:24" ht="12.75" customHeight="1" x14ac:dyDescent="0.2">
      <c r="A441" s="1"/>
      <c r="B441" s="1"/>
      <c r="C441" s="89"/>
      <c r="D441" s="89"/>
      <c r="E441" s="93"/>
      <c r="F441" s="93"/>
      <c r="G441" s="105"/>
      <c r="H441" s="105"/>
      <c r="I441" s="1"/>
      <c r="J441" s="1"/>
      <c r="K441" s="1"/>
      <c r="L441" s="1"/>
      <c r="M441" s="1"/>
      <c r="N441" s="1"/>
      <c r="O441" s="1"/>
      <c r="P441" s="1"/>
      <c r="Q441" s="1"/>
      <c r="R441" s="1"/>
      <c r="S441" s="1"/>
      <c r="T441" s="1"/>
      <c r="U441" s="1"/>
      <c r="V441" s="1"/>
      <c r="W441" s="1"/>
      <c r="X441" s="1"/>
    </row>
    <row r="442" spans="1:24" ht="12.75" customHeight="1" x14ac:dyDescent="0.2">
      <c r="A442" s="1"/>
      <c r="B442" s="1"/>
      <c r="C442" s="89"/>
      <c r="D442" s="89"/>
      <c r="E442" s="93"/>
      <c r="F442" s="93"/>
      <c r="G442" s="105"/>
      <c r="H442" s="105"/>
      <c r="I442" s="1"/>
      <c r="J442" s="1"/>
      <c r="K442" s="1"/>
      <c r="L442" s="1"/>
      <c r="M442" s="1"/>
      <c r="N442" s="1"/>
      <c r="O442" s="1"/>
      <c r="P442" s="1"/>
      <c r="Q442" s="1"/>
      <c r="R442" s="1"/>
      <c r="S442" s="1"/>
      <c r="T442" s="1"/>
      <c r="U442" s="1"/>
      <c r="V442" s="1"/>
      <c r="W442" s="1"/>
      <c r="X442" s="1"/>
    </row>
    <row r="443" spans="1:24" ht="12.75" customHeight="1" x14ac:dyDescent="0.2">
      <c r="A443" s="1"/>
      <c r="B443" s="1"/>
      <c r="C443" s="89"/>
      <c r="D443" s="89"/>
      <c r="E443" s="93"/>
      <c r="F443" s="93"/>
      <c r="G443" s="105"/>
      <c r="H443" s="105"/>
      <c r="I443" s="1"/>
      <c r="J443" s="1"/>
      <c r="K443" s="1"/>
      <c r="L443" s="1"/>
      <c r="M443" s="1"/>
      <c r="N443" s="1"/>
      <c r="O443" s="1"/>
      <c r="P443" s="1"/>
      <c r="Q443" s="1"/>
      <c r="R443" s="1"/>
      <c r="S443" s="1"/>
      <c r="T443" s="1"/>
      <c r="U443" s="1"/>
      <c r="V443" s="1"/>
      <c r="W443" s="1"/>
      <c r="X443" s="1"/>
    </row>
    <row r="444" spans="1:24" ht="12.75" customHeight="1" x14ac:dyDescent="0.2">
      <c r="A444" s="1"/>
      <c r="B444" s="1"/>
      <c r="C444" s="89"/>
      <c r="D444" s="89"/>
      <c r="E444" s="93"/>
      <c r="F444" s="93"/>
      <c r="G444" s="105"/>
      <c r="H444" s="105"/>
      <c r="I444" s="1"/>
      <c r="J444" s="1"/>
      <c r="K444" s="1"/>
      <c r="L444" s="1"/>
      <c r="M444" s="1"/>
      <c r="N444" s="1"/>
      <c r="O444" s="1"/>
      <c r="P444" s="1"/>
      <c r="Q444" s="1"/>
      <c r="R444" s="1"/>
      <c r="S444" s="1"/>
      <c r="T444" s="1"/>
      <c r="U444" s="1"/>
      <c r="V444" s="1"/>
      <c r="W444" s="1"/>
      <c r="X444" s="1"/>
    </row>
    <row r="445" spans="1:24" ht="12.75" customHeight="1" x14ac:dyDescent="0.2">
      <c r="A445" s="1"/>
      <c r="B445" s="1"/>
      <c r="C445" s="89"/>
      <c r="D445" s="89"/>
      <c r="E445" s="93"/>
      <c r="F445" s="93"/>
      <c r="G445" s="105"/>
      <c r="H445" s="105"/>
      <c r="I445" s="1"/>
      <c r="J445" s="1"/>
      <c r="K445" s="1"/>
      <c r="L445" s="1"/>
      <c r="M445" s="1"/>
      <c r="N445" s="1"/>
      <c r="O445" s="1"/>
      <c r="P445" s="1"/>
      <c r="Q445" s="1"/>
      <c r="R445" s="1"/>
      <c r="S445" s="1"/>
      <c r="T445" s="1"/>
      <c r="U445" s="1"/>
      <c r="V445" s="1"/>
      <c r="W445" s="1"/>
      <c r="X445" s="1"/>
    </row>
    <row r="446" spans="1:24" ht="12.75" customHeight="1" x14ac:dyDescent="0.2">
      <c r="A446" s="1"/>
      <c r="B446" s="1"/>
      <c r="C446" s="89"/>
      <c r="D446" s="89"/>
      <c r="E446" s="93"/>
      <c r="F446" s="93"/>
      <c r="G446" s="105"/>
      <c r="H446" s="105"/>
      <c r="I446" s="1"/>
      <c r="J446" s="1"/>
      <c r="K446" s="1"/>
      <c r="L446" s="1"/>
      <c r="M446" s="1"/>
      <c r="N446" s="1"/>
      <c r="O446" s="1"/>
      <c r="P446" s="1"/>
      <c r="Q446" s="1"/>
      <c r="R446" s="1"/>
      <c r="S446" s="1"/>
      <c r="T446" s="1"/>
      <c r="U446" s="1"/>
      <c r="V446" s="1"/>
      <c r="W446" s="1"/>
      <c r="X446" s="1"/>
    </row>
    <row r="447" spans="1:24" ht="12.75" customHeight="1" x14ac:dyDescent="0.2">
      <c r="A447" s="1"/>
      <c r="B447" s="1"/>
      <c r="C447" s="89"/>
      <c r="D447" s="89"/>
      <c r="E447" s="93"/>
      <c r="F447" s="93"/>
      <c r="G447" s="105"/>
      <c r="H447" s="105"/>
      <c r="I447" s="1"/>
      <c r="J447" s="1"/>
      <c r="K447" s="1"/>
      <c r="L447" s="1"/>
      <c r="M447" s="1"/>
      <c r="N447" s="1"/>
      <c r="O447" s="1"/>
      <c r="P447" s="1"/>
      <c r="Q447" s="1"/>
      <c r="R447" s="1"/>
      <c r="S447" s="1"/>
      <c r="T447" s="1"/>
      <c r="U447" s="1"/>
      <c r="V447" s="1"/>
      <c r="W447" s="1"/>
      <c r="X447" s="1"/>
    </row>
    <row r="448" spans="1:24" ht="12.75" customHeight="1" x14ac:dyDescent="0.2">
      <c r="A448" s="1"/>
      <c r="B448" s="1"/>
      <c r="C448" s="89"/>
      <c r="D448" s="89"/>
      <c r="E448" s="93"/>
      <c r="F448" s="93"/>
      <c r="G448" s="105"/>
      <c r="H448" s="105"/>
      <c r="I448" s="1"/>
      <c r="J448" s="1"/>
      <c r="K448" s="1"/>
      <c r="L448" s="1"/>
      <c r="M448" s="1"/>
      <c r="N448" s="1"/>
      <c r="O448" s="1"/>
      <c r="P448" s="1"/>
      <c r="Q448" s="1"/>
      <c r="R448" s="1"/>
      <c r="S448" s="1"/>
      <c r="T448" s="1"/>
      <c r="U448" s="1"/>
      <c r="V448" s="1"/>
      <c r="W448" s="1"/>
      <c r="X448" s="1"/>
    </row>
    <row r="449" spans="1:24" ht="12.75" customHeight="1" x14ac:dyDescent="0.2">
      <c r="A449" s="1"/>
      <c r="B449" s="1"/>
      <c r="C449" s="89"/>
      <c r="D449" s="89"/>
      <c r="E449" s="93"/>
      <c r="F449" s="93"/>
      <c r="G449" s="105"/>
      <c r="H449" s="105"/>
      <c r="I449" s="1"/>
      <c r="J449" s="1"/>
      <c r="K449" s="1"/>
      <c r="L449" s="1"/>
      <c r="M449" s="1"/>
      <c r="N449" s="1"/>
      <c r="O449" s="1"/>
      <c r="P449" s="1"/>
      <c r="Q449" s="1"/>
      <c r="R449" s="1"/>
      <c r="S449" s="1"/>
      <c r="T449" s="1"/>
      <c r="U449" s="1"/>
      <c r="V449" s="1"/>
      <c r="W449" s="1"/>
      <c r="X449" s="1"/>
    </row>
    <row r="450" spans="1:24" ht="12.75" customHeight="1" x14ac:dyDescent="0.2">
      <c r="A450" s="1"/>
      <c r="B450" s="1"/>
      <c r="C450" s="89"/>
      <c r="D450" s="89"/>
      <c r="E450" s="93"/>
      <c r="F450" s="93"/>
      <c r="G450" s="105"/>
      <c r="H450" s="105"/>
      <c r="I450" s="1"/>
      <c r="J450" s="1"/>
      <c r="K450" s="1"/>
      <c r="L450" s="1"/>
      <c r="M450" s="1"/>
      <c r="N450" s="1"/>
      <c r="O450" s="1"/>
      <c r="P450" s="1"/>
      <c r="Q450" s="1"/>
      <c r="R450" s="1"/>
      <c r="S450" s="1"/>
      <c r="T450" s="1"/>
      <c r="U450" s="1"/>
      <c r="V450" s="1"/>
      <c r="W450" s="1"/>
      <c r="X450" s="1"/>
    </row>
    <row r="451" spans="1:24" ht="12.75" customHeight="1" x14ac:dyDescent="0.2">
      <c r="A451" s="1"/>
      <c r="B451" s="1"/>
      <c r="C451" s="89"/>
      <c r="D451" s="89"/>
      <c r="E451" s="93"/>
      <c r="F451" s="93"/>
      <c r="G451" s="105"/>
      <c r="H451" s="105"/>
      <c r="I451" s="1"/>
      <c r="J451" s="1"/>
      <c r="K451" s="1"/>
      <c r="L451" s="1"/>
      <c r="M451" s="1"/>
      <c r="N451" s="1"/>
      <c r="O451" s="1"/>
      <c r="P451" s="1"/>
      <c r="Q451" s="1"/>
      <c r="R451" s="1"/>
      <c r="S451" s="1"/>
      <c r="T451" s="1"/>
      <c r="U451" s="1"/>
      <c r="V451" s="1"/>
      <c r="W451" s="1"/>
      <c r="X451" s="1"/>
    </row>
    <row r="452" spans="1:24" ht="12.75" customHeight="1" x14ac:dyDescent="0.2">
      <c r="A452" s="1"/>
      <c r="B452" s="1"/>
      <c r="C452" s="89"/>
      <c r="D452" s="89"/>
      <c r="E452" s="93"/>
      <c r="F452" s="93"/>
      <c r="G452" s="105"/>
      <c r="H452" s="105"/>
      <c r="I452" s="1"/>
      <c r="J452" s="1"/>
      <c r="K452" s="1"/>
      <c r="L452" s="1"/>
      <c r="M452" s="1"/>
      <c r="N452" s="1"/>
      <c r="O452" s="1"/>
      <c r="P452" s="1"/>
      <c r="Q452" s="1"/>
      <c r="R452" s="1"/>
      <c r="S452" s="1"/>
      <c r="T452" s="1"/>
      <c r="U452" s="1"/>
      <c r="V452" s="1"/>
      <c r="W452" s="1"/>
      <c r="X452" s="1"/>
    </row>
    <row r="453" spans="1:24" ht="12.75" customHeight="1" x14ac:dyDescent="0.2">
      <c r="A453" s="1"/>
      <c r="B453" s="1"/>
      <c r="C453" s="89"/>
      <c r="D453" s="89"/>
      <c r="E453" s="93"/>
      <c r="F453" s="93"/>
      <c r="G453" s="105"/>
      <c r="H453" s="105"/>
      <c r="I453" s="1"/>
      <c r="J453" s="1"/>
      <c r="K453" s="1"/>
      <c r="L453" s="1"/>
      <c r="M453" s="1"/>
      <c r="N453" s="1"/>
      <c r="O453" s="1"/>
      <c r="P453" s="1"/>
      <c r="Q453" s="1"/>
      <c r="R453" s="1"/>
      <c r="S453" s="1"/>
      <c r="T453" s="1"/>
      <c r="U453" s="1"/>
      <c r="V453" s="1"/>
      <c r="W453" s="1"/>
      <c r="X453" s="1"/>
    </row>
    <row r="454" spans="1:24" ht="12.75" customHeight="1" x14ac:dyDescent="0.2">
      <c r="A454" s="1"/>
      <c r="B454" s="1"/>
      <c r="C454" s="89"/>
      <c r="D454" s="89"/>
      <c r="E454" s="93"/>
      <c r="F454" s="93"/>
      <c r="G454" s="105"/>
      <c r="H454" s="105"/>
      <c r="I454" s="1"/>
      <c r="J454" s="1"/>
      <c r="K454" s="1"/>
      <c r="L454" s="1"/>
      <c r="M454" s="1"/>
      <c r="N454" s="1"/>
      <c r="O454" s="1"/>
      <c r="P454" s="1"/>
      <c r="Q454" s="1"/>
      <c r="R454" s="1"/>
      <c r="S454" s="1"/>
      <c r="T454" s="1"/>
      <c r="U454" s="1"/>
      <c r="V454" s="1"/>
      <c r="W454" s="1"/>
      <c r="X454" s="1"/>
    </row>
    <row r="455" spans="1:24" ht="12.75" customHeight="1" x14ac:dyDescent="0.2">
      <c r="A455" s="1"/>
      <c r="B455" s="1"/>
      <c r="C455" s="89"/>
      <c r="D455" s="89"/>
      <c r="E455" s="93"/>
      <c r="F455" s="93"/>
      <c r="G455" s="105"/>
      <c r="H455" s="105"/>
      <c r="I455" s="1"/>
      <c r="J455" s="1"/>
      <c r="K455" s="1"/>
      <c r="L455" s="1"/>
      <c r="M455" s="1"/>
      <c r="N455" s="1"/>
      <c r="O455" s="1"/>
      <c r="P455" s="1"/>
      <c r="Q455" s="1"/>
      <c r="R455" s="1"/>
      <c r="S455" s="1"/>
      <c r="T455" s="1"/>
      <c r="U455" s="1"/>
      <c r="V455" s="1"/>
      <c r="W455" s="1"/>
      <c r="X455" s="1"/>
    </row>
    <row r="456" spans="1:24" ht="12.75" customHeight="1" x14ac:dyDescent="0.2">
      <c r="A456" s="1"/>
      <c r="B456" s="1"/>
      <c r="C456" s="89"/>
      <c r="D456" s="89"/>
      <c r="E456" s="93"/>
      <c r="F456" s="93"/>
      <c r="G456" s="105"/>
      <c r="H456" s="105"/>
      <c r="I456" s="1"/>
      <c r="J456" s="1"/>
      <c r="K456" s="1"/>
      <c r="L456" s="1"/>
      <c r="M456" s="1"/>
      <c r="N456" s="1"/>
      <c r="O456" s="1"/>
      <c r="P456" s="1"/>
      <c r="Q456" s="1"/>
      <c r="R456" s="1"/>
      <c r="S456" s="1"/>
      <c r="T456" s="1"/>
      <c r="U456" s="1"/>
      <c r="V456" s="1"/>
      <c r="W456" s="1"/>
      <c r="X456" s="1"/>
    </row>
    <row r="457" spans="1:24" ht="12.75" customHeight="1" x14ac:dyDescent="0.2">
      <c r="A457" s="1"/>
      <c r="B457" s="1"/>
      <c r="C457" s="89"/>
      <c r="D457" s="89"/>
      <c r="E457" s="93"/>
      <c r="F457" s="93"/>
      <c r="G457" s="105"/>
      <c r="H457" s="105"/>
      <c r="I457" s="1"/>
      <c r="J457" s="1"/>
      <c r="K457" s="1"/>
      <c r="L457" s="1"/>
      <c r="M457" s="1"/>
      <c r="N457" s="1"/>
      <c r="O457" s="1"/>
      <c r="P457" s="1"/>
      <c r="Q457" s="1"/>
      <c r="R457" s="1"/>
      <c r="S457" s="1"/>
      <c r="T457" s="1"/>
      <c r="U457" s="1"/>
      <c r="V457" s="1"/>
      <c r="W457" s="1"/>
      <c r="X457" s="1"/>
    </row>
    <row r="458" spans="1:24" ht="12.75" customHeight="1" x14ac:dyDescent="0.2">
      <c r="A458" s="1"/>
      <c r="B458" s="1"/>
      <c r="C458" s="89"/>
      <c r="D458" s="89"/>
      <c r="E458" s="93"/>
      <c r="F458" s="93"/>
      <c r="G458" s="105"/>
      <c r="H458" s="105"/>
      <c r="I458" s="1"/>
      <c r="J458" s="1"/>
      <c r="K458" s="1"/>
      <c r="L458" s="1"/>
      <c r="M458" s="1"/>
      <c r="N458" s="1"/>
      <c r="O458" s="1"/>
      <c r="P458" s="1"/>
      <c r="Q458" s="1"/>
      <c r="R458" s="1"/>
      <c r="S458" s="1"/>
      <c r="T458" s="1"/>
      <c r="U458" s="1"/>
      <c r="V458" s="1"/>
      <c r="W458" s="1"/>
      <c r="X458" s="1"/>
    </row>
    <row r="459" spans="1:24" ht="12.75" customHeight="1" x14ac:dyDescent="0.2">
      <c r="A459" s="1"/>
      <c r="B459" s="1"/>
      <c r="C459" s="89"/>
      <c r="D459" s="89"/>
      <c r="E459" s="93"/>
      <c r="F459" s="93"/>
      <c r="G459" s="105"/>
      <c r="H459" s="105"/>
      <c r="I459" s="1"/>
      <c r="J459" s="1"/>
      <c r="K459" s="1"/>
      <c r="L459" s="1"/>
      <c r="M459" s="1"/>
      <c r="N459" s="1"/>
      <c r="O459" s="1"/>
      <c r="P459" s="1"/>
      <c r="Q459" s="1"/>
      <c r="R459" s="1"/>
      <c r="S459" s="1"/>
      <c r="T459" s="1"/>
      <c r="U459" s="1"/>
      <c r="V459" s="1"/>
      <c r="W459" s="1"/>
      <c r="X459" s="1"/>
    </row>
    <row r="460" spans="1:24" ht="12.75" customHeight="1" x14ac:dyDescent="0.2">
      <c r="A460" s="1"/>
      <c r="B460" s="1"/>
      <c r="C460" s="89"/>
      <c r="D460" s="89"/>
      <c r="E460" s="93"/>
      <c r="F460" s="93"/>
      <c r="G460" s="105"/>
      <c r="H460" s="105"/>
      <c r="I460" s="1"/>
      <c r="J460" s="1"/>
      <c r="K460" s="1"/>
      <c r="L460" s="1"/>
      <c r="M460" s="1"/>
      <c r="N460" s="1"/>
      <c r="O460" s="1"/>
      <c r="P460" s="1"/>
      <c r="Q460" s="1"/>
      <c r="R460" s="1"/>
      <c r="S460" s="1"/>
      <c r="T460" s="1"/>
      <c r="U460" s="1"/>
      <c r="V460" s="1"/>
      <c r="W460" s="1"/>
      <c r="X460" s="1"/>
    </row>
    <row r="461" spans="1:24" ht="12.75" customHeight="1" x14ac:dyDescent="0.2">
      <c r="A461" s="1"/>
      <c r="B461" s="1"/>
      <c r="C461" s="89"/>
      <c r="D461" s="89"/>
      <c r="E461" s="93"/>
      <c r="F461" s="93"/>
      <c r="G461" s="105"/>
      <c r="H461" s="105"/>
      <c r="I461" s="1"/>
      <c r="J461" s="1"/>
      <c r="K461" s="1"/>
      <c r="L461" s="1"/>
      <c r="M461" s="1"/>
      <c r="N461" s="1"/>
      <c r="O461" s="1"/>
      <c r="P461" s="1"/>
      <c r="Q461" s="1"/>
      <c r="R461" s="1"/>
      <c r="S461" s="1"/>
      <c r="T461" s="1"/>
      <c r="U461" s="1"/>
      <c r="V461" s="1"/>
      <c r="W461" s="1"/>
      <c r="X461" s="1"/>
    </row>
    <row r="462" spans="1:24" ht="12.75" customHeight="1" x14ac:dyDescent="0.2">
      <c r="A462" s="1"/>
      <c r="B462" s="1"/>
      <c r="C462" s="89"/>
      <c r="D462" s="89"/>
      <c r="E462" s="93"/>
      <c r="F462" s="93"/>
      <c r="G462" s="105"/>
      <c r="H462" s="105"/>
      <c r="I462" s="1"/>
      <c r="J462" s="1"/>
      <c r="K462" s="1"/>
      <c r="L462" s="1"/>
      <c r="M462" s="1"/>
      <c r="N462" s="1"/>
      <c r="O462" s="1"/>
      <c r="P462" s="1"/>
      <c r="Q462" s="1"/>
      <c r="R462" s="1"/>
      <c r="S462" s="1"/>
      <c r="T462" s="1"/>
      <c r="U462" s="1"/>
      <c r="V462" s="1"/>
      <c r="W462" s="1"/>
      <c r="X462" s="1"/>
    </row>
    <row r="463" spans="1:24" ht="12.75" customHeight="1" x14ac:dyDescent="0.2">
      <c r="A463" s="1"/>
      <c r="B463" s="1"/>
      <c r="C463" s="89"/>
      <c r="D463" s="89"/>
      <c r="E463" s="93"/>
      <c r="F463" s="93"/>
      <c r="G463" s="105"/>
      <c r="H463" s="105"/>
      <c r="I463" s="1"/>
      <c r="J463" s="1"/>
      <c r="K463" s="1"/>
      <c r="L463" s="1"/>
      <c r="M463" s="1"/>
      <c r="N463" s="1"/>
      <c r="O463" s="1"/>
      <c r="P463" s="1"/>
      <c r="Q463" s="1"/>
      <c r="R463" s="1"/>
      <c r="S463" s="1"/>
      <c r="T463" s="1"/>
      <c r="U463" s="1"/>
      <c r="V463" s="1"/>
      <c r="W463" s="1"/>
      <c r="X463" s="1"/>
    </row>
    <row r="464" spans="1:24" ht="12.75" customHeight="1" x14ac:dyDescent="0.2">
      <c r="A464" s="1"/>
      <c r="B464" s="1"/>
      <c r="C464" s="89"/>
      <c r="D464" s="89"/>
      <c r="E464" s="93"/>
      <c r="F464" s="93"/>
      <c r="G464" s="105"/>
      <c r="H464" s="105"/>
      <c r="I464" s="1"/>
      <c r="J464" s="1"/>
      <c r="K464" s="1"/>
      <c r="L464" s="1"/>
      <c r="M464" s="1"/>
      <c r="N464" s="1"/>
      <c r="O464" s="1"/>
      <c r="P464" s="1"/>
      <c r="Q464" s="1"/>
      <c r="R464" s="1"/>
      <c r="S464" s="1"/>
      <c r="T464" s="1"/>
      <c r="U464" s="1"/>
      <c r="V464" s="1"/>
      <c r="W464" s="1"/>
      <c r="X464" s="1"/>
    </row>
    <row r="465" spans="1:24" ht="12.75" customHeight="1" x14ac:dyDescent="0.2">
      <c r="A465" s="1"/>
      <c r="B465" s="1"/>
      <c r="C465" s="89"/>
      <c r="D465" s="89"/>
      <c r="E465" s="93"/>
      <c r="F465" s="93"/>
      <c r="G465" s="105"/>
      <c r="H465" s="105"/>
      <c r="I465" s="1"/>
      <c r="J465" s="1"/>
      <c r="K465" s="1"/>
      <c r="L465" s="1"/>
      <c r="M465" s="1"/>
      <c r="N465" s="1"/>
      <c r="O465" s="1"/>
      <c r="P465" s="1"/>
      <c r="Q465" s="1"/>
      <c r="R465" s="1"/>
      <c r="S465" s="1"/>
      <c r="T465" s="1"/>
      <c r="U465" s="1"/>
      <c r="V465" s="1"/>
      <c r="W465" s="1"/>
      <c r="X465" s="1"/>
    </row>
    <row r="466" spans="1:24" ht="12.75" customHeight="1" x14ac:dyDescent="0.2">
      <c r="A466" s="1"/>
      <c r="B466" s="1"/>
      <c r="C466" s="89"/>
      <c r="D466" s="89"/>
      <c r="E466" s="93"/>
      <c r="F466" s="93"/>
      <c r="G466" s="105"/>
      <c r="H466" s="105"/>
      <c r="I466" s="1"/>
      <c r="J466" s="1"/>
      <c r="K466" s="1"/>
      <c r="L466" s="1"/>
      <c r="M466" s="1"/>
      <c r="N466" s="1"/>
      <c r="O466" s="1"/>
      <c r="P466" s="1"/>
      <c r="Q466" s="1"/>
      <c r="R466" s="1"/>
      <c r="S466" s="1"/>
      <c r="T466" s="1"/>
      <c r="U466" s="1"/>
      <c r="V466" s="1"/>
      <c r="W466" s="1"/>
      <c r="X466" s="1"/>
    </row>
    <row r="467" spans="1:24" ht="12.75" customHeight="1" x14ac:dyDescent="0.2">
      <c r="A467" s="1"/>
      <c r="B467" s="1"/>
      <c r="C467" s="89"/>
      <c r="D467" s="89"/>
      <c r="E467" s="93"/>
      <c r="F467" s="93"/>
      <c r="G467" s="105"/>
      <c r="H467" s="105"/>
      <c r="I467" s="1"/>
      <c r="J467" s="1"/>
      <c r="K467" s="1"/>
      <c r="L467" s="1"/>
      <c r="M467" s="1"/>
      <c r="N467" s="1"/>
      <c r="O467" s="1"/>
      <c r="P467" s="1"/>
      <c r="Q467" s="1"/>
      <c r="R467" s="1"/>
      <c r="S467" s="1"/>
      <c r="T467" s="1"/>
      <c r="U467" s="1"/>
      <c r="V467" s="1"/>
      <c r="W467" s="1"/>
      <c r="X467" s="1"/>
    </row>
    <row r="468" spans="1:24" ht="12.75" customHeight="1" x14ac:dyDescent="0.2">
      <c r="A468" s="1"/>
      <c r="B468" s="1"/>
      <c r="C468" s="89"/>
      <c r="D468" s="89"/>
      <c r="E468" s="93"/>
      <c r="F468" s="93"/>
      <c r="G468" s="105"/>
      <c r="H468" s="105"/>
      <c r="I468" s="1"/>
      <c r="J468" s="1"/>
      <c r="K468" s="1"/>
      <c r="L468" s="1"/>
      <c r="M468" s="1"/>
      <c r="N468" s="1"/>
      <c r="O468" s="1"/>
      <c r="P468" s="1"/>
      <c r="Q468" s="1"/>
      <c r="R468" s="1"/>
      <c r="S468" s="1"/>
      <c r="T468" s="1"/>
      <c r="U468" s="1"/>
      <c r="V468" s="1"/>
      <c r="W468" s="1"/>
      <c r="X468" s="1"/>
    </row>
    <row r="469" spans="1:24" ht="12.75" customHeight="1" x14ac:dyDescent="0.2">
      <c r="A469" s="1"/>
      <c r="B469" s="1"/>
      <c r="C469" s="89"/>
      <c r="D469" s="89"/>
      <c r="E469" s="93"/>
      <c r="F469" s="93"/>
      <c r="G469" s="105"/>
      <c r="H469" s="105"/>
      <c r="I469" s="1"/>
      <c r="J469" s="1"/>
      <c r="K469" s="1"/>
      <c r="L469" s="1"/>
      <c r="M469" s="1"/>
      <c r="N469" s="1"/>
      <c r="O469" s="1"/>
      <c r="P469" s="1"/>
      <c r="Q469" s="1"/>
      <c r="R469" s="1"/>
      <c r="S469" s="1"/>
      <c r="T469" s="1"/>
      <c r="U469" s="1"/>
      <c r="V469" s="1"/>
      <c r="W469" s="1"/>
      <c r="X469" s="1"/>
    </row>
    <row r="470" spans="1:24" ht="12.75" customHeight="1" x14ac:dyDescent="0.2">
      <c r="A470" s="1"/>
      <c r="B470" s="1"/>
      <c r="C470" s="89"/>
      <c r="D470" s="89"/>
      <c r="E470" s="93"/>
      <c r="F470" s="93"/>
      <c r="G470" s="105"/>
      <c r="H470" s="105"/>
      <c r="I470" s="1"/>
      <c r="J470" s="1"/>
      <c r="K470" s="1"/>
      <c r="L470" s="1"/>
      <c r="M470" s="1"/>
      <c r="N470" s="1"/>
      <c r="O470" s="1"/>
      <c r="P470" s="1"/>
      <c r="Q470" s="1"/>
      <c r="R470" s="1"/>
      <c r="S470" s="1"/>
      <c r="T470" s="1"/>
      <c r="U470" s="1"/>
      <c r="V470" s="1"/>
      <c r="W470" s="1"/>
      <c r="X470" s="1"/>
    </row>
    <row r="471" spans="1:24" ht="12.75" customHeight="1" x14ac:dyDescent="0.2">
      <c r="A471" s="1"/>
      <c r="B471" s="1"/>
      <c r="C471" s="89"/>
      <c r="D471" s="89"/>
      <c r="E471" s="93"/>
      <c r="F471" s="93"/>
      <c r="G471" s="105"/>
      <c r="H471" s="105"/>
      <c r="I471" s="1"/>
      <c r="J471" s="1"/>
      <c r="K471" s="1"/>
      <c r="L471" s="1"/>
      <c r="M471" s="1"/>
      <c r="N471" s="1"/>
      <c r="O471" s="1"/>
      <c r="P471" s="1"/>
      <c r="Q471" s="1"/>
      <c r="R471" s="1"/>
      <c r="S471" s="1"/>
      <c r="T471" s="1"/>
      <c r="U471" s="1"/>
      <c r="V471" s="1"/>
      <c r="W471" s="1"/>
      <c r="X471" s="1"/>
    </row>
    <row r="472" spans="1:24" ht="12.75" customHeight="1" x14ac:dyDescent="0.2">
      <c r="A472" s="1"/>
      <c r="B472" s="1"/>
      <c r="C472" s="89"/>
      <c r="D472" s="89"/>
      <c r="E472" s="93"/>
      <c r="F472" s="93"/>
      <c r="G472" s="105"/>
      <c r="H472" s="105"/>
      <c r="I472" s="1"/>
      <c r="J472" s="1"/>
      <c r="K472" s="1"/>
      <c r="L472" s="1"/>
      <c r="M472" s="1"/>
      <c r="N472" s="1"/>
      <c r="O472" s="1"/>
      <c r="P472" s="1"/>
      <c r="Q472" s="1"/>
      <c r="R472" s="1"/>
      <c r="S472" s="1"/>
      <c r="T472" s="1"/>
      <c r="U472" s="1"/>
      <c r="V472" s="1"/>
      <c r="W472" s="1"/>
      <c r="X472" s="1"/>
    </row>
    <row r="473" spans="1:24" ht="12.75" customHeight="1" x14ac:dyDescent="0.2">
      <c r="A473" s="1"/>
      <c r="B473" s="1"/>
      <c r="C473" s="89"/>
      <c r="D473" s="89"/>
      <c r="E473" s="93"/>
      <c r="F473" s="93"/>
      <c r="G473" s="105"/>
      <c r="H473" s="105"/>
      <c r="I473" s="1"/>
      <c r="J473" s="1"/>
      <c r="K473" s="1"/>
      <c r="L473" s="1"/>
      <c r="M473" s="1"/>
      <c r="N473" s="1"/>
      <c r="O473" s="1"/>
      <c r="P473" s="1"/>
      <c r="Q473" s="1"/>
      <c r="R473" s="1"/>
      <c r="S473" s="1"/>
      <c r="T473" s="1"/>
      <c r="U473" s="1"/>
      <c r="V473" s="1"/>
      <c r="W473" s="1"/>
      <c r="X473" s="1"/>
    </row>
    <row r="474" spans="1:24" ht="12.75" customHeight="1" x14ac:dyDescent="0.2">
      <c r="A474" s="1"/>
      <c r="B474" s="1"/>
      <c r="C474" s="89"/>
      <c r="D474" s="89"/>
      <c r="E474" s="93"/>
      <c r="F474" s="93"/>
      <c r="G474" s="105"/>
      <c r="H474" s="105"/>
      <c r="I474" s="1"/>
      <c r="J474" s="1"/>
      <c r="K474" s="1"/>
      <c r="L474" s="1"/>
      <c r="M474" s="1"/>
      <c r="N474" s="1"/>
      <c r="O474" s="1"/>
      <c r="P474" s="1"/>
      <c r="Q474" s="1"/>
      <c r="R474" s="1"/>
      <c r="S474" s="1"/>
      <c r="T474" s="1"/>
      <c r="U474" s="1"/>
      <c r="V474" s="1"/>
      <c r="W474" s="1"/>
      <c r="X474" s="1"/>
    </row>
    <row r="475" spans="1:24" ht="12.75" customHeight="1" x14ac:dyDescent="0.2">
      <c r="A475" s="1"/>
      <c r="B475" s="1"/>
      <c r="C475" s="89"/>
      <c r="D475" s="89"/>
      <c r="E475" s="93"/>
      <c r="F475" s="93"/>
      <c r="G475" s="105"/>
      <c r="H475" s="105"/>
      <c r="I475" s="1"/>
      <c r="J475" s="1"/>
      <c r="K475" s="1"/>
      <c r="L475" s="1"/>
      <c r="M475" s="1"/>
      <c r="N475" s="1"/>
      <c r="O475" s="1"/>
      <c r="P475" s="1"/>
      <c r="Q475" s="1"/>
      <c r="R475" s="1"/>
      <c r="S475" s="1"/>
      <c r="T475" s="1"/>
      <c r="U475" s="1"/>
      <c r="V475" s="1"/>
      <c r="W475" s="1"/>
      <c r="X475" s="1"/>
    </row>
    <row r="476" spans="1:24" ht="12.75" customHeight="1" x14ac:dyDescent="0.2">
      <c r="A476" s="1"/>
      <c r="B476" s="1"/>
      <c r="C476" s="89"/>
      <c r="D476" s="89"/>
      <c r="E476" s="93"/>
      <c r="F476" s="93"/>
      <c r="G476" s="105"/>
      <c r="H476" s="105"/>
      <c r="I476" s="1"/>
      <c r="J476" s="1"/>
      <c r="K476" s="1"/>
      <c r="L476" s="1"/>
      <c r="M476" s="1"/>
      <c r="N476" s="1"/>
      <c r="O476" s="1"/>
      <c r="P476" s="1"/>
      <c r="Q476" s="1"/>
      <c r="R476" s="1"/>
      <c r="S476" s="1"/>
      <c r="T476" s="1"/>
      <c r="U476" s="1"/>
      <c r="V476" s="1"/>
      <c r="W476" s="1"/>
      <c r="X476" s="1"/>
    </row>
    <row r="477" spans="1:24" ht="12.75" customHeight="1" x14ac:dyDescent="0.2">
      <c r="A477" s="1"/>
      <c r="B477" s="1"/>
      <c r="C477" s="89"/>
      <c r="D477" s="89"/>
      <c r="E477" s="93"/>
      <c r="F477" s="93"/>
      <c r="G477" s="105"/>
      <c r="H477" s="105"/>
      <c r="I477" s="1"/>
      <c r="J477" s="1"/>
      <c r="K477" s="1"/>
      <c r="L477" s="1"/>
      <c r="M477" s="1"/>
      <c r="N477" s="1"/>
      <c r="O477" s="1"/>
      <c r="P477" s="1"/>
      <c r="Q477" s="1"/>
      <c r="R477" s="1"/>
      <c r="S477" s="1"/>
      <c r="T477" s="1"/>
      <c r="U477" s="1"/>
      <c r="V477" s="1"/>
      <c r="W477" s="1"/>
      <c r="X477" s="1"/>
    </row>
    <row r="478" spans="1:24" ht="12.75" customHeight="1" x14ac:dyDescent="0.2">
      <c r="A478" s="1"/>
      <c r="B478" s="1"/>
      <c r="C478" s="89"/>
      <c r="D478" s="89"/>
      <c r="E478" s="93"/>
      <c r="F478" s="93"/>
      <c r="G478" s="105"/>
      <c r="H478" s="105"/>
      <c r="I478" s="1"/>
      <c r="J478" s="1"/>
      <c r="K478" s="1"/>
      <c r="L478" s="1"/>
      <c r="M478" s="1"/>
      <c r="N478" s="1"/>
      <c r="O478" s="1"/>
      <c r="P478" s="1"/>
      <c r="Q478" s="1"/>
      <c r="R478" s="1"/>
      <c r="S478" s="1"/>
      <c r="T478" s="1"/>
      <c r="U478" s="1"/>
      <c r="V478" s="1"/>
      <c r="W478" s="1"/>
      <c r="X478" s="1"/>
    </row>
    <row r="479" spans="1:24" ht="12.75" customHeight="1" x14ac:dyDescent="0.2">
      <c r="A479" s="1"/>
      <c r="B479" s="1"/>
      <c r="C479" s="89"/>
      <c r="D479" s="89"/>
      <c r="E479" s="93"/>
      <c r="F479" s="93"/>
      <c r="G479" s="105"/>
      <c r="H479" s="105"/>
      <c r="I479" s="1"/>
      <c r="J479" s="1"/>
      <c r="K479" s="1"/>
      <c r="L479" s="1"/>
      <c r="M479" s="1"/>
      <c r="N479" s="1"/>
      <c r="O479" s="1"/>
      <c r="P479" s="1"/>
      <c r="Q479" s="1"/>
      <c r="R479" s="1"/>
      <c r="S479" s="1"/>
      <c r="T479" s="1"/>
      <c r="U479" s="1"/>
      <c r="V479" s="1"/>
      <c r="W479" s="1"/>
      <c r="X479" s="1"/>
    </row>
    <row r="480" spans="1:24" ht="12.75" customHeight="1" x14ac:dyDescent="0.2">
      <c r="A480" s="1"/>
      <c r="B480" s="1"/>
      <c r="C480" s="89"/>
      <c r="D480" s="89"/>
      <c r="E480" s="93"/>
      <c r="F480" s="93"/>
      <c r="G480" s="105"/>
      <c r="H480" s="105"/>
      <c r="I480" s="1"/>
      <c r="J480" s="1"/>
      <c r="K480" s="1"/>
      <c r="L480" s="1"/>
      <c r="M480" s="1"/>
      <c r="N480" s="1"/>
      <c r="O480" s="1"/>
      <c r="P480" s="1"/>
      <c r="Q480" s="1"/>
      <c r="R480" s="1"/>
      <c r="S480" s="1"/>
      <c r="T480" s="1"/>
      <c r="U480" s="1"/>
      <c r="V480" s="1"/>
      <c r="W480" s="1"/>
      <c r="X480" s="1"/>
    </row>
    <row r="481" spans="1:24" ht="12.75" customHeight="1" x14ac:dyDescent="0.2">
      <c r="A481" s="1"/>
      <c r="B481" s="1"/>
      <c r="C481" s="89"/>
      <c r="D481" s="89"/>
      <c r="E481" s="93"/>
      <c r="F481" s="93"/>
      <c r="G481" s="105"/>
      <c r="H481" s="105"/>
      <c r="I481" s="1"/>
      <c r="J481" s="1"/>
      <c r="K481" s="1"/>
      <c r="L481" s="1"/>
      <c r="M481" s="1"/>
      <c r="N481" s="1"/>
      <c r="O481" s="1"/>
      <c r="P481" s="1"/>
      <c r="Q481" s="1"/>
      <c r="R481" s="1"/>
      <c r="S481" s="1"/>
      <c r="T481" s="1"/>
      <c r="U481" s="1"/>
      <c r="V481" s="1"/>
      <c r="W481" s="1"/>
      <c r="X481" s="1"/>
    </row>
    <row r="482" spans="1:24" ht="12.75" customHeight="1" x14ac:dyDescent="0.2">
      <c r="A482" s="1"/>
      <c r="B482" s="1"/>
      <c r="C482" s="89"/>
      <c r="D482" s="89"/>
      <c r="E482" s="93"/>
      <c r="F482" s="93"/>
      <c r="G482" s="105"/>
      <c r="H482" s="105"/>
      <c r="I482" s="1"/>
      <c r="J482" s="1"/>
      <c r="K482" s="1"/>
      <c r="L482" s="1"/>
      <c r="M482" s="1"/>
      <c r="N482" s="1"/>
      <c r="O482" s="1"/>
      <c r="P482" s="1"/>
      <c r="Q482" s="1"/>
      <c r="R482" s="1"/>
      <c r="S482" s="1"/>
      <c r="T482" s="1"/>
      <c r="U482" s="1"/>
      <c r="V482" s="1"/>
      <c r="W482" s="1"/>
      <c r="X482" s="1"/>
    </row>
    <row r="483" spans="1:24" ht="12.75" customHeight="1" x14ac:dyDescent="0.2">
      <c r="A483" s="1"/>
      <c r="B483" s="1"/>
      <c r="C483" s="89"/>
      <c r="D483" s="89"/>
      <c r="E483" s="93"/>
      <c r="F483" s="93"/>
      <c r="G483" s="105"/>
      <c r="H483" s="105"/>
      <c r="I483" s="1"/>
      <c r="J483" s="1"/>
      <c r="K483" s="1"/>
      <c r="L483" s="1"/>
      <c r="M483" s="1"/>
      <c r="N483" s="1"/>
      <c r="O483" s="1"/>
      <c r="P483" s="1"/>
      <c r="Q483" s="1"/>
      <c r="R483" s="1"/>
      <c r="S483" s="1"/>
      <c r="T483" s="1"/>
      <c r="U483" s="1"/>
      <c r="V483" s="1"/>
      <c r="W483" s="1"/>
      <c r="X483" s="1"/>
    </row>
    <row r="484" spans="1:24" ht="12.75" customHeight="1" x14ac:dyDescent="0.2">
      <c r="A484" s="1"/>
      <c r="B484" s="1"/>
      <c r="C484" s="89"/>
      <c r="D484" s="89"/>
      <c r="E484" s="93"/>
      <c r="F484" s="93"/>
      <c r="G484" s="105"/>
      <c r="H484" s="105"/>
      <c r="I484" s="1"/>
      <c r="J484" s="1"/>
      <c r="K484" s="1"/>
      <c r="L484" s="1"/>
      <c r="M484" s="1"/>
      <c r="N484" s="1"/>
      <c r="O484" s="1"/>
      <c r="P484" s="1"/>
      <c r="Q484" s="1"/>
      <c r="R484" s="1"/>
      <c r="S484" s="1"/>
      <c r="T484" s="1"/>
      <c r="U484" s="1"/>
      <c r="V484" s="1"/>
      <c r="W484" s="1"/>
      <c r="X484" s="1"/>
    </row>
    <row r="485" spans="1:24" ht="12.75" customHeight="1" x14ac:dyDescent="0.2">
      <c r="A485" s="1"/>
      <c r="B485" s="1"/>
      <c r="C485" s="89"/>
      <c r="D485" s="89"/>
      <c r="E485" s="93"/>
      <c r="F485" s="93"/>
      <c r="G485" s="105"/>
      <c r="H485" s="105"/>
      <c r="I485" s="1"/>
      <c r="J485" s="1"/>
      <c r="K485" s="1"/>
      <c r="L485" s="1"/>
      <c r="M485" s="1"/>
      <c r="N485" s="1"/>
      <c r="O485" s="1"/>
      <c r="P485" s="1"/>
      <c r="Q485" s="1"/>
      <c r="R485" s="1"/>
      <c r="S485" s="1"/>
      <c r="T485" s="1"/>
      <c r="U485" s="1"/>
      <c r="V485" s="1"/>
      <c r="W485" s="1"/>
      <c r="X485" s="1"/>
    </row>
    <row r="486" spans="1:24" ht="12.75" customHeight="1" x14ac:dyDescent="0.2">
      <c r="A486" s="1"/>
      <c r="B486" s="1"/>
      <c r="C486" s="89"/>
      <c r="D486" s="89"/>
      <c r="E486" s="93"/>
      <c r="F486" s="93"/>
      <c r="G486" s="105"/>
      <c r="H486" s="105"/>
      <c r="I486" s="1"/>
      <c r="J486" s="1"/>
      <c r="K486" s="1"/>
      <c r="L486" s="1"/>
      <c r="M486" s="1"/>
      <c r="N486" s="1"/>
      <c r="O486" s="1"/>
      <c r="P486" s="1"/>
      <c r="Q486" s="1"/>
      <c r="R486" s="1"/>
      <c r="S486" s="1"/>
      <c r="T486" s="1"/>
      <c r="U486" s="1"/>
      <c r="V486" s="1"/>
      <c r="W486" s="1"/>
      <c r="X486" s="1"/>
    </row>
    <row r="487" spans="1:24" ht="12.75" customHeight="1" x14ac:dyDescent="0.2">
      <c r="A487" s="1"/>
      <c r="B487" s="1"/>
      <c r="C487" s="89"/>
      <c r="D487" s="89"/>
      <c r="E487" s="93"/>
      <c r="F487" s="93"/>
      <c r="G487" s="105"/>
      <c r="H487" s="105"/>
      <c r="I487" s="1"/>
      <c r="J487" s="1"/>
      <c r="K487" s="1"/>
      <c r="L487" s="1"/>
      <c r="M487" s="1"/>
      <c r="N487" s="1"/>
      <c r="O487" s="1"/>
      <c r="P487" s="1"/>
      <c r="Q487" s="1"/>
      <c r="R487" s="1"/>
      <c r="S487" s="1"/>
      <c r="T487" s="1"/>
      <c r="U487" s="1"/>
      <c r="V487" s="1"/>
      <c r="W487" s="1"/>
      <c r="X487" s="1"/>
    </row>
    <row r="488" spans="1:24" ht="12.75" customHeight="1" x14ac:dyDescent="0.2">
      <c r="A488" s="1"/>
      <c r="B488" s="1"/>
      <c r="C488" s="89"/>
      <c r="D488" s="89"/>
      <c r="E488" s="93"/>
      <c r="F488" s="93"/>
      <c r="G488" s="105"/>
      <c r="H488" s="105"/>
      <c r="I488" s="1"/>
      <c r="J488" s="1"/>
      <c r="K488" s="1"/>
      <c r="L488" s="1"/>
      <c r="M488" s="1"/>
      <c r="N488" s="1"/>
      <c r="O488" s="1"/>
      <c r="P488" s="1"/>
      <c r="Q488" s="1"/>
      <c r="R488" s="1"/>
      <c r="S488" s="1"/>
      <c r="T488" s="1"/>
      <c r="U488" s="1"/>
      <c r="V488" s="1"/>
      <c r="W488" s="1"/>
      <c r="X488" s="1"/>
    </row>
    <row r="489" spans="1:24" ht="12.75" customHeight="1" x14ac:dyDescent="0.2">
      <c r="A489" s="1"/>
      <c r="B489" s="1"/>
      <c r="C489" s="89"/>
      <c r="D489" s="89"/>
      <c r="E489" s="93"/>
      <c r="F489" s="93"/>
      <c r="G489" s="105"/>
      <c r="H489" s="105"/>
      <c r="I489" s="1"/>
      <c r="J489" s="1"/>
      <c r="K489" s="1"/>
      <c r="L489" s="1"/>
      <c r="M489" s="1"/>
      <c r="N489" s="1"/>
      <c r="O489" s="1"/>
      <c r="P489" s="1"/>
      <c r="Q489" s="1"/>
      <c r="R489" s="1"/>
      <c r="S489" s="1"/>
      <c r="T489" s="1"/>
      <c r="U489" s="1"/>
      <c r="V489" s="1"/>
      <c r="W489" s="1"/>
      <c r="X489" s="1"/>
    </row>
    <row r="490" spans="1:24" ht="12.75" customHeight="1" x14ac:dyDescent="0.2">
      <c r="A490" s="1"/>
      <c r="B490" s="1"/>
      <c r="C490" s="89"/>
      <c r="D490" s="89"/>
      <c r="E490" s="93"/>
      <c r="F490" s="93"/>
      <c r="G490" s="105"/>
      <c r="H490" s="105"/>
      <c r="I490" s="1"/>
      <c r="J490" s="1"/>
      <c r="K490" s="1"/>
      <c r="L490" s="1"/>
      <c r="M490" s="1"/>
      <c r="N490" s="1"/>
      <c r="O490" s="1"/>
      <c r="P490" s="1"/>
      <c r="Q490" s="1"/>
      <c r="R490" s="1"/>
      <c r="S490" s="1"/>
      <c r="T490" s="1"/>
      <c r="U490" s="1"/>
      <c r="V490" s="1"/>
      <c r="W490" s="1"/>
      <c r="X490" s="1"/>
    </row>
    <row r="491" spans="1:24" ht="12.75" customHeight="1" x14ac:dyDescent="0.2">
      <c r="A491" s="1"/>
      <c r="B491" s="1"/>
      <c r="C491" s="89"/>
      <c r="D491" s="89"/>
      <c r="E491" s="93"/>
      <c r="F491" s="93"/>
      <c r="G491" s="105"/>
      <c r="H491" s="105"/>
      <c r="I491" s="1"/>
      <c r="J491" s="1"/>
      <c r="K491" s="1"/>
      <c r="L491" s="1"/>
      <c r="M491" s="1"/>
      <c r="N491" s="1"/>
      <c r="O491" s="1"/>
      <c r="P491" s="1"/>
      <c r="Q491" s="1"/>
      <c r="R491" s="1"/>
      <c r="S491" s="1"/>
      <c r="T491" s="1"/>
      <c r="U491" s="1"/>
      <c r="V491" s="1"/>
      <c r="W491" s="1"/>
      <c r="X491" s="1"/>
    </row>
    <row r="492" spans="1:24" ht="12.75" customHeight="1" x14ac:dyDescent="0.2">
      <c r="A492" s="1"/>
      <c r="B492" s="1"/>
      <c r="C492" s="89"/>
      <c r="D492" s="89"/>
      <c r="E492" s="93"/>
      <c r="F492" s="93"/>
      <c r="G492" s="105"/>
      <c r="H492" s="105"/>
      <c r="I492" s="1"/>
      <c r="J492" s="1"/>
      <c r="K492" s="1"/>
      <c r="L492" s="1"/>
      <c r="M492" s="1"/>
      <c r="N492" s="1"/>
      <c r="O492" s="1"/>
      <c r="P492" s="1"/>
      <c r="Q492" s="1"/>
      <c r="R492" s="1"/>
      <c r="S492" s="1"/>
      <c r="T492" s="1"/>
      <c r="U492" s="1"/>
      <c r="V492" s="1"/>
      <c r="W492" s="1"/>
      <c r="X492" s="1"/>
    </row>
    <row r="493" spans="1:24" ht="12.75" customHeight="1" x14ac:dyDescent="0.2">
      <c r="A493" s="1"/>
      <c r="B493" s="1"/>
      <c r="C493" s="89"/>
      <c r="D493" s="89"/>
      <c r="E493" s="93"/>
      <c r="F493" s="93"/>
      <c r="G493" s="105"/>
      <c r="H493" s="105"/>
      <c r="I493" s="1"/>
      <c r="J493" s="1"/>
      <c r="K493" s="1"/>
      <c r="L493" s="1"/>
      <c r="M493" s="1"/>
      <c r="N493" s="1"/>
      <c r="O493" s="1"/>
      <c r="P493" s="1"/>
      <c r="Q493" s="1"/>
      <c r="R493" s="1"/>
      <c r="S493" s="1"/>
      <c r="T493" s="1"/>
      <c r="U493" s="1"/>
      <c r="V493" s="1"/>
      <c r="W493" s="1"/>
      <c r="X493" s="1"/>
    </row>
    <row r="494" spans="1:24" ht="12.75" customHeight="1" x14ac:dyDescent="0.2">
      <c r="A494" s="1"/>
      <c r="B494" s="1"/>
      <c r="C494" s="89"/>
      <c r="D494" s="89"/>
      <c r="E494" s="93"/>
      <c r="F494" s="93"/>
      <c r="G494" s="105"/>
      <c r="H494" s="105"/>
      <c r="I494" s="1"/>
      <c r="J494" s="1"/>
      <c r="K494" s="1"/>
      <c r="L494" s="1"/>
      <c r="M494" s="1"/>
      <c r="N494" s="1"/>
      <c r="O494" s="1"/>
      <c r="P494" s="1"/>
      <c r="Q494" s="1"/>
      <c r="R494" s="1"/>
      <c r="S494" s="1"/>
      <c r="T494" s="1"/>
      <c r="U494" s="1"/>
      <c r="V494" s="1"/>
      <c r="W494" s="1"/>
      <c r="X494" s="1"/>
    </row>
    <row r="495" spans="1:24" ht="12.75" customHeight="1" x14ac:dyDescent="0.2">
      <c r="A495" s="1"/>
      <c r="B495" s="1"/>
      <c r="C495" s="89"/>
      <c r="D495" s="89"/>
      <c r="E495" s="93"/>
      <c r="F495" s="93"/>
      <c r="G495" s="105"/>
      <c r="H495" s="105"/>
      <c r="I495" s="1"/>
      <c r="J495" s="1"/>
      <c r="K495" s="1"/>
      <c r="L495" s="1"/>
      <c r="M495" s="1"/>
      <c r="N495" s="1"/>
      <c r="O495" s="1"/>
      <c r="P495" s="1"/>
      <c r="Q495" s="1"/>
      <c r="R495" s="1"/>
      <c r="S495" s="1"/>
      <c r="T495" s="1"/>
      <c r="U495" s="1"/>
      <c r="V495" s="1"/>
      <c r="W495" s="1"/>
      <c r="X495" s="1"/>
    </row>
    <row r="496" spans="1:24" ht="12.75" customHeight="1" x14ac:dyDescent="0.2">
      <c r="A496" s="1"/>
      <c r="B496" s="1"/>
      <c r="C496" s="89"/>
      <c r="D496" s="89"/>
      <c r="E496" s="93"/>
      <c r="F496" s="93"/>
      <c r="G496" s="105"/>
      <c r="H496" s="105"/>
      <c r="I496" s="1"/>
      <c r="J496" s="1"/>
      <c r="K496" s="1"/>
      <c r="L496" s="1"/>
      <c r="M496" s="1"/>
      <c r="N496" s="1"/>
      <c r="O496" s="1"/>
      <c r="P496" s="1"/>
      <c r="Q496" s="1"/>
      <c r="R496" s="1"/>
      <c r="S496" s="1"/>
      <c r="T496" s="1"/>
      <c r="U496" s="1"/>
      <c r="V496" s="1"/>
      <c r="W496" s="1"/>
      <c r="X496" s="1"/>
    </row>
    <row r="497" spans="1:24" ht="12.75" customHeight="1" x14ac:dyDescent="0.2">
      <c r="A497" s="1"/>
      <c r="B497" s="1"/>
      <c r="C497" s="89"/>
      <c r="D497" s="89"/>
      <c r="E497" s="93"/>
      <c r="F497" s="93"/>
      <c r="G497" s="105"/>
      <c r="H497" s="105"/>
      <c r="I497" s="1"/>
      <c r="J497" s="1"/>
      <c r="K497" s="1"/>
      <c r="L497" s="1"/>
      <c r="M497" s="1"/>
      <c r="N497" s="1"/>
      <c r="O497" s="1"/>
      <c r="P497" s="1"/>
      <c r="Q497" s="1"/>
      <c r="R497" s="1"/>
      <c r="S497" s="1"/>
      <c r="T497" s="1"/>
      <c r="U497" s="1"/>
      <c r="V497" s="1"/>
      <c r="W497" s="1"/>
      <c r="X497" s="1"/>
    </row>
    <row r="498" spans="1:24" ht="12.75" customHeight="1" x14ac:dyDescent="0.2">
      <c r="A498" s="1"/>
      <c r="B498" s="1"/>
      <c r="C498" s="89"/>
      <c r="D498" s="89"/>
      <c r="E498" s="93"/>
      <c r="F498" s="93"/>
      <c r="G498" s="105"/>
      <c r="H498" s="105"/>
      <c r="I498" s="1"/>
      <c r="J498" s="1"/>
      <c r="K498" s="1"/>
      <c r="L498" s="1"/>
      <c r="M498" s="1"/>
      <c r="N498" s="1"/>
      <c r="O498" s="1"/>
      <c r="P498" s="1"/>
      <c r="Q498" s="1"/>
      <c r="R498" s="1"/>
      <c r="S498" s="1"/>
      <c r="T498" s="1"/>
      <c r="U498" s="1"/>
      <c r="V498" s="1"/>
      <c r="W498" s="1"/>
      <c r="X498" s="1"/>
    </row>
    <row r="499" spans="1:24" ht="12.75" customHeight="1" x14ac:dyDescent="0.2">
      <c r="A499" s="1"/>
      <c r="B499" s="1"/>
      <c r="C499" s="89"/>
      <c r="D499" s="89"/>
      <c r="E499" s="93"/>
      <c r="F499" s="93"/>
      <c r="G499" s="105"/>
      <c r="H499" s="105"/>
      <c r="I499" s="1"/>
      <c r="J499" s="1"/>
      <c r="K499" s="1"/>
      <c r="L499" s="1"/>
      <c r="M499" s="1"/>
      <c r="N499" s="1"/>
      <c r="O499" s="1"/>
      <c r="P499" s="1"/>
      <c r="Q499" s="1"/>
      <c r="R499" s="1"/>
      <c r="S499" s="1"/>
      <c r="T499" s="1"/>
      <c r="U499" s="1"/>
      <c r="V499" s="1"/>
      <c r="W499" s="1"/>
      <c r="X499" s="1"/>
    </row>
    <row r="500" spans="1:24" ht="12.75" customHeight="1" x14ac:dyDescent="0.2">
      <c r="A500" s="1"/>
      <c r="B500" s="1"/>
      <c r="C500" s="89"/>
      <c r="D500" s="89"/>
      <c r="E500" s="93"/>
      <c r="F500" s="93"/>
      <c r="G500" s="105"/>
      <c r="H500" s="105"/>
      <c r="I500" s="1"/>
      <c r="J500" s="1"/>
      <c r="K500" s="1"/>
      <c r="L500" s="1"/>
      <c r="M500" s="1"/>
      <c r="N500" s="1"/>
      <c r="O500" s="1"/>
      <c r="P500" s="1"/>
      <c r="Q500" s="1"/>
      <c r="R500" s="1"/>
      <c r="S500" s="1"/>
      <c r="T500" s="1"/>
      <c r="U500" s="1"/>
      <c r="V500" s="1"/>
      <c r="W500" s="1"/>
      <c r="X500" s="1"/>
    </row>
    <row r="501" spans="1:24" ht="12.75" customHeight="1" x14ac:dyDescent="0.2">
      <c r="A501" s="1"/>
      <c r="B501" s="1"/>
      <c r="C501" s="89"/>
      <c r="D501" s="89"/>
      <c r="E501" s="93"/>
      <c r="F501" s="93"/>
      <c r="G501" s="105"/>
      <c r="H501" s="105"/>
      <c r="I501" s="1"/>
      <c r="J501" s="1"/>
      <c r="K501" s="1"/>
      <c r="L501" s="1"/>
      <c r="M501" s="1"/>
      <c r="N501" s="1"/>
      <c r="O501" s="1"/>
      <c r="P501" s="1"/>
      <c r="Q501" s="1"/>
      <c r="R501" s="1"/>
      <c r="S501" s="1"/>
      <c r="T501" s="1"/>
      <c r="U501" s="1"/>
      <c r="V501" s="1"/>
      <c r="W501" s="1"/>
      <c r="X501" s="1"/>
    </row>
    <row r="502" spans="1:24" ht="12.75" customHeight="1" x14ac:dyDescent="0.2">
      <c r="A502" s="1"/>
      <c r="B502" s="1"/>
      <c r="C502" s="89"/>
      <c r="D502" s="89"/>
      <c r="E502" s="93"/>
      <c r="F502" s="93"/>
      <c r="G502" s="105"/>
      <c r="H502" s="105"/>
      <c r="I502" s="1"/>
      <c r="J502" s="1"/>
      <c r="K502" s="1"/>
      <c r="L502" s="1"/>
      <c r="M502" s="1"/>
      <c r="N502" s="1"/>
      <c r="O502" s="1"/>
      <c r="P502" s="1"/>
      <c r="Q502" s="1"/>
      <c r="R502" s="1"/>
      <c r="S502" s="1"/>
      <c r="T502" s="1"/>
      <c r="U502" s="1"/>
      <c r="V502" s="1"/>
      <c r="W502" s="1"/>
      <c r="X502" s="1"/>
    </row>
    <row r="503" spans="1:24" ht="12.75" customHeight="1" x14ac:dyDescent="0.2">
      <c r="A503" s="1"/>
      <c r="B503" s="1"/>
      <c r="C503" s="89"/>
      <c r="D503" s="89"/>
      <c r="E503" s="93"/>
      <c r="F503" s="93"/>
      <c r="G503" s="105"/>
      <c r="H503" s="105"/>
      <c r="I503" s="1"/>
      <c r="J503" s="1"/>
      <c r="K503" s="1"/>
      <c r="L503" s="1"/>
      <c r="M503" s="1"/>
      <c r="N503" s="1"/>
      <c r="O503" s="1"/>
      <c r="P503" s="1"/>
      <c r="Q503" s="1"/>
      <c r="R503" s="1"/>
      <c r="S503" s="1"/>
      <c r="T503" s="1"/>
      <c r="U503" s="1"/>
      <c r="V503" s="1"/>
      <c r="W503" s="1"/>
      <c r="X503" s="1"/>
    </row>
    <row r="504" spans="1:24" ht="12.75" customHeight="1" x14ac:dyDescent="0.2">
      <c r="A504" s="1"/>
      <c r="B504" s="1"/>
      <c r="C504" s="89"/>
      <c r="D504" s="89"/>
      <c r="E504" s="93"/>
      <c r="F504" s="93"/>
      <c r="G504" s="105"/>
      <c r="H504" s="105"/>
      <c r="I504" s="1"/>
      <c r="J504" s="1"/>
      <c r="K504" s="1"/>
      <c r="L504" s="1"/>
      <c r="M504" s="1"/>
      <c r="N504" s="1"/>
      <c r="O504" s="1"/>
      <c r="P504" s="1"/>
      <c r="Q504" s="1"/>
      <c r="R504" s="1"/>
      <c r="S504" s="1"/>
      <c r="T504" s="1"/>
      <c r="U504" s="1"/>
      <c r="V504" s="1"/>
      <c r="W504" s="1"/>
      <c r="X504" s="1"/>
    </row>
    <row r="505" spans="1:24" ht="12.75" customHeight="1" x14ac:dyDescent="0.2">
      <c r="A505" s="1"/>
      <c r="B505" s="1"/>
      <c r="C505" s="89"/>
      <c r="D505" s="89"/>
      <c r="E505" s="93"/>
      <c r="F505" s="93"/>
      <c r="G505" s="105"/>
      <c r="H505" s="105"/>
      <c r="I505" s="1"/>
      <c r="J505" s="1"/>
      <c r="K505" s="1"/>
      <c r="L505" s="1"/>
      <c r="M505" s="1"/>
      <c r="N505" s="1"/>
      <c r="O505" s="1"/>
      <c r="P505" s="1"/>
      <c r="Q505" s="1"/>
      <c r="R505" s="1"/>
      <c r="S505" s="1"/>
      <c r="T505" s="1"/>
      <c r="U505" s="1"/>
      <c r="V505" s="1"/>
      <c r="W505" s="1"/>
      <c r="X505" s="1"/>
    </row>
    <row r="506" spans="1:24" ht="12.75" customHeight="1" x14ac:dyDescent="0.2">
      <c r="A506" s="1"/>
      <c r="B506" s="1"/>
      <c r="C506" s="89"/>
      <c r="D506" s="89"/>
      <c r="E506" s="93"/>
      <c r="F506" s="93"/>
      <c r="G506" s="105"/>
      <c r="H506" s="105"/>
      <c r="I506" s="1"/>
      <c r="J506" s="1"/>
      <c r="K506" s="1"/>
      <c r="L506" s="1"/>
      <c r="M506" s="1"/>
      <c r="N506" s="1"/>
      <c r="O506" s="1"/>
      <c r="P506" s="1"/>
      <c r="Q506" s="1"/>
      <c r="R506" s="1"/>
      <c r="S506" s="1"/>
      <c r="T506" s="1"/>
      <c r="U506" s="1"/>
      <c r="V506" s="1"/>
      <c r="W506" s="1"/>
      <c r="X506" s="1"/>
    </row>
    <row r="507" spans="1:24" ht="12.75" customHeight="1" x14ac:dyDescent="0.2">
      <c r="A507" s="1"/>
      <c r="B507" s="1"/>
      <c r="C507" s="89"/>
      <c r="D507" s="89"/>
      <c r="E507" s="93"/>
      <c r="F507" s="93"/>
      <c r="G507" s="105"/>
      <c r="H507" s="105"/>
      <c r="I507" s="1"/>
      <c r="J507" s="1"/>
      <c r="K507" s="1"/>
      <c r="L507" s="1"/>
      <c r="M507" s="1"/>
      <c r="N507" s="1"/>
      <c r="O507" s="1"/>
      <c r="P507" s="1"/>
      <c r="Q507" s="1"/>
      <c r="R507" s="1"/>
      <c r="S507" s="1"/>
      <c r="T507" s="1"/>
      <c r="U507" s="1"/>
      <c r="V507" s="1"/>
      <c r="W507" s="1"/>
      <c r="X507" s="1"/>
    </row>
    <row r="508" spans="1:24" ht="12.75" customHeight="1" x14ac:dyDescent="0.2">
      <c r="A508" s="1"/>
      <c r="B508" s="1"/>
      <c r="C508" s="89"/>
      <c r="D508" s="89"/>
      <c r="E508" s="93"/>
      <c r="F508" s="93"/>
      <c r="G508" s="105"/>
      <c r="H508" s="105"/>
      <c r="I508" s="1"/>
      <c r="J508" s="1"/>
      <c r="K508" s="1"/>
      <c r="L508" s="1"/>
      <c r="M508" s="1"/>
      <c r="N508" s="1"/>
      <c r="O508" s="1"/>
      <c r="P508" s="1"/>
      <c r="Q508" s="1"/>
      <c r="R508" s="1"/>
      <c r="S508" s="1"/>
      <c r="T508" s="1"/>
      <c r="U508" s="1"/>
      <c r="V508" s="1"/>
      <c r="W508" s="1"/>
      <c r="X508" s="1"/>
    </row>
    <row r="509" spans="1:24" ht="12.75" customHeight="1" x14ac:dyDescent="0.2">
      <c r="A509" s="1"/>
      <c r="B509" s="1"/>
      <c r="C509" s="89"/>
      <c r="D509" s="89"/>
      <c r="E509" s="93"/>
      <c r="F509" s="93"/>
      <c r="G509" s="105"/>
      <c r="H509" s="105"/>
      <c r="I509" s="1"/>
      <c r="J509" s="1"/>
      <c r="K509" s="1"/>
      <c r="L509" s="1"/>
      <c r="M509" s="1"/>
      <c r="N509" s="1"/>
      <c r="O509" s="1"/>
      <c r="P509" s="1"/>
      <c r="Q509" s="1"/>
      <c r="R509" s="1"/>
      <c r="S509" s="1"/>
      <c r="T509" s="1"/>
      <c r="U509" s="1"/>
      <c r="V509" s="1"/>
      <c r="W509" s="1"/>
      <c r="X509" s="1"/>
    </row>
    <row r="510" spans="1:24" ht="12.75" customHeight="1" x14ac:dyDescent="0.2">
      <c r="A510" s="1"/>
      <c r="B510" s="1"/>
      <c r="C510" s="89"/>
      <c r="D510" s="89"/>
      <c r="E510" s="93"/>
      <c r="F510" s="93"/>
      <c r="G510" s="105"/>
      <c r="H510" s="105"/>
      <c r="I510" s="1"/>
      <c r="J510" s="1"/>
      <c r="K510" s="1"/>
      <c r="L510" s="1"/>
      <c r="M510" s="1"/>
      <c r="N510" s="1"/>
      <c r="O510" s="1"/>
      <c r="P510" s="1"/>
      <c r="Q510" s="1"/>
      <c r="R510" s="1"/>
      <c r="S510" s="1"/>
      <c r="T510" s="1"/>
      <c r="U510" s="1"/>
      <c r="V510" s="1"/>
      <c r="W510" s="1"/>
      <c r="X510" s="1"/>
    </row>
    <row r="511" spans="1:24" ht="12.75" customHeight="1" x14ac:dyDescent="0.2">
      <c r="A511" s="1"/>
      <c r="B511" s="1"/>
      <c r="C511" s="89"/>
      <c r="D511" s="89"/>
      <c r="E511" s="93"/>
      <c r="F511" s="93"/>
      <c r="G511" s="105"/>
      <c r="H511" s="105"/>
      <c r="I511" s="1"/>
      <c r="J511" s="1"/>
      <c r="K511" s="1"/>
      <c r="L511" s="1"/>
      <c r="M511" s="1"/>
      <c r="N511" s="1"/>
      <c r="O511" s="1"/>
      <c r="P511" s="1"/>
      <c r="Q511" s="1"/>
      <c r="R511" s="1"/>
      <c r="S511" s="1"/>
      <c r="T511" s="1"/>
      <c r="U511" s="1"/>
      <c r="V511" s="1"/>
      <c r="W511" s="1"/>
      <c r="X511" s="1"/>
    </row>
    <row r="512" spans="1:24" ht="12.75" customHeight="1" x14ac:dyDescent="0.2">
      <c r="A512" s="1"/>
      <c r="B512" s="1"/>
      <c r="C512" s="89"/>
      <c r="D512" s="89"/>
      <c r="E512" s="93"/>
      <c r="F512" s="93"/>
      <c r="G512" s="105"/>
      <c r="H512" s="105"/>
      <c r="I512" s="1"/>
      <c r="J512" s="1"/>
      <c r="K512" s="1"/>
      <c r="L512" s="1"/>
      <c r="M512" s="1"/>
      <c r="N512" s="1"/>
      <c r="O512" s="1"/>
      <c r="P512" s="1"/>
      <c r="Q512" s="1"/>
      <c r="R512" s="1"/>
      <c r="S512" s="1"/>
      <c r="T512" s="1"/>
      <c r="U512" s="1"/>
      <c r="V512" s="1"/>
      <c r="W512" s="1"/>
      <c r="X512" s="1"/>
    </row>
    <row r="513" spans="1:24" ht="12.75" customHeight="1" x14ac:dyDescent="0.2">
      <c r="A513" s="1"/>
      <c r="B513" s="1"/>
      <c r="C513" s="89"/>
      <c r="D513" s="89"/>
      <c r="E513" s="93"/>
      <c r="F513" s="93"/>
      <c r="G513" s="105"/>
      <c r="H513" s="105"/>
      <c r="I513" s="1"/>
      <c r="J513" s="1"/>
      <c r="K513" s="1"/>
      <c r="L513" s="1"/>
      <c r="M513" s="1"/>
      <c r="N513" s="1"/>
      <c r="O513" s="1"/>
      <c r="P513" s="1"/>
      <c r="Q513" s="1"/>
      <c r="R513" s="1"/>
      <c r="S513" s="1"/>
      <c r="T513" s="1"/>
      <c r="U513" s="1"/>
      <c r="V513" s="1"/>
      <c r="W513" s="1"/>
      <c r="X513" s="1"/>
    </row>
    <row r="514" spans="1:24" ht="12.75" customHeight="1" x14ac:dyDescent="0.2">
      <c r="A514" s="1"/>
      <c r="B514" s="1"/>
      <c r="C514" s="89"/>
      <c r="D514" s="89"/>
      <c r="E514" s="93"/>
      <c r="F514" s="93"/>
      <c r="G514" s="105"/>
      <c r="H514" s="105"/>
      <c r="I514" s="1"/>
      <c r="J514" s="1"/>
      <c r="K514" s="1"/>
      <c r="L514" s="1"/>
      <c r="M514" s="1"/>
      <c r="N514" s="1"/>
      <c r="O514" s="1"/>
      <c r="P514" s="1"/>
      <c r="Q514" s="1"/>
      <c r="R514" s="1"/>
      <c r="S514" s="1"/>
      <c r="T514" s="1"/>
      <c r="U514" s="1"/>
      <c r="V514" s="1"/>
      <c r="W514" s="1"/>
      <c r="X514" s="1"/>
    </row>
    <row r="515" spans="1:24" ht="12.75" customHeight="1" x14ac:dyDescent="0.2">
      <c r="A515" s="1"/>
      <c r="B515" s="1"/>
      <c r="C515" s="89"/>
      <c r="D515" s="89"/>
      <c r="E515" s="93"/>
      <c r="F515" s="93"/>
      <c r="G515" s="105"/>
      <c r="H515" s="105"/>
      <c r="I515" s="1"/>
      <c r="J515" s="1"/>
      <c r="K515" s="1"/>
      <c r="L515" s="1"/>
      <c r="M515" s="1"/>
      <c r="N515" s="1"/>
      <c r="O515" s="1"/>
      <c r="P515" s="1"/>
      <c r="Q515" s="1"/>
      <c r="R515" s="1"/>
      <c r="S515" s="1"/>
      <c r="T515" s="1"/>
      <c r="U515" s="1"/>
      <c r="V515" s="1"/>
      <c r="W515" s="1"/>
      <c r="X515" s="1"/>
    </row>
    <row r="516" spans="1:24" ht="12.75" customHeight="1" x14ac:dyDescent="0.2">
      <c r="A516" s="1"/>
      <c r="B516" s="1"/>
      <c r="C516" s="89"/>
      <c r="D516" s="89"/>
      <c r="E516" s="93"/>
      <c r="F516" s="93"/>
      <c r="G516" s="105"/>
      <c r="H516" s="105"/>
      <c r="I516" s="1"/>
      <c r="J516" s="1"/>
      <c r="K516" s="1"/>
      <c r="L516" s="1"/>
      <c r="M516" s="1"/>
      <c r="N516" s="1"/>
      <c r="O516" s="1"/>
      <c r="P516" s="1"/>
      <c r="Q516" s="1"/>
      <c r="R516" s="1"/>
      <c r="S516" s="1"/>
      <c r="T516" s="1"/>
      <c r="U516" s="1"/>
      <c r="V516" s="1"/>
      <c r="W516" s="1"/>
      <c r="X516" s="1"/>
    </row>
    <row r="517" spans="1:24" ht="12.75" customHeight="1" x14ac:dyDescent="0.2">
      <c r="A517" s="1"/>
      <c r="B517" s="1"/>
      <c r="C517" s="89"/>
      <c r="D517" s="89"/>
      <c r="E517" s="93"/>
      <c r="F517" s="93"/>
      <c r="G517" s="105"/>
      <c r="H517" s="105"/>
      <c r="I517" s="1"/>
      <c r="J517" s="1"/>
      <c r="K517" s="1"/>
      <c r="L517" s="1"/>
      <c r="M517" s="1"/>
      <c r="N517" s="1"/>
      <c r="O517" s="1"/>
      <c r="P517" s="1"/>
      <c r="Q517" s="1"/>
      <c r="R517" s="1"/>
      <c r="S517" s="1"/>
      <c r="T517" s="1"/>
      <c r="U517" s="1"/>
      <c r="V517" s="1"/>
      <c r="W517" s="1"/>
      <c r="X517" s="1"/>
    </row>
    <row r="518" spans="1:24" ht="12.75" customHeight="1" x14ac:dyDescent="0.2">
      <c r="A518" s="1"/>
      <c r="B518" s="1"/>
      <c r="C518" s="89"/>
      <c r="D518" s="89"/>
      <c r="E518" s="93"/>
      <c r="F518" s="93"/>
      <c r="G518" s="105"/>
      <c r="H518" s="105"/>
      <c r="I518" s="1"/>
      <c r="J518" s="1"/>
      <c r="K518" s="1"/>
      <c r="L518" s="1"/>
      <c r="M518" s="1"/>
      <c r="N518" s="1"/>
      <c r="O518" s="1"/>
      <c r="P518" s="1"/>
      <c r="Q518" s="1"/>
      <c r="R518" s="1"/>
      <c r="S518" s="1"/>
      <c r="T518" s="1"/>
      <c r="U518" s="1"/>
      <c r="V518" s="1"/>
      <c r="W518" s="1"/>
      <c r="X518" s="1"/>
    </row>
    <row r="519" spans="1:24" ht="12.75" customHeight="1" x14ac:dyDescent="0.2">
      <c r="A519" s="1"/>
      <c r="B519" s="1"/>
      <c r="C519" s="89"/>
      <c r="D519" s="89"/>
      <c r="E519" s="93"/>
      <c r="F519" s="93"/>
      <c r="G519" s="105"/>
      <c r="H519" s="105"/>
      <c r="I519" s="1"/>
      <c r="J519" s="1"/>
      <c r="K519" s="1"/>
      <c r="L519" s="1"/>
      <c r="M519" s="1"/>
      <c r="N519" s="1"/>
      <c r="O519" s="1"/>
      <c r="P519" s="1"/>
      <c r="Q519" s="1"/>
      <c r="R519" s="1"/>
      <c r="S519" s="1"/>
      <c r="T519" s="1"/>
      <c r="U519" s="1"/>
      <c r="V519" s="1"/>
      <c r="W519" s="1"/>
      <c r="X519" s="1"/>
    </row>
    <row r="520" spans="1:24" ht="12.75" customHeight="1" x14ac:dyDescent="0.2">
      <c r="A520" s="1"/>
      <c r="B520" s="1"/>
      <c r="C520" s="89"/>
      <c r="D520" s="89"/>
      <c r="E520" s="93"/>
      <c r="F520" s="93"/>
      <c r="G520" s="105"/>
      <c r="H520" s="105"/>
      <c r="I520" s="1"/>
      <c r="J520" s="1"/>
      <c r="K520" s="1"/>
      <c r="L520" s="1"/>
      <c r="M520" s="1"/>
      <c r="N520" s="1"/>
      <c r="O520" s="1"/>
      <c r="P520" s="1"/>
      <c r="Q520" s="1"/>
      <c r="R520" s="1"/>
      <c r="S520" s="1"/>
      <c r="T520" s="1"/>
      <c r="U520" s="1"/>
      <c r="V520" s="1"/>
      <c r="W520" s="1"/>
      <c r="X520" s="1"/>
    </row>
    <row r="521" spans="1:24" ht="12.75" customHeight="1" x14ac:dyDescent="0.2">
      <c r="A521" s="1"/>
      <c r="B521" s="1"/>
      <c r="C521" s="89"/>
      <c r="D521" s="89"/>
      <c r="E521" s="93"/>
      <c r="F521" s="93"/>
      <c r="G521" s="105"/>
      <c r="H521" s="105"/>
      <c r="I521" s="1"/>
      <c r="J521" s="1"/>
      <c r="K521" s="1"/>
      <c r="L521" s="1"/>
      <c r="M521" s="1"/>
      <c r="N521" s="1"/>
      <c r="O521" s="1"/>
      <c r="P521" s="1"/>
      <c r="Q521" s="1"/>
      <c r="R521" s="1"/>
      <c r="S521" s="1"/>
      <c r="T521" s="1"/>
      <c r="U521" s="1"/>
      <c r="V521" s="1"/>
      <c r="W521" s="1"/>
      <c r="X521" s="1"/>
    </row>
    <row r="522" spans="1:24" ht="12.75" customHeight="1" x14ac:dyDescent="0.2">
      <c r="A522" s="1"/>
      <c r="B522" s="1"/>
      <c r="C522" s="89"/>
      <c r="D522" s="89"/>
      <c r="E522" s="93"/>
      <c r="F522" s="93"/>
      <c r="G522" s="105"/>
      <c r="H522" s="105"/>
      <c r="I522" s="1"/>
      <c r="J522" s="1"/>
      <c r="K522" s="1"/>
      <c r="L522" s="1"/>
      <c r="M522" s="1"/>
      <c r="N522" s="1"/>
      <c r="O522" s="1"/>
      <c r="P522" s="1"/>
      <c r="Q522" s="1"/>
      <c r="R522" s="1"/>
      <c r="S522" s="1"/>
      <c r="T522" s="1"/>
      <c r="U522" s="1"/>
      <c r="V522" s="1"/>
      <c r="W522" s="1"/>
      <c r="X522" s="1"/>
    </row>
    <row r="523" spans="1:24" ht="12.75" customHeight="1" x14ac:dyDescent="0.2">
      <c r="A523" s="1"/>
      <c r="B523" s="1"/>
      <c r="C523" s="89"/>
      <c r="D523" s="89"/>
      <c r="E523" s="93"/>
      <c r="F523" s="93"/>
      <c r="G523" s="105"/>
      <c r="H523" s="105"/>
      <c r="I523" s="1"/>
      <c r="J523" s="1"/>
      <c r="K523" s="1"/>
      <c r="L523" s="1"/>
      <c r="M523" s="1"/>
      <c r="N523" s="1"/>
      <c r="O523" s="1"/>
      <c r="P523" s="1"/>
      <c r="Q523" s="1"/>
      <c r="R523" s="1"/>
      <c r="S523" s="1"/>
      <c r="T523" s="1"/>
      <c r="U523" s="1"/>
      <c r="V523" s="1"/>
      <c r="W523" s="1"/>
      <c r="X523" s="1"/>
    </row>
    <row r="524" spans="1:24" ht="12.75" customHeight="1" x14ac:dyDescent="0.2">
      <c r="A524" s="1"/>
      <c r="B524" s="1"/>
      <c r="C524" s="89"/>
      <c r="D524" s="89"/>
      <c r="E524" s="93"/>
      <c r="F524" s="93"/>
      <c r="G524" s="105"/>
      <c r="H524" s="105"/>
      <c r="I524" s="1"/>
      <c r="J524" s="1"/>
      <c r="K524" s="1"/>
      <c r="L524" s="1"/>
      <c r="M524" s="1"/>
      <c r="N524" s="1"/>
      <c r="O524" s="1"/>
      <c r="P524" s="1"/>
      <c r="Q524" s="1"/>
      <c r="R524" s="1"/>
      <c r="S524" s="1"/>
      <c r="T524" s="1"/>
      <c r="U524" s="1"/>
      <c r="V524" s="1"/>
      <c r="W524" s="1"/>
      <c r="X524" s="1"/>
    </row>
    <row r="525" spans="1:24" ht="12.75" customHeight="1" x14ac:dyDescent="0.2">
      <c r="A525" s="1"/>
      <c r="B525" s="1"/>
      <c r="C525" s="89"/>
      <c r="D525" s="89"/>
      <c r="E525" s="93"/>
      <c r="F525" s="93"/>
      <c r="G525" s="105"/>
      <c r="H525" s="105"/>
      <c r="I525" s="1"/>
      <c r="J525" s="1"/>
      <c r="K525" s="1"/>
      <c r="L525" s="1"/>
      <c r="M525" s="1"/>
      <c r="N525" s="1"/>
      <c r="O525" s="1"/>
      <c r="P525" s="1"/>
      <c r="Q525" s="1"/>
      <c r="R525" s="1"/>
      <c r="S525" s="1"/>
      <c r="T525" s="1"/>
      <c r="U525" s="1"/>
      <c r="V525" s="1"/>
      <c r="W525" s="1"/>
      <c r="X525" s="1"/>
    </row>
    <row r="526" spans="1:24" ht="12.75" customHeight="1" x14ac:dyDescent="0.2">
      <c r="A526" s="1"/>
      <c r="B526" s="1"/>
      <c r="C526" s="89"/>
      <c r="D526" s="89"/>
      <c r="E526" s="93"/>
      <c r="F526" s="93"/>
      <c r="G526" s="105"/>
      <c r="H526" s="105"/>
      <c r="I526" s="1"/>
      <c r="J526" s="1"/>
      <c r="K526" s="1"/>
      <c r="L526" s="1"/>
      <c r="M526" s="1"/>
      <c r="N526" s="1"/>
      <c r="O526" s="1"/>
      <c r="P526" s="1"/>
      <c r="Q526" s="1"/>
      <c r="R526" s="1"/>
      <c r="S526" s="1"/>
      <c r="T526" s="1"/>
      <c r="U526" s="1"/>
      <c r="V526" s="1"/>
      <c r="W526" s="1"/>
      <c r="X526" s="1"/>
    </row>
    <row r="527" spans="1:24" ht="12.75" customHeight="1" x14ac:dyDescent="0.2">
      <c r="A527" s="1"/>
      <c r="B527" s="1"/>
      <c r="C527" s="89"/>
      <c r="D527" s="89"/>
      <c r="E527" s="93"/>
      <c r="F527" s="93"/>
      <c r="G527" s="105"/>
      <c r="H527" s="105"/>
      <c r="I527" s="1"/>
      <c r="J527" s="1"/>
      <c r="K527" s="1"/>
      <c r="L527" s="1"/>
      <c r="M527" s="1"/>
      <c r="N527" s="1"/>
      <c r="O527" s="1"/>
      <c r="P527" s="1"/>
      <c r="Q527" s="1"/>
      <c r="R527" s="1"/>
      <c r="S527" s="1"/>
      <c r="T527" s="1"/>
      <c r="U527" s="1"/>
      <c r="V527" s="1"/>
      <c r="W527" s="1"/>
      <c r="X527" s="1"/>
    </row>
    <row r="528" spans="1:24" ht="12.75" customHeight="1" x14ac:dyDescent="0.2">
      <c r="A528" s="1"/>
      <c r="B528" s="1"/>
      <c r="C528" s="89"/>
      <c r="D528" s="89"/>
      <c r="E528" s="93"/>
      <c r="F528" s="93"/>
      <c r="G528" s="105"/>
      <c r="H528" s="105"/>
      <c r="I528" s="1"/>
      <c r="J528" s="1"/>
      <c r="K528" s="1"/>
      <c r="L528" s="1"/>
      <c r="M528" s="1"/>
      <c r="N528" s="1"/>
      <c r="O528" s="1"/>
      <c r="P528" s="1"/>
      <c r="Q528" s="1"/>
      <c r="R528" s="1"/>
      <c r="S528" s="1"/>
      <c r="T528" s="1"/>
      <c r="U528" s="1"/>
      <c r="V528" s="1"/>
      <c r="W528" s="1"/>
      <c r="X528" s="1"/>
    </row>
    <row r="529" spans="1:24" ht="12.75" customHeight="1" x14ac:dyDescent="0.2">
      <c r="A529" s="1"/>
      <c r="B529" s="1"/>
      <c r="C529" s="89"/>
      <c r="D529" s="89"/>
      <c r="E529" s="93"/>
      <c r="F529" s="93"/>
      <c r="G529" s="105"/>
      <c r="H529" s="105"/>
      <c r="I529" s="1"/>
      <c r="J529" s="1"/>
      <c r="K529" s="1"/>
      <c r="L529" s="1"/>
      <c r="M529" s="1"/>
      <c r="N529" s="1"/>
      <c r="O529" s="1"/>
      <c r="P529" s="1"/>
      <c r="Q529" s="1"/>
      <c r="R529" s="1"/>
      <c r="S529" s="1"/>
      <c r="T529" s="1"/>
      <c r="U529" s="1"/>
      <c r="V529" s="1"/>
      <c r="W529" s="1"/>
      <c r="X529" s="1"/>
    </row>
    <row r="530" spans="1:24" ht="12.75" customHeight="1" x14ac:dyDescent="0.2">
      <c r="A530" s="1"/>
      <c r="B530" s="1"/>
      <c r="C530" s="89"/>
      <c r="D530" s="89"/>
      <c r="E530" s="93"/>
      <c r="F530" s="93"/>
      <c r="G530" s="105"/>
      <c r="H530" s="105"/>
      <c r="I530" s="1"/>
      <c r="J530" s="1"/>
      <c r="K530" s="1"/>
      <c r="L530" s="1"/>
      <c r="M530" s="1"/>
      <c r="N530" s="1"/>
      <c r="O530" s="1"/>
      <c r="P530" s="1"/>
      <c r="Q530" s="1"/>
      <c r="R530" s="1"/>
      <c r="S530" s="1"/>
      <c r="T530" s="1"/>
      <c r="U530" s="1"/>
      <c r="V530" s="1"/>
      <c r="W530" s="1"/>
      <c r="X530" s="1"/>
    </row>
    <row r="531" spans="1:24" ht="12.75" customHeight="1" x14ac:dyDescent="0.2">
      <c r="A531" s="1"/>
      <c r="B531" s="1"/>
      <c r="C531" s="89"/>
      <c r="D531" s="89"/>
      <c r="E531" s="93"/>
      <c r="F531" s="93"/>
      <c r="G531" s="105"/>
      <c r="H531" s="105"/>
      <c r="I531" s="1"/>
      <c r="J531" s="1"/>
      <c r="K531" s="1"/>
      <c r="L531" s="1"/>
      <c r="M531" s="1"/>
      <c r="N531" s="1"/>
      <c r="O531" s="1"/>
      <c r="P531" s="1"/>
      <c r="Q531" s="1"/>
      <c r="R531" s="1"/>
      <c r="S531" s="1"/>
      <c r="T531" s="1"/>
      <c r="U531" s="1"/>
      <c r="V531" s="1"/>
      <c r="W531" s="1"/>
      <c r="X531" s="1"/>
    </row>
    <row r="532" spans="1:24" ht="12.75" customHeight="1" x14ac:dyDescent="0.2">
      <c r="A532" s="1"/>
      <c r="B532" s="1"/>
      <c r="C532" s="89"/>
      <c r="D532" s="89"/>
      <c r="E532" s="93"/>
      <c r="F532" s="93"/>
      <c r="G532" s="105"/>
      <c r="H532" s="105"/>
      <c r="I532" s="1"/>
      <c r="J532" s="1"/>
      <c r="K532" s="1"/>
      <c r="L532" s="1"/>
      <c r="M532" s="1"/>
      <c r="N532" s="1"/>
      <c r="O532" s="1"/>
      <c r="P532" s="1"/>
      <c r="Q532" s="1"/>
      <c r="R532" s="1"/>
      <c r="S532" s="1"/>
      <c r="T532" s="1"/>
      <c r="U532" s="1"/>
      <c r="V532" s="1"/>
      <c r="W532" s="1"/>
      <c r="X532" s="1"/>
    </row>
    <row r="533" spans="1:24" ht="12.75" customHeight="1" x14ac:dyDescent="0.2">
      <c r="A533" s="1"/>
      <c r="B533" s="1"/>
      <c r="C533" s="89"/>
      <c r="D533" s="89"/>
      <c r="E533" s="93"/>
      <c r="F533" s="93"/>
      <c r="G533" s="105"/>
      <c r="H533" s="105"/>
      <c r="I533" s="1"/>
      <c r="J533" s="1"/>
      <c r="K533" s="1"/>
      <c r="L533" s="1"/>
      <c r="M533" s="1"/>
      <c r="N533" s="1"/>
      <c r="O533" s="1"/>
      <c r="P533" s="1"/>
      <c r="Q533" s="1"/>
      <c r="R533" s="1"/>
      <c r="S533" s="1"/>
      <c r="T533" s="1"/>
      <c r="U533" s="1"/>
      <c r="V533" s="1"/>
      <c r="W533" s="1"/>
      <c r="X533" s="1"/>
    </row>
    <row r="534" spans="1:24" ht="12.75" customHeight="1" x14ac:dyDescent="0.2">
      <c r="A534" s="1"/>
      <c r="B534" s="1"/>
      <c r="C534" s="89"/>
      <c r="D534" s="89"/>
      <c r="E534" s="93"/>
      <c r="F534" s="93"/>
      <c r="G534" s="105"/>
      <c r="H534" s="105"/>
      <c r="I534" s="1"/>
      <c r="J534" s="1"/>
      <c r="K534" s="1"/>
      <c r="L534" s="1"/>
      <c r="M534" s="1"/>
      <c r="N534" s="1"/>
      <c r="O534" s="1"/>
      <c r="P534" s="1"/>
      <c r="Q534" s="1"/>
      <c r="R534" s="1"/>
      <c r="S534" s="1"/>
      <c r="T534" s="1"/>
      <c r="U534" s="1"/>
      <c r="V534" s="1"/>
      <c r="W534" s="1"/>
      <c r="X534" s="1"/>
    </row>
    <row r="535" spans="1:24" ht="12.75" customHeight="1" x14ac:dyDescent="0.2">
      <c r="A535" s="1"/>
      <c r="B535" s="1"/>
      <c r="C535" s="89"/>
      <c r="D535" s="89"/>
      <c r="E535" s="93"/>
      <c r="F535" s="93"/>
      <c r="G535" s="105"/>
      <c r="H535" s="105"/>
      <c r="I535" s="1"/>
      <c r="J535" s="1"/>
      <c r="K535" s="1"/>
      <c r="L535" s="1"/>
      <c r="M535" s="1"/>
      <c r="N535" s="1"/>
      <c r="O535" s="1"/>
      <c r="P535" s="1"/>
      <c r="Q535" s="1"/>
      <c r="R535" s="1"/>
      <c r="S535" s="1"/>
      <c r="T535" s="1"/>
      <c r="U535" s="1"/>
      <c r="V535" s="1"/>
      <c r="W535" s="1"/>
      <c r="X535" s="1"/>
    </row>
    <row r="536" spans="1:24" ht="12.75" customHeight="1" x14ac:dyDescent="0.2">
      <c r="A536" s="1"/>
      <c r="B536" s="1"/>
      <c r="C536" s="89"/>
      <c r="D536" s="89"/>
      <c r="E536" s="93"/>
      <c r="F536" s="93"/>
      <c r="G536" s="105"/>
      <c r="H536" s="105"/>
      <c r="I536" s="1"/>
      <c r="J536" s="1"/>
      <c r="K536" s="1"/>
      <c r="L536" s="1"/>
      <c r="M536" s="1"/>
      <c r="N536" s="1"/>
      <c r="O536" s="1"/>
      <c r="P536" s="1"/>
      <c r="Q536" s="1"/>
      <c r="R536" s="1"/>
      <c r="S536" s="1"/>
      <c r="T536" s="1"/>
      <c r="U536" s="1"/>
      <c r="V536" s="1"/>
      <c r="W536" s="1"/>
      <c r="X536" s="1"/>
    </row>
    <row r="537" spans="1:24" ht="12.75" customHeight="1" x14ac:dyDescent="0.2">
      <c r="A537" s="1"/>
      <c r="B537" s="1"/>
      <c r="C537" s="89"/>
      <c r="D537" s="89"/>
      <c r="E537" s="93"/>
      <c r="F537" s="93"/>
      <c r="G537" s="105"/>
      <c r="H537" s="105"/>
      <c r="I537" s="1"/>
      <c r="J537" s="1"/>
      <c r="K537" s="1"/>
      <c r="L537" s="1"/>
      <c r="M537" s="1"/>
      <c r="N537" s="1"/>
      <c r="O537" s="1"/>
      <c r="P537" s="1"/>
      <c r="Q537" s="1"/>
      <c r="R537" s="1"/>
      <c r="S537" s="1"/>
      <c r="T537" s="1"/>
      <c r="U537" s="1"/>
      <c r="V537" s="1"/>
      <c r="W537" s="1"/>
      <c r="X537" s="1"/>
    </row>
    <row r="538" spans="1:24" ht="12.75" customHeight="1" x14ac:dyDescent="0.2">
      <c r="A538" s="1"/>
      <c r="B538" s="1"/>
      <c r="C538" s="89"/>
      <c r="D538" s="89"/>
      <c r="E538" s="93"/>
      <c r="F538" s="93"/>
      <c r="G538" s="105"/>
      <c r="H538" s="105"/>
      <c r="I538" s="1"/>
      <c r="J538" s="1"/>
      <c r="K538" s="1"/>
      <c r="L538" s="1"/>
      <c r="M538" s="1"/>
      <c r="N538" s="1"/>
      <c r="O538" s="1"/>
      <c r="P538" s="1"/>
      <c r="Q538" s="1"/>
      <c r="R538" s="1"/>
      <c r="S538" s="1"/>
      <c r="T538" s="1"/>
      <c r="U538" s="1"/>
      <c r="V538" s="1"/>
      <c r="W538" s="1"/>
      <c r="X538" s="1"/>
    </row>
    <row r="539" spans="1:24" ht="12.75" customHeight="1" x14ac:dyDescent="0.2">
      <c r="A539" s="1"/>
      <c r="B539" s="1"/>
      <c r="C539" s="89"/>
      <c r="D539" s="89"/>
      <c r="E539" s="93"/>
      <c r="F539" s="93"/>
      <c r="G539" s="105"/>
      <c r="H539" s="105"/>
      <c r="I539" s="1"/>
      <c r="J539" s="1"/>
      <c r="K539" s="1"/>
      <c r="L539" s="1"/>
      <c r="M539" s="1"/>
      <c r="N539" s="1"/>
      <c r="O539" s="1"/>
      <c r="P539" s="1"/>
      <c r="Q539" s="1"/>
      <c r="R539" s="1"/>
      <c r="S539" s="1"/>
      <c r="T539" s="1"/>
      <c r="U539" s="1"/>
      <c r="V539" s="1"/>
      <c r="W539" s="1"/>
      <c r="X539" s="1"/>
    </row>
    <row r="540" spans="1:24" ht="12.75" customHeight="1" x14ac:dyDescent="0.2">
      <c r="A540" s="1"/>
      <c r="B540" s="1"/>
      <c r="C540" s="89"/>
      <c r="D540" s="89"/>
      <c r="E540" s="93"/>
      <c r="F540" s="93"/>
      <c r="G540" s="105"/>
      <c r="H540" s="105"/>
      <c r="I540" s="1"/>
      <c r="J540" s="1"/>
      <c r="K540" s="1"/>
      <c r="L540" s="1"/>
      <c r="M540" s="1"/>
      <c r="N540" s="1"/>
      <c r="O540" s="1"/>
      <c r="P540" s="1"/>
      <c r="Q540" s="1"/>
      <c r="R540" s="1"/>
      <c r="S540" s="1"/>
      <c r="T540" s="1"/>
      <c r="U540" s="1"/>
      <c r="V540" s="1"/>
      <c r="W540" s="1"/>
      <c r="X540" s="1"/>
    </row>
    <row r="541" spans="1:24" ht="12.75" customHeight="1" x14ac:dyDescent="0.2">
      <c r="A541" s="1"/>
      <c r="B541" s="1"/>
      <c r="C541" s="89"/>
      <c r="D541" s="89"/>
      <c r="E541" s="93"/>
      <c r="F541" s="93"/>
      <c r="G541" s="105"/>
      <c r="H541" s="105"/>
      <c r="I541" s="1"/>
      <c r="J541" s="1"/>
      <c r="K541" s="1"/>
      <c r="L541" s="1"/>
      <c r="M541" s="1"/>
      <c r="N541" s="1"/>
      <c r="O541" s="1"/>
      <c r="P541" s="1"/>
      <c r="Q541" s="1"/>
      <c r="R541" s="1"/>
      <c r="S541" s="1"/>
      <c r="T541" s="1"/>
      <c r="U541" s="1"/>
      <c r="V541" s="1"/>
      <c r="W541" s="1"/>
      <c r="X541" s="1"/>
    </row>
    <row r="542" spans="1:24" ht="12.75" customHeight="1" x14ac:dyDescent="0.2">
      <c r="A542" s="1"/>
      <c r="B542" s="1"/>
      <c r="C542" s="89"/>
      <c r="D542" s="89"/>
      <c r="E542" s="93"/>
      <c r="F542" s="93"/>
      <c r="G542" s="105"/>
      <c r="H542" s="105"/>
      <c r="I542" s="1"/>
      <c r="J542" s="1"/>
      <c r="K542" s="1"/>
      <c r="L542" s="1"/>
      <c r="M542" s="1"/>
      <c r="N542" s="1"/>
      <c r="O542" s="1"/>
      <c r="P542" s="1"/>
      <c r="Q542" s="1"/>
      <c r="R542" s="1"/>
      <c r="S542" s="1"/>
      <c r="T542" s="1"/>
      <c r="U542" s="1"/>
      <c r="V542" s="1"/>
      <c r="W542" s="1"/>
      <c r="X542" s="1"/>
    </row>
    <row r="543" spans="1:24" ht="12.75" customHeight="1" x14ac:dyDescent="0.2">
      <c r="A543" s="1"/>
      <c r="B543" s="1"/>
      <c r="C543" s="89"/>
      <c r="D543" s="89"/>
      <c r="E543" s="93"/>
      <c r="F543" s="93"/>
      <c r="G543" s="105"/>
      <c r="H543" s="105"/>
      <c r="I543" s="1"/>
      <c r="J543" s="1"/>
      <c r="K543" s="1"/>
      <c r="L543" s="1"/>
      <c r="M543" s="1"/>
      <c r="N543" s="1"/>
      <c r="O543" s="1"/>
      <c r="P543" s="1"/>
      <c r="Q543" s="1"/>
      <c r="R543" s="1"/>
      <c r="S543" s="1"/>
      <c r="T543" s="1"/>
      <c r="U543" s="1"/>
      <c r="V543" s="1"/>
      <c r="W543" s="1"/>
      <c r="X543" s="1"/>
    </row>
    <row r="544" spans="1:24" ht="12.75" customHeight="1" x14ac:dyDescent="0.2">
      <c r="A544" s="1"/>
      <c r="B544" s="1"/>
      <c r="C544" s="89"/>
      <c r="D544" s="89"/>
      <c r="E544" s="93"/>
      <c r="F544" s="93"/>
      <c r="G544" s="105"/>
      <c r="H544" s="105"/>
      <c r="I544" s="1"/>
      <c r="J544" s="1"/>
      <c r="K544" s="1"/>
      <c r="L544" s="1"/>
      <c r="M544" s="1"/>
      <c r="N544" s="1"/>
      <c r="O544" s="1"/>
      <c r="P544" s="1"/>
      <c r="Q544" s="1"/>
      <c r="R544" s="1"/>
      <c r="S544" s="1"/>
      <c r="T544" s="1"/>
      <c r="U544" s="1"/>
      <c r="V544" s="1"/>
      <c r="W544" s="1"/>
      <c r="X544" s="1"/>
    </row>
    <row r="545" spans="1:24" ht="12.75" customHeight="1" x14ac:dyDescent="0.2">
      <c r="A545" s="1"/>
      <c r="B545" s="1"/>
      <c r="C545" s="89"/>
      <c r="D545" s="89"/>
      <c r="E545" s="93"/>
      <c r="F545" s="93"/>
      <c r="G545" s="105"/>
      <c r="H545" s="105"/>
      <c r="I545" s="1"/>
      <c r="J545" s="1"/>
      <c r="K545" s="1"/>
      <c r="L545" s="1"/>
      <c r="M545" s="1"/>
      <c r="N545" s="1"/>
      <c r="O545" s="1"/>
      <c r="P545" s="1"/>
      <c r="Q545" s="1"/>
      <c r="R545" s="1"/>
      <c r="S545" s="1"/>
      <c r="T545" s="1"/>
      <c r="U545" s="1"/>
      <c r="V545" s="1"/>
      <c r="W545" s="1"/>
      <c r="X545" s="1"/>
    </row>
    <row r="546" spans="1:24" ht="12.75" customHeight="1" x14ac:dyDescent="0.2">
      <c r="A546" s="1"/>
      <c r="B546" s="1"/>
      <c r="C546" s="89"/>
      <c r="D546" s="89"/>
      <c r="E546" s="93"/>
      <c r="F546" s="93"/>
      <c r="G546" s="105"/>
      <c r="H546" s="105"/>
      <c r="I546" s="1"/>
      <c r="J546" s="1"/>
      <c r="K546" s="1"/>
      <c r="L546" s="1"/>
      <c r="M546" s="1"/>
      <c r="N546" s="1"/>
      <c r="O546" s="1"/>
      <c r="P546" s="1"/>
      <c r="Q546" s="1"/>
      <c r="R546" s="1"/>
      <c r="S546" s="1"/>
      <c r="T546" s="1"/>
      <c r="U546" s="1"/>
      <c r="V546" s="1"/>
      <c r="W546" s="1"/>
      <c r="X546" s="1"/>
    </row>
    <row r="547" spans="1:24" ht="12.75" customHeight="1" x14ac:dyDescent="0.2">
      <c r="A547" s="1"/>
      <c r="B547" s="1"/>
      <c r="C547" s="89"/>
      <c r="D547" s="89"/>
      <c r="E547" s="93"/>
      <c r="F547" s="93"/>
      <c r="G547" s="105"/>
      <c r="H547" s="105"/>
      <c r="I547" s="1"/>
      <c r="J547" s="1"/>
      <c r="K547" s="1"/>
      <c r="L547" s="1"/>
      <c r="M547" s="1"/>
      <c r="N547" s="1"/>
      <c r="O547" s="1"/>
      <c r="P547" s="1"/>
      <c r="Q547" s="1"/>
      <c r="R547" s="1"/>
      <c r="S547" s="1"/>
      <c r="T547" s="1"/>
      <c r="U547" s="1"/>
      <c r="V547" s="1"/>
      <c r="W547" s="1"/>
      <c r="X547" s="1"/>
    </row>
    <row r="548" spans="1:24" ht="12.75" customHeight="1" x14ac:dyDescent="0.2">
      <c r="A548" s="1"/>
      <c r="B548" s="1"/>
      <c r="C548" s="89"/>
      <c r="D548" s="89"/>
      <c r="E548" s="93"/>
      <c r="F548" s="93"/>
      <c r="G548" s="105"/>
      <c r="H548" s="105"/>
      <c r="I548" s="1"/>
      <c r="J548" s="1"/>
      <c r="K548" s="1"/>
      <c r="L548" s="1"/>
      <c r="M548" s="1"/>
      <c r="N548" s="1"/>
      <c r="O548" s="1"/>
      <c r="P548" s="1"/>
      <c r="Q548" s="1"/>
      <c r="R548" s="1"/>
      <c r="S548" s="1"/>
      <c r="T548" s="1"/>
      <c r="U548" s="1"/>
      <c r="V548" s="1"/>
      <c r="W548" s="1"/>
      <c r="X548" s="1"/>
    </row>
    <row r="549" spans="1:24" ht="12.75" customHeight="1" x14ac:dyDescent="0.2">
      <c r="A549" s="1"/>
      <c r="B549" s="1"/>
      <c r="C549" s="89"/>
      <c r="D549" s="89"/>
      <c r="E549" s="93"/>
      <c r="F549" s="93"/>
      <c r="G549" s="105"/>
      <c r="H549" s="105"/>
      <c r="I549" s="1"/>
      <c r="J549" s="1"/>
      <c r="K549" s="1"/>
      <c r="L549" s="1"/>
      <c r="M549" s="1"/>
      <c r="N549" s="1"/>
      <c r="O549" s="1"/>
      <c r="P549" s="1"/>
      <c r="Q549" s="1"/>
      <c r="R549" s="1"/>
      <c r="S549" s="1"/>
      <c r="T549" s="1"/>
      <c r="U549" s="1"/>
      <c r="V549" s="1"/>
      <c r="W549" s="1"/>
      <c r="X549" s="1"/>
    </row>
    <row r="550" spans="1:24" ht="12.75" customHeight="1" x14ac:dyDescent="0.2">
      <c r="A550" s="1"/>
      <c r="B550" s="1"/>
      <c r="C550" s="89"/>
      <c r="D550" s="89"/>
      <c r="E550" s="93"/>
      <c r="F550" s="93"/>
      <c r="G550" s="105"/>
      <c r="H550" s="105"/>
      <c r="I550" s="1"/>
      <c r="J550" s="1"/>
      <c r="K550" s="1"/>
      <c r="L550" s="1"/>
      <c r="M550" s="1"/>
      <c r="N550" s="1"/>
      <c r="O550" s="1"/>
      <c r="P550" s="1"/>
      <c r="Q550" s="1"/>
      <c r="R550" s="1"/>
      <c r="S550" s="1"/>
      <c r="T550" s="1"/>
      <c r="U550" s="1"/>
      <c r="V550" s="1"/>
      <c r="W550" s="1"/>
      <c r="X550" s="1"/>
    </row>
    <row r="551" spans="1:24" ht="12.75" customHeight="1" x14ac:dyDescent="0.2">
      <c r="A551" s="1"/>
      <c r="B551" s="1"/>
      <c r="C551" s="89"/>
      <c r="D551" s="89"/>
      <c r="E551" s="93"/>
      <c r="F551" s="93"/>
      <c r="G551" s="105"/>
      <c r="H551" s="105"/>
      <c r="I551" s="1"/>
      <c r="J551" s="1"/>
      <c r="K551" s="1"/>
      <c r="L551" s="1"/>
      <c r="M551" s="1"/>
      <c r="N551" s="1"/>
      <c r="O551" s="1"/>
      <c r="P551" s="1"/>
      <c r="Q551" s="1"/>
      <c r="R551" s="1"/>
      <c r="S551" s="1"/>
      <c r="T551" s="1"/>
      <c r="U551" s="1"/>
      <c r="V551" s="1"/>
      <c r="W551" s="1"/>
      <c r="X551" s="1"/>
    </row>
    <row r="552" spans="1:24" ht="12.75" customHeight="1" x14ac:dyDescent="0.2">
      <c r="A552" s="1"/>
      <c r="B552" s="1"/>
      <c r="C552" s="89"/>
      <c r="D552" s="89"/>
      <c r="E552" s="93"/>
      <c r="F552" s="93"/>
      <c r="G552" s="105"/>
      <c r="H552" s="105"/>
      <c r="I552" s="1"/>
      <c r="J552" s="1"/>
      <c r="K552" s="1"/>
      <c r="L552" s="1"/>
      <c r="M552" s="1"/>
      <c r="N552" s="1"/>
      <c r="O552" s="1"/>
      <c r="P552" s="1"/>
      <c r="Q552" s="1"/>
      <c r="R552" s="1"/>
      <c r="S552" s="1"/>
      <c r="T552" s="1"/>
      <c r="U552" s="1"/>
      <c r="V552" s="1"/>
      <c r="W552" s="1"/>
      <c r="X552" s="1"/>
    </row>
    <row r="553" spans="1:24" ht="12.75" customHeight="1" x14ac:dyDescent="0.2">
      <c r="A553" s="1"/>
      <c r="B553" s="1"/>
      <c r="C553" s="89"/>
      <c r="D553" s="89"/>
      <c r="E553" s="93"/>
      <c r="F553" s="93"/>
      <c r="G553" s="105"/>
      <c r="H553" s="105"/>
      <c r="I553" s="1"/>
      <c r="J553" s="1"/>
      <c r="K553" s="1"/>
      <c r="L553" s="1"/>
      <c r="M553" s="1"/>
      <c r="N553" s="1"/>
      <c r="O553" s="1"/>
      <c r="P553" s="1"/>
      <c r="Q553" s="1"/>
      <c r="R553" s="1"/>
      <c r="S553" s="1"/>
      <c r="T553" s="1"/>
      <c r="U553" s="1"/>
      <c r="V553" s="1"/>
      <c r="W553" s="1"/>
      <c r="X553" s="1"/>
    </row>
    <row r="554" spans="1:24" ht="12.75" customHeight="1" x14ac:dyDescent="0.2">
      <c r="A554" s="1"/>
      <c r="B554" s="1"/>
      <c r="C554" s="89"/>
      <c r="D554" s="89"/>
      <c r="E554" s="93"/>
      <c r="F554" s="93"/>
      <c r="G554" s="105"/>
      <c r="H554" s="105"/>
      <c r="I554" s="1"/>
      <c r="J554" s="1"/>
      <c r="K554" s="1"/>
      <c r="L554" s="1"/>
      <c r="M554" s="1"/>
      <c r="N554" s="1"/>
      <c r="O554" s="1"/>
      <c r="P554" s="1"/>
      <c r="Q554" s="1"/>
      <c r="R554" s="1"/>
      <c r="S554" s="1"/>
      <c r="T554" s="1"/>
      <c r="U554" s="1"/>
      <c r="V554" s="1"/>
      <c r="W554" s="1"/>
      <c r="X554" s="1"/>
    </row>
    <row r="555" spans="1:24" ht="12.75" customHeight="1" x14ac:dyDescent="0.2">
      <c r="A555" s="1"/>
      <c r="B555" s="1"/>
      <c r="C555" s="89"/>
      <c r="D555" s="89"/>
      <c r="E555" s="93"/>
      <c r="F555" s="93"/>
      <c r="G555" s="105"/>
      <c r="H555" s="105"/>
      <c r="I555" s="1"/>
      <c r="J555" s="1"/>
      <c r="K555" s="1"/>
      <c r="L555" s="1"/>
      <c r="M555" s="1"/>
      <c r="N555" s="1"/>
      <c r="O555" s="1"/>
      <c r="P555" s="1"/>
      <c r="Q555" s="1"/>
      <c r="R555" s="1"/>
      <c r="S555" s="1"/>
      <c r="T555" s="1"/>
      <c r="U555" s="1"/>
      <c r="V555" s="1"/>
      <c r="W555" s="1"/>
      <c r="X555" s="1"/>
    </row>
    <row r="556" spans="1:24" ht="12.75" customHeight="1" x14ac:dyDescent="0.2">
      <c r="A556" s="1"/>
      <c r="B556" s="1"/>
      <c r="C556" s="89"/>
      <c r="D556" s="89"/>
      <c r="E556" s="93"/>
      <c r="F556" s="93"/>
      <c r="G556" s="105"/>
      <c r="H556" s="105"/>
      <c r="I556" s="1"/>
      <c r="J556" s="1"/>
      <c r="K556" s="1"/>
      <c r="L556" s="1"/>
      <c r="M556" s="1"/>
      <c r="N556" s="1"/>
      <c r="O556" s="1"/>
      <c r="P556" s="1"/>
      <c r="Q556" s="1"/>
      <c r="R556" s="1"/>
      <c r="S556" s="1"/>
      <c r="T556" s="1"/>
      <c r="U556" s="1"/>
      <c r="V556" s="1"/>
      <c r="W556" s="1"/>
      <c r="X556" s="1"/>
    </row>
    <row r="557" spans="1:24" ht="12.75" customHeight="1" x14ac:dyDescent="0.2">
      <c r="A557" s="1"/>
      <c r="B557" s="1"/>
      <c r="C557" s="89"/>
      <c r="D557" s="89"/>
      <c r="E557" s="93"/>
      <c r="F557" s="93"/>
      <c r="G557" s="105"/>
      <c r="H557" s="105"/>
      <c r="I557" s="1"/>
      <c r="J557" s="1"/>
      <c r="K557" s="1"/>
      <c r="L557" s="1"/>
      <c r="M557" s="1"/>
      <c r="N557" s="1"/>
      <c r="O557" s="1"/>
      <c r="P557" s="1"/>
      <c r="Q557" s="1"/>
      <c r="R557" s="1"/>
      <c r="S557" s="1"/>
      <c r="T557" s="1"/>
      <c r="U557" s="1"/>
      <c r="V557" s="1"/>
      <c r="W557" s="1"/>
      <c r="X557" s="1"/>
    </row>
    <row r="558" spans="1:24" ht="12.75" customHeight="1" x14ac:dyDescent="0.2">
      <c r="A558" s="1"/>
      <c r="B558" s="1"/>
      <c r="C558" s="89"/>
      <c r="D558" s="89"/>
      <c r="E558" s="93"/>
      <c r="F558" s="93"/>
      <c r="G558" s="105"/>
      <c r="H558" s="105"/>
      <c r="I558" s="1"/>
      <c r="J558" s="1"/>
      <c r="K558" s="1"/>
      <c r="L558" s="1"/>
      <c r="M558" s="1"/>
      <c r="N558" s="1"/>
      <c r="O558" s="1"/>
      <c r="P558" s="1"/>
      <c r="Q558" s="1"/>
      <c r="R558" s="1"/>
      <c r="S558" s="1"/>
      <c r="T558" s="1"/>
      <c r="U558" s="1"/>
      <c r="V558" s="1"/>
      <c r="W558" s="1"/>
      <c r="X558" s="1"/>
    </row>
    <row r="559" spans="1:24" ht="12.75" customHeight="1" x14ac:dyDescent="0.2">
      <c r="A559" s="1"/>
      <c r="B559" s="1"/>
      <c r="C559" s="89"/>
      <c r="D559" s="89"/>
      <c r="E559" s="93"/>
      <c r="F559" s="93"/>
      <c r="G559" s="105"/>
      <c r="H559" s="105"/>
      <c r="I559" s="1"/>
      <c r="J559" s="1"/>
      <c r="K559" s="1"/>
      <c r="L559" s="1"/>
      <c r="M559" s="1"/>
      <c r="N559" s="1"/>
      <c r="O559" s="1"/>
      <c r="P559" s="1"/>
      <c r="Q559" s="1"/>
      <c r="R559" s="1"/>
      <c r="S559" s="1"/>
      <c r="T559" s="1"/>
      <c r="U559" s="1"/>
      <c r="V559" s="1"/>
      <c r="W559" s="1"/>
      <c r="X559" s="1"/>
    </row>
    <row r="560" spans="1:24" ht="12.75" customHeight="1" x14ac:dyDescent="0.2">
      <c r="A560" s="1"/>
      <c r="B560" s="1"/>
      <c r="C560" s="89"/>
      <c r="D560" s="89"/>
      <c r="E560" s="93"/>
      <c r="F560" s="93"/>
      <c r="G560" s="105"/>
      <c r="H560" s="105"/>
      <c r="I560" s="1"/>
      <c r="J560" s="1"/>
      <c r="K560" s="1"/>
      <c r="L560" s="1"/>
      <c r="M560" s="1"/>
      <c r="N560" s="1"/>
      <c r="O560" s="1"/>
      <c r="P560" s="1"/>
      <c r="Q560" s="1"/>
      <c r="R560" s="1"/>
      <c r="S560" s="1"/>
      <c r="T560" s="1"/>
      <c r="U560" s="1"/>
      <c r="V560" s="1"/>
      <c r="W560" s="1"/>
      <c r="X560" s="1"/>
    </row>
    <row r="561" spans="1:24" ht="12.75" customHeight="1" x14ac:dyDescent="0.2">
      <c r="A561" s="1"/>
      <c r="B561" s="1"/>
      <c r="C561" s="89"/>
      <c r="D561" s="89"/>
      <c r="E561" s="93"/>
      <c r="F561" s="93"/>
      <c r="G561" s="105"/>
      <c r="H561" s="105"/>
      <c r="I561" s="1"/>
      <c r="J561" s="1"/>
      <c r="K561" s="1"/>
      <c r="L561" s="1"/>
      <c r="M561" s="1"/>
      <c r="N561" s="1"/>
      <c r="O561" s="1"/>
      <c r="P561" s="1"/>
      <c r="Q561" s="1"/>
      <c r="R561" s="1"/>
      <c r="S561" s="1"/>
      <c r="T561" s="1"/>
      <c r="U561" s="1"/>
      <c r="V561" s="1"/>
      <c r="W561" s="1"/>
      <c r="X561" s="1"/>
    </row>
    <row r="562" spans="1:24" ht="12.75" customHeight="1" x14ac:dyDescent="0.2">
      <c r="A562" s="1"/>
      <c r="B562" s="1"/>
      <c r="C562" s="89"/>
      <c r="D562" s="89"/>
      <c r="E562" s="93"/>
      <c r="F562" s="93"/>
      <c r="G562" s="105"/>
      <c r="H562" s="105"/>
      <c r="I562" s="1"/>
      <c r="J562" s="1"/>
      <c r="K562" s="1"/>
      <c r="L562" s="1"/>
      <c r="M562" s="1"/>
      <c r="N562" s="1"/>
      <c r="O562" s="1"/>
      <c r="P562" s="1"/>
      <c r="Q562" s="1"/>
      <c r="R562" s="1"/>
      <c r="S562" s="1"/>
      <c r="T562" s="1"/>
      <c r="U562" s="1"/>
      <c r="V562" s="1"/>
      <c r="W562" s="1"/>
      <c r="X562" s="1"/>
    </row>
    <row r="563" spans="1:24" ht="12.75" customHeight="1" x14ac:dyDescent="0.2">
      <c r="A563" s="1"/>
      <c r="B563" s="1"/>
      <c r="C563" s="89"/>
      <c r="D563" s="89"/>
      <c r="E563" s="93"/>
      <c r="F563" s="93"/>
      <c r="G563" s="105"/>
      <c r="H563" s="105"/>
      <c r="I563" s="1"/>
      <c r="J563" s="1"/>
      <c r="K563" s="1"/>
      <c r="L563" s="1"/>
      <c r="M563" s="1"/>
      <c r="N563" s="1"/>
      <c r="O563" s="1"/>
      <c r="P563" s="1"/>
      <c r="Q563" s="1"/>
      <c r="R563" s="1"/>
      <c r="S563" s="1"/>
      <c r="T563" s="1"/>
      <c r="U563" s="1"/>
      <c r="V563" s="1"/>
      <c r="W563" s="1"/>
      <c r="X563" s="1"/>
    </row>
    <row r="564" spans="1:24" ht="12.75" customHeight="1" x14ac:dyDescent="0.2">
      <c r="A564" s="1"/>
      <c r="B564" s="1"/>
      <c r="C564" s="89"/>
      <c r="D564" s="89"/>
      <c r="E564" s="93"/>
      <c r="F564" s="93"/>
      <c r="G564" s="105"/>
      <c r="H564" s="105"/>
      <c r="I564" s="1"/>
      <c r="J564" s="1"/>
      <c r="K564" s="1"/>
      <c r="L564" s="1"/>
      <c r="M564" s="1"/>
      <c r="N564" s="1"/>
      <c r="O564" s="1"/>
      <c r="P564" s="1"/>
      <c r="Q564" s="1"/>
      <c r="R564" s="1"/>
      <c r="S564" s="1"/>
      <c r="T564" s="1"/>
      <c r="U564" s="1"/>
      <c r="V564" s="1"/>
      <c r="W564" s="1"/>
      <c r="X564" s="1"/>
    </row>
    <row r="565" spans="1:24" ht="12.75" customHeight="1" x14ac:dyDescent="0.2">
      <c r="A565" s="1"/>
      <c r="B565" s="1"/>
      <c r="C565" s="89"/>
      <c r="D565" s="89"/>
      <c r="E565" s="93"/>
      <c r="F565" s="93"/>
      <c r="G565" s="105"/>
      <c r="H565" s="105"/>
      <c r="I565" s="1"/>
      <c r="J565" s="1"/>
      <c r="K565" s="1"/>
      <c r="L565" s="1"/>
      <c r="M565" s="1"/>
      <c r="N565" s="1"/>
      <c r="O565" s="1"/>
      <c r="P565" s="1"/>
      <c r="Q565" s="1"/>
      <c r="R565" s="1"/>
      <c r="S565" s="1"/>
      <c r="T565" s="1"/>
      <c r="U565" s="1"/>
      <c r="V565" s="1"/>
      <c r="W565" s="1"/>
      <c r="X565" s="1"/>
    </row>
    <row r="566" spans="1:24" ht="12.75" customHeight="1" x14ac:dyDescent="0.2">
      <c r="A566" s="1"/>
      <c r="B566" s="1"/>
      <c r="C566" s="89"/>
      <c r="D566" s="89"/>
      <c r="E566" s="93"/>
      <c r="F566" s="93"/>
      <c r="G566" s="105"/>
      <c r="H566" s="105"/>
      <c r="I566" s="1"/>
      <c r="J566" s="1"/>
      <c r="K566" s="1"/>
      <c r="L566" s="1"/>
      <c r="M566" s="1"/>
      <c r="N566" s="1"/>
      <c r="O566" s="1"/>
      <c r="P566" s="1"/>
      <c r="Q566" s="1"/>
      <c r="R566" s="1"/>
      <c r="S566" s="1"/>
      <c r="T566" s="1"/>
      <c r="U566" s="1"/>
      <c r="V566" s="1"/>
      <c r="W566" s="1"/>
      <c r="X566" s="1"/>
    </row>
    <row r="567" spans="1:24" ht="12.75" customHeight="1" x14ac:dyDescent="0.2">
      <c r="A567" s="1"/>
      <c r="B567" s="1"/>
      <c r="C567" s="89"/>
      <c r="D567" s="89"/>
      <c r="E567" s="93"/>
      <c r="F567" s="93"/>
      <c r="G567" s="105"/>
      <c r="H567" s="105"/>
      <c r="I567" s="1"/>
      <c r="J567" s="1"/>
      <c r="K567" s="1"/>
      <c r="L567" s="1"/>
      <c r="M567" s="1"/>
      <c r="N567" s="1"/>
      <c r="O567" s="1"/>
      <c r="P567" s="1"/>
      <c r="Q567" s="1"/>
      <c r="R567" s="1"/>
      <c r="S567" s="1"/>
      <c r="T567" s="1"/>
      <c r="U567" s="1"/>
      <c r="V567" s="1"/>
      <c r="W567" s="1"/>
      <c r="X567" s="1"/>
    </row>
    <row r="568" spans="1:24" ht="12.75" customHeight="1" x14ac:dyDescent="0.2">
      <c r="A568" s="1"/>
      <c r="B568" s="1"/>
      <c r="C568" s="89"/>
      <c r="D568" s="89"/>
      <c r="E568" s="93"/>
      <c r="F568" s="93"/>
      <c r="G568" s="105"/>
      <c r="H568" s="105"/>
      <c r="I568" s="1"/>
      <c r="J568" s="1"/>
      <c r="K568" s="1"/>
      <c r="L568" s="1"/>
      <c r="M568" s="1"/>
      <c r="N568" s="1"/>
      <c r="O568" s="1"/>
      <c r="P568" s="1"/>
      <c r="Q568" s="1"/>
      <c r="R568" s="1"/>
      <c r="S568" s="1"/>
      <c r="T568" s="1"/>
      <c r="U568" s="1"/>
      <c r="V568" s="1"/>
      <c r="W568" s="1"/>
      <c r="X568" s="1"/>
    </row>
    <row r="569" spans="1:24" ht="12.75" customHeight="1" x14ac:dyDescent="0.2">
      <c r="A569" s="1"/>
      <c r="B569" s="1"/>
      <c r="C569" s="89"/>
      <c r="D569" s="89"/>
      <c r="E569" s="93"/>
      <c r="F569" s="93"/>
      <c r="G569" s="105"/>
      <c r="H569" s="105"/>
      <c r="I569" s="1"/>
      <c r="J569" s="1"/>
      <c r="K569" s="1"/>
      <c r="L569" s="1"/>
      <c r="M569" s="1"/>
      <c r="N569" s="1"/>
      <c r="O569" s="1"/>
      <c r="P569" s="1"/>
      <c r="Q569" s="1"/>
      <c r="R569" s="1"/>
      <c r="S569" s="1"/>
      <c r="T569" s="1"/>
      <c r="U569" s="1"/>
      <c r="V569" s="1"/>
      <c r="W569" s="1"/>
      <c r="X569" s="1"/>
    </row>
    <row r="570" spans="1:24" ht="12.75" customHeight="1" x14ac:dyDescent="0.2">
      <c r="A570" s="1"/>
      <c r="B570" s="1"/>
      <c r="C570" s="89"/>
      <c r="D570" s="89"/>
      <c r="E570" s="93"/>
      <c r="F570" s="93"/>
      <c r="G570" s="105"/>
      <c r="H570" s="105"/>
      <c r="I570" s="1"/>
      <c r="J570" s="1"/>
      <c r="K570" s="1"/>
      <c r="L570" s="1"/>
      <c r="M570" s="1"/>
      <c r="N570" s="1"/>
      <c r="O570" s="1"/>
      <c r="P570" s="1"/>
      <c r="Q570" s="1"/>
      <c r="R570" s="1"/>
      <c r="S570" s="1"/>
      <c r="T570" s="1"/>
      <c r="U570" s="1"/>
      <c r="V570" s="1"/>
      <c r="W570" s="1"/>
      <c r="X570" s="1"/>
    </row>
    <row r="571" spans="1:24" ht="12.75" customHeight="1" x14ac:dyDescent="0.2">
      <c r="A571" s="1"/>
      <c r="B571" s="1"/>
      <c r="C571" s="89"/>
      <c r="D571" s="89"/>
      <c r="E571" s="93"/>
      <c r="F571" s="93"/>
      <c r="G571" s="105"/>
      <c r="H571" s="105"/>
      <c r="I571" s="1"/>
      <c r="J571" s="1"/>
      <c r="K571" s="1"/>
      <c r="L571" s="1"/>
      <c r="M571" s="1"/>
      <c r="N571" s="1"/>
      <c r="O571" s="1"/>
      <c r="P571" s="1"/>
      <c r="Q571" s="1"/>
      <c r="R571" s="1"/>
      <c r="S571" s="1"/>
      <c r="T571" s="1"/>
      <c r="U571" s="1"/>
      <c r="V571" s="1"/>
      <c r="W571" s="1"/>
      <c r="X571" s="1"/>
    </row>
    <row r="572" spans="1:24" ht="12.75" customHeight="1" x14ac:dyDescent="0.2">
      <c r="A572" s="1"/>
      <c r="B572" s="1"/>
      <c r="C572" s="89"/>
      <c r="D572" s="89"/>
      <c r="E572" s="93"/>
      <c r="F572" s="93"/>
      <c r="G572" s="105"/>
      <c r="H572" s="105"/>
      <c r="I572" s="1"/>
      <c r="J572" s="1"/>
      <c r="K572" s="1"/>
      <c r="L572" s="1"/>
      <c r="M572" s="1"/>
      <c r="N572" s="1"/>
      <c r="O572" s="1"/>
      <c r="P572" s="1"/>
      <c r="Q572" s="1"/>
      <c r="R572" s="1"/>
      <c r="S572" s="1"/>
      <c r="T572" s="1"/>
      <c r="U572" s="1"/>
      <c r="V572" s="1"/>
      <c r="W572" s="1"/>
      <c r="X572" s="1"/>
    </row>
    <row r="573" spans="1:24" ht="12.75" customHeight="1" x14ac:dyDescent="0.2">
      <c r="A573" s="1"/>
      <c r="B573" s="1"/>
      <c r="C573" s="89"/>
      <c r="D573" s="89"/>
      <c r="E573" s="93"/>
      <c r="F573" s="93"/>
      <c r="G573" s="105"/>
      <c r="H573" s="105"/>
      <c r="I573" s="1"/>
      <c r="J573" s="1"/>
      <c r="K573" s="1"/>
      <c r="L573" s="1"/>
      <c r="M573" s="1"/>
      <c r="N573" s="1"/>
      <c r="O573" s="1"/>
      <c r="P573" s="1"/>
      <c r="Q573" s="1"/>
      <c r="R573" s="1"/>
      <c r="S573" s="1"/>
      <c r="T573" s="1"/>
      <c r="U573" s="1"/>
      <c r="V573" s="1"/>
      <c r="W573" s="1"/>
      <c r="X573" s="1"/>
    </row>
    <row r="574" spans="1:24" ht="12.75" customHeight="1" x14ac:dyDescent="0.2">
      <c r="A574" s="1"/>
      <c r="B574" s="1"/>
      <c r="C574" s="89"/>
      <c r="D574" s="89"/>
      <c r="E574" s="93"/>
      <c r="F574" s="93"/>
      <c r="G574" s="105"/>
      <c r="H574" s="105"/>
      <c r="I574" s="1"/>
      <c r="J574" s="1"/>
      <c r="K574" s="1"/>
      <c r="L574" s="1"/>
      <c r="M574" s="1"/>
      <c r="N574" s="1"/>
      <c r="O574" s="1"/>
      <c r="P574" s="1"/>
      <c r="Q574" s="1"/>
      <c r="R574" s="1"/>
      <c r="S574" s="1"/>
      <c r="T574" s="1"/>
      <c r="U574" s="1"/>
      <c r="V574" s="1"/>
      <c r="W574" s="1"/>
      <c r="X574" s="1"/>
    </row>
    <row r="575" spans="1:24" ht="12.75" customHeight="1" x14ac:dyDescent="0.2">
      <c r="A575" s="1"/>
      <c r="B575" s="1"/>
      <c r="C575" s="89"/>
      <c r="D575" s="89"/>
      <c r="E575" s="93"/>
      <c r="F575" s="93"/>
      <c r="G575" s="105"/>
      <c r="H575" s="105"/>
      <c r="I575" s="1"/>
      <c r="J575" s="1"/>
      <c r="K575" s="1"/>
      <c r="L575" s="1"/>
      <c r="M575" s="1"/>
      <c r="N575" s="1"/>
      <c r="O575" s="1"/>
      <c r="P575" s="1"/>
      <c r="Q575" s="1"/>
      <c r="R575" s="1"/>
      <c r="S575" s="1"/>
      <c r="T575" s="1"/>
      <c r="U575" s="1"/>
      <c r="V575" s="1"/>
      <c r="W575" s="1"/>
      <c r="X575" s="1"/>
    </row>
    <row r="576" spans="1:24" ht="12.75" customHeight="1" x14ac:dyDescent="0.2">
      <c r="A576" s="1"/>
      <c r="B576" s="1"/>
      <c r="C576" s="89"/>
      <c r="D576" s="89"/>
      <c r="E576" s="93"/>
      <c r="F576" s="93"/>
      <c r="G576" s="105"/>
      <c r="H576" s="105"/>
      <c r="I576" s="1"/>
      <c r="J576" s="1"/>
      <c r="K576" s="1"/>
      <c r="L576" s="1"/>
      <c r="M576" s="1"/>
      <c r="N576" s="1"/>
      <c r="O576" s="1"/>
      <c r="P576" s="1"/>
      <c r="Q576" s="1"/>
      <c r="R576" s="1"/>
      <c r="S576" s="1"/>
      <c r="T576" s="1"/>
      <c r="U576" s="1"/>
      <c r="V576" s="1"/>
      <c r="W576" s="1"/>
      <c r="X576" s="1"/>
    </row>
    <row r="577" spans="1:24" ht="12.75" customHeight="1" x14ac:dyDescent="0.2">
      <c r="A577" s="1"/>
      <c r="B577" s="1"/>
      <c r="C577" s="89"/>
      <c r="D577" s="89"/>
      <c r="E577" s="93"/>
      <c r="F577" s="93"/>
      <c r="G577" s="105"/>
      <c r="H577" s="105"/>
      <c r="I577" s="1"/>
      <c r="J577" s="1"/>
      <c r="K577" s="1"/>
      <c r="L577" s="1"/>
      <c r="M577" s="1"/>
      <c r="N577" s="1"/>
      <c r="O577" s="1"/>
      <c r="P577" s="1"/>
      <c r="Q577" s="1"/>
      <c r="R577" s="1"/>
      <c r="S577" s="1"/>
      <c r="T577" s="1"/>
      <c r="U577" s="1"/>
      <c r="V577" s="1"/>
      <c r="W577" s="1"/>
      <c r="X577" s="1"/>
    </row>
    <row r="578" spans="1:24" ht="12.75" customHeight="1" x14ac:dyDescent="0.2">
      <c r="A578" s="1"/>
      <c r="B578" s="1"/>
      <c r="C578" s="89"/>
      <c r="D578" s="89"/>
      <c r="E578" s="93"/>
      <c r="F578" s="93"/>
      <c r="G578" s="105"/>
      <c r="H578" s="105"/>
      <c r="I578" s="1"/>
      <c r="J578" s="1"/>
      <c r="K578" s="1"/>
      <c r="L578" s="1"/>
      <c r="M578" s="1"/>
      <c r="N578" s="1"/>
      <c r="O578" s="1"/>
      <c r="P578" s="1"/>
      <c r="Q578" s="1"/>
      <c r="R578" s="1"/>
      <c r="S578" s="1"/>
      <c r="T578" s="1"/>
      <c r="U578" s="1"/>
      <c r="V578" s="1"/>
      <c r="W578" s="1"/>
      <c r="X578" s="1"/>
    </row>
    <row r="579" spans="1:24" ht="12.75" customHeight="1" x14ac:dyDescent="0.2">
      <c r="A579" s="1"/>
      <c r="B579" s="1"/>
      <c r="C579" s="89"/>
      <c r="D579" s="89"/>
      <c r="E579" s="93"/>
      <c r="F579" s="93"/>
      <c r="G579" s="105"/>
      <c r="H579" s="105"/>
      <c r="I579" s="1"/>
      <c r="J579" s="1"/>
      <c r="K579" s="1"/>
      <c r="L579" s="1"/>
      <c r="M579" s="1"/>
      <c r="N579" s="1"/>
      <c r="O579" s="1"/>
      <c r="P579" s="1"/>
      <c r="Q579" s="1"/>
      <c r="R579" s="1"/>
      <c r="S579" s="1"/>
      <c r="T579" s="1"/>
      <c r="U579" s="1"/>
      <c r="V579" s="1"/>
      <c r="W579" s="1"/>
      <c r="X579" s="1"/>
    </row>
    <row r="580" spans="1:24" ht="12.75" customHeight="1" x14ac:dyDescent="0.2">
      <c r="A580" s="1"/>
      <c r="B580" s="1"/>
      <c r="C580" s="89"/>
      <c r="D580" s="89"/>
      <c r="E580" s="93"/>
      <c r="F580" s="93"/>
      <c r="G580" s="105"/>
      <c r="H580" s="105"/>
      <c r="I580" s="1"/>
      <c r="J580" s="1"/>
      <c r="K580" s="1"/>
      <c r="L580" s="1"/>
      <c r="M580" s="1"/>
      <c r="N580" s="1"/>
      <c r="O580" s="1"/>
      <c r="P580" s="1"/>
      <c r="Q580" s="1"/>
      <c r="R580" s="1"/>
      <c r="S580" s="1"/>
      <c r="T580" s="1"/>
      <c r="U580" s="1"/>
      <c r="V580" s="1"/>
      <c r="W580" s="1"/>
      <c r="X580" s="1"/>
    </row>
    <row r="581" spans="1:24" ht="12.75" customHeight="1" x14ac:dyDescent="0.2">
      <c r="A581" s="1"/>
      <c r="B581" s="1"/>
      <c r="C581" s="89"/>
      <c r="D581" s="89"/>
      <c r="E581" s="93"/>
      <c r="F581" s="93"/>
      <c r="G581" s="105"/>
      <c r="H581" s="105"/>
      <c r="I581" s="1"/>
      <c r="J581" s="1"/>
      <c r="K581" s="1"/>
      <c r="L581" s="1"/>
      <c r="M581" s="1"/>
      <c r="N581" s="1"/>
      <c r="O581" s="1"/>
      <c r="P581" s="1"/>
      <c r="Q581" s="1"/>
      <c r="R581" s="1"/>
      <c r="S581" s="1"/>
      <c r="T581" s="1"/>
      <c r="U581" s="1"/>
      <c r="V581" s="1"/>
      <c r="W581" s="1"/>
      <c r="X581" s="1"/>
    </row>
    <row r="582" spans="1:24" ht="12.75" customHeight="1" x14ac:dyDescent="0.2">
      <c r="A582" s="1"/>
      <c r="B582" s="1"/>
      <c r="C582" s="89"/>
      <c r="D582" s="89"/>
      <c r="E582" s="93"/>
      <c r="F582" s="93"/>
      <c r="G582" s="105"/>
      <c r="H582" s="105"/>
      <c r="I582" s="1"/>
      <c r="J582" s="1"/>
      <c r="K582" s="1"/>
      <c r="L582" s="1"/>
      <c r="M582" s="1"/>
      <c r="N582" s="1"/>
      <c r="O582" s="1"/>
      <c r="P582" s="1"/>
      <c r="Q582" s="1"/>
      <c r="R582" s="1"/>
      <c r="S582" s="1"/>
      <c r="T582" s="1"/>
      <c r="U582" s="1"/>
      <c r="V582" s="1"/>
      <c r="W582" s="1"/>
      <c r="X582" s="1"/>
    </row>
    <row r="583" spans="1:24" ht="12.75" customHeight="1" x14ac:dyDescent="0.2">
      <c r="A583" s="1"/>
      <c r="B583" s="1"/>
      <c r="C583" s="89"/>
      <c r="D583" s="89"/>
      <c r="E583" s="93"/>
      <c r="F583" s="93"/>
      <c r="G583" s="105"/>
      <c r="H583" s="105"/>
      <c r="I583" s="1"/>
      <c r="J583" s="1"/>
      <c r="K583" s="1"/>
      <c r="L583" s="1"/>
      <c r="M583" s="1"/>
      <c r="N583" s="1"/>
      <c r="O583" s="1"/>
      <c r="P583" s="1"/>
      <c r="Q583" s="1"/>
      <c r="R583" s="1"/>
      <c r="S583" s="1"/>
      <c r="T583" s="1"/>
      <c r="U583" s="1"/>
      <c r="V583" s="1"/>
      <c r="W583" s="1"/>
      <c r="X583" s="1"/>
    </row>
    <row r="584" spans="1:24" ht="12.75" customHeight="1" x14ac:dyDescent="0.2">
      <c r="A584" s="1"/>
      <c r="B584" s="1"/>
      <c r="C584" s="89"/>
      <c r="D584" s="89"/>
      <c r="E584" s="93"/>
      <c r="F584" s="93"/>
      <c r="G584" s="105"/>
      <c r="H584" s="105"/>
      <c r="I584" s="1"/>
      <c r="J584" s="1"/>
      <c r="K584" s="1"/>
      <c r="L584" s="1"/>
      <c r="M584" s="1"/>
      <c r="N584" s="1"/>
      <c r="O584" s="1"/>
      <c r="P584" s="1"/>
      <c r="Q584" s="1"/>
      <c r="R584" s="1"/>
      <c r="S584" s="1"/>
      <c r="T584" s="1"/>
      <c r="U584" s="1"/>
      <c r="V584" s="1"/>
      <c r="W584" s="1"/>
      <c r="X584" s="1"/>
    </row>
    <row r="585" spans="1:24" ht="12.75" customHeight="1" x14ac:dyDescent="0.2">
      <c r="A585" s="1"/>
      <c r="B585" s="1"/>
      <c r="C585" s="89"/>
      <c r="D585" s="89"/>
      <c r="E585" s="93"/>
      <c r="F585" s="93"/>
      <c r="G585" s="105"/>
      <c r="H585" s="105"/>
      <c r="I585" s="1"/>
      <c r="J585" s="1"/>
      <c r="K585" s="1"/>
      <c r="L585" s="1"/>
      <c r="M585" s="1"/>
      <c r="N585" s="1"/>
      <c r="O585" s="1"/>
      <c r="P585" s="1"/>
      <c r="Q585" s="1"/>
      <c r="R585" s="1"/>
      <c r="S585" s="1"/>
      <c r="T585" s="1"/>
      <c r="U585" s="1"/>
      <c r="V585" s="1"/>
      <c r="W585" s="1"/>
      <c r="X585" s="1"/>
    </row>
    <row r="586" spans="1:24" ht="12.75" customHeight="1" x14ac:dyDescent="0.2">
      <c r="A586" s="1"/>
      <c r="B586" s="1"/>
      <c r="C586" s="89"/>
      <c r="D586" s="89"/>
      <c r="E586" s="93"/>
      <c r="F586" s="93"/>
      <c r="G586" s="105"/>
      <c r="H586" s="105"/>
      <c r="I586" s="1"/>
      <c r="J586" s="1"/>
      <c r="K586" s="1"/>
      <c r="L586" s="1"/>
      <c r="M586" s="1"/>
      <c r="N586" s="1"/>
      <c r="O586" s="1"/>
      <c r="P586" s="1"/>
      <c r="Q586" s="1"/>
      <c r="R586" s="1"/>
      <c r="S586" s="1"/>
      <c r="T586" s="1"/>
      <c r="U586" s="1"/>
      <c r="V586" s="1"/>
      <c r="W586" s="1"/>
      <c r="X586" s="1"/>
    </row>
    <row r="587" spans="1:24" ht="12.75" customHeight="1" x14ac:dyDescent="0.2">
      <c r="A587" s="1"/>
      <c r="B587" s="1"/>
      <c r="C587" s="89"/>
      <c r="D587" s="89"/>
      <c r="E587" s="93"/>
      <c r="F587" s="93"/>
      <c r="G587" s="105"/>
      <c r="H587" s="105"/>
      <c r="I587" s="1"/>
      <c r="J587" s="1"/>
      <c r="K587" s="1"/>
      <c r="L587" s="1"/>
      <c r="M587" s="1"/>
      <c r="N587" s="1"/>
      <c r="O587" s="1"/>
      <c r="P587" s="1"/>
      <c r="Q587" s="1"/>
      <c r="R587" s="1"/>
      <c r="S587" s="1"/>
      <c r="T587" s="1"/>
      <c r="U587" s="1"/>
      <c r="V587" s="1"/>
      <c r="W587" s="1"/>
      <c r="X587" s="1"/>
    </row>
    <row r="588" spans="1:24" ht="12.75" customHeight="1" x14ac:dyDescent="0.2">
      <c r="A588" s="1"/>
      <c r="B588" s="1"/>
      <c r="C588" s="89"/>
      <c r="D588" s="89"/>
      <c r="E588" s="93"/>
      <c r="F588" s="93"/>
      <c r="G588" s="105"/>
      <c r="H588" s="105"/>
      <c r="I588" s="1"/>
      <c r="J588" s="1"/>
      <c r="K588" s="1"/>
      <c r="L588" s="1"/>
      <c r="M588" s="1"/>
      <c r="N588" s="1"/>
      <c r="O588" s="1"/>
      <c r="P588" s="1"/>
      <c r="Q588" s="1"/>
      <c r="R588" s="1"/>
      <c r="S588" s="1"/>
      <c r="T588" s="1"/>
      <c r="U588" s="1"/>
      <c r="V588" s="1"/>
      <c r="W588" s="1"/>
      <c r="X588" s="1"/>
    </row>
    <row r="589" spans="1:24" ht="12.75" customHeight="1" x14ac:dyDescent="0.2">
      <c r="A589" s="1"/>
      <c r="B589" s="1"/>
      <c r="C589" s="89"/>
      <c r="D589" s="89"/>
      <c r="E589" s="93"/>
      <c r="F589" s="93"/>
      <c r="G589" s="105"/>
      <c r="H589" s="105"/>
      <c r="I589" s="1"/>
      <c r="J589" s="1"/>
      <c r="K589" s="1"/>
      <c r="L589" s="1"/>
      <c r="M589" s="1"/>
      <c r="N589" s="1"/>
      <c r="O589" s="1"/>
      <c r="P589" s="1"/>
      <c r="Q589" s="1"/>
      <c r="R589" s="1"/>
      <c r="S589" s="1"/>
      <c r="T589" s="1"/>
      <c r="U589" s="1"/>
      <c r="V589" s="1"/>
      <c r="W589" s="1"/>
      <c r="X589" s="1"/>
    </row>
    <row r="590" spans="1:24" ht="12.75" customHeight="1" x14ac:dyDescent="0.2">
      <c r="A590" s="1"/>
      <c r="B590" s="1"/>
      <c r="C590" s="89"/>
      <c r="D590" s="89"/>
      <c r="E590" s="93"/>
      <c r="F590" s="93"/>
      <c r="G590" s="105"/>
      <c r="H590" s="105"/>
      <c r="I590" s="1"/>
      <c r="J590" s="1"/>
      <c r="K590" s="1"/>
      <c r="L590" s="1"/>
      <c r="M590" s="1"/>
      <c r="N590" s="1"/>
      <c r="O590" s="1"/>
      <c r="P590" s="1"/>
      <c r="Q590" s="1"/>
      <c r="R590" s="1"/>
      <c r="S590" s="1"/>
      <c r="T590" s="1"/>
      <c r="U590" s="1"/>
      <c r="V590" s="1"/>
      <c r="W590" s="1"/>
      <c r="X590" s="1"/>
    </row>
    <row r="591" spans="1:24" ht="12.75" customHeight="1" x14ac:dyDescent="0.2">
      <c r="A591" s="1"/>
      <c r="B591" s="1"/>
      <c r="C591" s="89"/>
      <c r="D591" s="89"/>
      <c r="E591" s="93"/>
      <c r="F591" s="93"/>
      <c r="G591" s="105"/>
      <c r="H591" s="105"/>
      <c r="I591" s="1"/>
      <c r="J591" s="1"/>
      <c r="K591" s="1"/>
      <c r="L591" s="1"/>
      <c r="M591" s="1"/>
      <c r="N591" s="1"/>
      <c r="O591" s="1"/>
      <c r="P591" s="1"/>
      <c r="Q591" s="1"/>
      <c r="R591" s="1"/>
      <c r="S591" s="1"/>
      <c r="T591" s="1"/>
      <c r="U591" s="1"/>
      <c r="V591" s="1"/>
      <c r="W591" s="1"/>
      <c r="X591" s="1"/>
    </row>
    <row r="592" spans="1:24" ht="12.75" customHeight="1" x14ac:dyDescent="0.2">
      <c r="A592" s="1"/>
      <c r="B592" s="1"/>
      <c r="C592" s="89"/>
      <c r="D592" s="89"/>
      <c r="E592" s="93"/>
      <c r="F592" s="93"/>
      <c r="G592" s="105"/>
      <c r="H592" s="105"/>
      <c r="I592" s="1"/>
      <c r="J592" s="1"/>
      <c r="K592" s="1"/>
      <c r="L592" s="1"/>
      <c r="M592" s="1"/>
      <c r="N592" s="1"/>
      <c r="O592" s="1"/>
      <c r="P592" s="1"/>
      <c r="Q592" s="1"/>
      <c r="R592" s="1"/>
      <c r="S592" s="1"/>
      <c r="T592" s="1"/>
      <c r="U592" s="1"/>
      <c r="V592" s="1"/>
      <c r="W592" s="1"/>
      <c r="X592" s="1"/>
    </row>
    <row r="593" spans="1:24" ht="12.75" customHeight="1" x14ac:dyDescent="0.2">
      <c r="A593" s="1"/>
      <c r="B593" s="1"/>
      <c r="C593" s="89"/>
      <c r="D593" s="89"/>
      <c r="E593" s="93"/>
      <c r="F593" s="93"/>
      <c r="G593" s="105"/>
      <c r="H593" s="105"/>
      <c r="I593" s="1"/>
      <c r="J593" s="1"/>
      <c r="K593" s="1"/>
      <c r="L593" s="1"/>
      <c r="M593" s="1"/>
      <c r="N593" s="1"/>
      <c r="O593" s="1"/>
      <c r="P593" s="1"/>
      <c r="Q593" s="1"/>
      <c r="R593" s="1"/>
      <c r="S593" s="1"/>
      <c r="T593" s="1"/>
      <c r="U593" s="1"/>
      <c r="V593" s="1"/>
      <c r="W593" s="1"/>
      <c r="X593" s="1"/>
    </row>
    <row r="594" spans="1:24" ht="12.75" customHeight="1" x14ac:dyDescent="0.2">
      <c r="A594" s="1"/>
      <c r="B594" s="1"/>
      <c r="C594" s="89"/>
      <c r="D594" s="89"/>
      <c r="E594" s="93"/>
      <c r="F594" s="93"/>
      <c r="G594" s="105"/>
      <c r="H594" s="105"/>
      <c r="I594" s="1"/>
      <c r="J594" s="1"/>
      <c r="K594" s="1"/>
      <c r="L594" s="1"/>
      <c r="M594" s="1"/>
      <c r="N594" s="1"/>
      <c r="O594" s="1"/>
      <c r="P594" s="1"/>
      <c r="Q594" s="1"/>
      <c r="R594" s="1"/>
      <c r="S594" s="1"/>
      <c r="T594" s="1"/>
      <c r="U594" s="1"/>
      <c r="V594" s="1"/>
      <c r="W594" s="1"/>
      <c r="X594" s="1"/>
    </row>
    <row r="595" spans="1:24" ht="12.75" customHeight="1" x14ac:dyDescent="0.2">
      <c r="A595" s="1"/>
      <c r="B595" s="1"/>
      <c r="C595" s="89"/>
      <c r="D595" s="89"/>
      <c r="E595" s="93"/>
      <c r="F595" s="93"/>
      <c r="G595" s="105"/>
      <c r="H595" s="105"/>
      <c r="I595" s="1"/>
      <c r="J595" s="1"/>
      <c r="K595" s="1"/>
      <c r="L595" s="1"/>
      <c r="M595" s="1"/>
      <c r="N595" s="1"/>
      <c r="O595" s="1"/>
      <c r="P595" s="1"/>
      <c r="Q595" s="1"/>
      <c r="R595" s="1"/>
      <c r="S595" s="1"/>
      <c r="T595" s="1"/>
      <c r="U595" s="1"/>
      <c r="V595" s="1"/>
      <c r="W595" s="1"/>
      <c r="X595" s="1"/>
    </row>
    <row r="596" spans="1:24" ht="12.75" customHeight="1" x14ac:dyDescent="0.2">
      <c r="A596" s="1"/>
      <c r="B596" s="1"/>
      <c r="C596" s="89"/>
      <c r="D596" s="89"/>
      <c r="E596" s="93"/>
      <c r="F596" s="93"/>
      <c r="G596" s="105"/>
      <c r="H596" s="105"/>
      <c r="I596" s="1"/>
      <c r="J596" s="1"/>
      <c r="K596" s="1"/>
      <c r="L596" s="1"/>
      <c r="M596" s="1"/>
      <c r="N596" s="1"/>
      <c r="O596" s="1"/>
      <c r="P596" s="1"/>
      <c r="Q596" s="1"/>
      <c r="R596" s="1"/>
      <c r="S596" s="1"/>
      <c r="T596" s="1"/>
      <c r="U596" s="1"/>
      <c r="V596" s="1"/>
      <c r="W596" s="1"/>
      <c r="X596" s="1"/>
    </row>
    <row r="597" spans="1:24" ht="12.75" customHeight="1" x14ac:dyDescent="0.2">
      <c r="A597" s="1"/>
      <c r="B597" s="1"/>
      <c r="C597" s="89"/>
      <c r="D597" s="89"/>
      <c r="E597" s="93"/>
      <c r="F597" s="93"/>
      <c r="G597" s="105"/>
      <c r="H597" s="105"/>
      <c r="I597" s="1"/>
      <c r="J597" s="1"/>
      <c r="K597" s="1"/>
      <c r="L597" s="1"/>
      <c r="M597" s="1"/>
      <c r="N597" s="1"/>
      <c r="O597" s="1"/>
      <c r="P597" s="1"/>
      <c r="Q597" s="1"/>
      <c r="R597" s="1"/>
      <c r="S597" s="1"/>
      <c r="T597" s="1"/>
      <c r="U597" s="1"/>
      <c r="V597" s="1"/>
      <c r="W597" s="1"/>
      <c r="X597" s="1"/>
    </row>
    <row r="598" spans="1:24" ht="12.75" customHeight="1" x14ac:dyDescent="0.2">
      <c r="A598" s="1"/>
      <c r="B598" s="1"/>
      <c r="C598" s="89"/>
      <c r="D598" s="89"/>
      <c r="E598" s="93"/>
      <c r="F598" s="93"/>
      <c r="G598" s="105"/>
      <c r="H598" s="105"/>
      <c r="I598" s="1"/>
      <c r="J598" s="1"/>
      <c r="K598" s="1"/>
      <c r="L598" s="1"/>
      <c r="M598" s="1"/>
      <c r="N598" s="1"/>
      <c r="O598" s="1"/>
      <c r="P598" s="1"/>
      <c r="Q598" s="1"/>
      <c r="R598" s="1"/>
      <c r="S598" s="1"/>
      <c r="T598" s="1"/>
      <c r="U598" s="1"/>
      <c r="V598" s="1"/>
      <c r="W598" s="1"/>
      <c r="X598" s="1"/>
    </row>
    <row r="599" spans="1:24" ht="12.75" customHeight="1" x14ac:dyDescent="0.2">
      <c r="A599" s="1"/>
      <c r="B599" s="1"/>
      <c r="C599" s="89"/>
      <c r="D599" s="89"/>
      <c r="E599" s="93"/>
      <c r="F599" s="93"/>
      <c r="G599" s="105"/>
      <c r="H599" s="105"/>
      <c r="I599" s="1"/>
      <c r="J599" s="1"/>
      <c r="K599" s="1"/>
      <c r="L599" s="1"/>
      <c r="M599" s="1"/>
      <c r="N599" s="1"/>
      <c r="O599" s="1"/>
      <c r="P599" s="1"/>
      <c r="Q599" s="1"/>
      <c r="R599" s="1"/>
      <c r="S599" s="1"/>
      <c r="T599" s="1"/>
      <c r="U599" s="1"/>
      <c r="V599" s="1"/>
      <c r="W599" s="1"/>
      <c r="X599" s="1"/>
    </row>
    <row r="600" spans="1:24" ht="12.75" customHeight="1" x14ac:dyDescent="0.2">
      <c r="A600" s="1"/>
      <c r="B600" s="1"/>
      <c r="C600" s="89"/>
      <c r="D600" s="89"/>
      <c r="E600" s="93"/>
      <c r="F600" s="93"/>
      <c r="G600" s="105"/>
      <c r="H600" s="105"/>
      <c r="I600" s="1"/>
      <c r="J600" s="1"/>
      <c r="K600" s="1"/>
      <c r="L600" s="1"/>
      <c r="M600" s="1"/>
      <c r="N600" s="1"/>
      <c r="O600" s="1"/>
      <c r="P600" s="1"/>
      <c r="Q600" s="1"/>
      <c r="R600" s="1"/>
      <c r="S600" s="1"/>
      <c r="T600" s="1"/>
      <c r="U600" s="1"/>
      <c r="V600" s="1"/>
      <c r="W600" s="1"/>
      <c r="X600" s="1"/>
    </row>
    <row r="601" spans="1:24" ht="12.75" customHeight="1" x14ac:dyDescent="0.2">
      <c r="A601" s="1"/>
      <c r="B601" s="1"/>
      <c r="C601" s="89"/>
      <c r="D601" s="89"/>
      <c r="E601" s="93"/>
      <c r="F601" s="93"/>
      <c r="G601" s="105"/>
      <c r="H601" s="105"/>
      <c r="I601" s="1"/>
      <c r="J601" s="1"/>
      <c r="K601" s="1"/>
      <c r="L601" s="1"/>
      <c r="M601" s="1"/>
      <c r="N601" s="1"/>
      <c r="O601" s="1"/>
      <c r="P601" s="1"/>
      <c r="Q601" s="1"/>
      <c r="R601" s="1"/>
      <c r="S601" s="1"/>
      <c r="T601" s="1"/>
      <c r="U601" s="1"/>
      <c r="V601" s="1"/>
      <c r="W601" s="1"/>
      <c r="X601" s="1"/>
    </row>
    <row r="602" spans="1:24" ht="12.75" customHeight="1" x14ac:dyDescent="0.2">
      <c r="A602" s="1"/>
      <c r="B602" s="1"/>
      <c r="C602" s="89"/>
      <c r="D602" s="89"/>
      <c r="E602" s="93"/>
      <c r="F602" s="93"/>
      <c r="G602" s="105"/>
      <c r="H602" s="105"/>
      <c r="I602" s="1"/>
      <c r="J602" s="1"/>
      <c r="K602" s="1"/>
      <c r="L602" s="1"/>
      <c r="M602" s="1"/>
      <c r="N602" s="1"/>
      <c r="O602" s="1"/>
      <c r="P602" s="1"/>
      <c r="Q602" s="1"/>
      <c r="R602" s="1"/>
      <c r="S602" s="1"/>
      <c r="T602" s="1"/>
      <c r="U602" s="1"/>
      <c r="V602" s="1"/>
      <c r="W602" s="1"/>
      <c r="X602" s="1"/>
    </row>
    <row r="603" spans="1:24" ht="12.75" customHeight="1" x14ac:dyDescent="0.2">
      <c r="A603" s="1"/>
      <c r="B603" s="1"/>
      <c r="C603" s="89"/>
      <c r="D603" s="89"/>
      <c r="E603" s="93"/>
      <c r="F603" s="93"/>
      <c r="G603" s="105"/>
      <c r="H603" s="105"/>
      <c r="I603" s="1"/>
      <c r="J603" s="1"/>
      <c r="K603" s="1"/>
      <c r="L603" s="1"/>
      <c r="M603" s="1"/>
      <c r="N603" s="1"/>
      <c r="O603" s="1"/>
      <c r="P603" s="1"/>
      <c r="Q603" s="1"/>
      <c r="R603" s="1"/>
      <c r="S603" s="1"/>
      <c r="T603" s="1"/>
      <c r="U603" s="1"/>
      <c r="V603" s="1"/>
      <c r="W603" s="1"/>
      <c r="X603" s="1"/>
    </row>
    <row r="604" spans="1:24" ht="12.75" customHeight="1" x14ac:dyDescent="0.2">
      <c r="A604" s="1"/>
      <c r="B604" s="1"/>
      <c r="C604" s="89"/>
      <c r="D604" s="89"/>
      <c r="E604" s="93"/>
      <c r="F604" s="93"/>
      <c r="G604" s="105"/>
      <c r="H604" s="105"/>
      <c r="I604" s="1"/>
      <c r="J604" s="1"/>
      <c r="K604" s="1"/>
      <c r="L604" s="1"/>
      <c r="M604" s="1"/>
      <c r="N604" s="1"/>
      <c r="O604" s="1"/>
      <c r="P604" s="1"/>
      <c r="Q604" s="1"/>
      <c r="R604" s="1"/>
      <c r="S604" s="1"/>
      <c r="T604" s="1"/>
      <c r="U604" s="1"/>
      <c r="V604" s="1"/>
      <c r="W604" s="1"/>
      <c r="X604" s="1"/>
    </row>
    <row r="605" spans="1:24" ht="12.75" customHeight="1" x14ac:dyDescent="0.2">
      <c r="A605" s="1"/>
      <c r="B605" s="1"/>
      <c r="C605" s="89"/>
      <c r="D605" s="89"/>
      <c r="E605" s="93"/>
      <c r="F605" s="93"/>
      <c r="G605" s="105"/>
      <c r="H605" s="105"/>
      <c r="I605" s="1"/>
      <c r="J605" s="1"/>
      <c r="K605" s="1"/>
      <c r="L605" s="1"/>
      <c r="M605" s="1"/>
      <c r="N605" s="1"/>
      <c r="O605" s="1"/>
      <c r="P605" s="1"/>
      <c r="Q605" s="1"/>
      <c r="R605" s="1"/>
      <c r="S605" s="1"/>
      <c r="T605" s="1"/>
      <c r="U605" s="1"/>
      <c r="V605" s="1"/>
      <c r="W605" s="1"/>
      <c r="X605" s="1"/>
    </row>
    <row r="606" spans="1:24" ht="12.75" customHeight="1" x14ac:dyDescent="0.2">
      <c r="A606" s="1"/>
      <c r="B606" s="1"/>
      <c r="C606" s="89"/>
      <c r="D606" s="89"/>
      <c r="E606" s="93"/>
      <c r="F606" s="93"/>
      <c r="G606" s="105"/>
      <c r="H606" s="105"/>
      <c r="I606" s="1"/>
      <c r="J606" s="1"/>
      <c r="K606" s="1"/>
      <c r="L606" s="1"/>
      <c r="M606" s="1"/>
      <c r="N606" s="1"/>
      <c r="O606" s="1"/>
      <c r="P606" s="1"/>
      <c r="Q606" s="1"/>
      <c r="R606" s="1"/>
      <c r="S606" s="1"/>
      <c r="T606" s="1"/>
      <c r="U606" s="1"/>
      <c r="V606" s="1"/>
      <c r="W606" s="1"/>
      <c r="X606" s="1"/>
    </row>
    <row r="607" spans="1:24" ht="12.75" customHeight="1" x14ac:dyDescent="0.2">
      <c r="A607" s="1"/>
      <c r="B607" s="1"/>
      <c r="C607" s="89"/>
      <c r="D607" s="89"/>
      <c r="E607" s="93"/>
      <c r="F607" s="93"/>
      <c r="G607" s="105"/>
      <c r="H607" s="105"/>
      <c r="I607" s="1"/>
      <c r="J607" s="1"/>
      <c r="K607" s="1"/>
      <c r="L607" s="1"/>
      <c r="M607" s="1"/>
      <c r="N607" s="1"/>
      <c r="O607" s="1"/>
      <c r="P607" s="1"/>
      <c r="Q607" s="1"/>
      <c r="R607" s="1"/>
      <c r="S607" s="1"/>
      <c r="T607" s="1"/>
      <c r="U607" s="1"/>
      <c r="V607" s="1"/>
      <c r="W607" s="1"/>
      <c r="X607" s="1"/>
    </row>
    <row r="608" spans="1:24" ht="12.75" customHeight="1" x14ac:dyDescent="0.2">
      <c r="A608" s="1"/>
      <c r="B608" s="1"/>
      <c r="C608" s="89"/>
      <c r="D608" s="89"/>
      <c r="E608" s="93"/>
      <c r="F608" s="93"/>
      <c r="G608" s="105"/>
      <c r="H608" s="105"/>
      <c r="I608" s="1"/>
      <c r="J608" s="1"/>
      <c r="K608" s="1"/>
      <c r="L608" s="1"/>
      <c r="M608" s="1"/>
      <c r="N608" s="1"/>
      <c r="O608" s="1"/>
      <c r="P608" s="1"/>
      <c r="Q608" s="1"/>
      <c r="R608" s="1"/>
      <c r="S608" s="1"/>
      <c r="T608" s="1"/>
      <c r="U608" s="1"/>
      <c r="V608" s="1"/>
      <c r="W608" s="1"/>
      <c r="X608" s="1"/>
    </row>
    <row r="609" spans="1:24" ht="12.75" customHeight="1" x14ac:dyDescent="0.2">
      <c r="A609" s="1"/>
      <c r="B609" s="1"/>
      <c r="C609" s="89"/>
      <c r="D609" s="89"/>
      <c r="E609" s="93"/>
      <c r="F609" s="93"/>
      <c r="G609" s="105"/>
      <c r="H609" s="105"/>
      <c r="I609" s="1"/>
      <c r="J609" s="1"/>
      <c r="K609" s="1"/>
      <c r="L609" s="1"/>
      <c r="M609" s="1"/>
      <c r="N609" s="1"/>
      <c r="O609" s="1"/>
      <c r="P609" s="1"/>
      <c r="Q609" s="1"/>
      <c r="R609" s="1"/>
      <c r="S609" s="1"/>
      <c r="T609" s="1"/>
      <c r="U609" s="1"/>
      <c r="V609" s="1"/>
      <c r="W609" s="1"/>
      <c r="X609" s="1"/>
    </row>
    <row r="610" spans="1:24" ht="12.75" customHeight="1" x14ac:dyDescent="0.2">
      <c r="A610" s="1"/>
      <c r="B610" s="1"/>
      <c r="C610" s="89"/>
      <c r="D610" s="89"/>
      <c r="E610" s="93"/>
      <c r="F610" s="93"/>
      <c r="G610" s="105"/>
      <c r="H610" s="105"/>
      <c r="I610" s="1"/>
      <c r="J610" s="1"/>
      <c r="K610" s="1"/>
      <c r="L610" s="1"/>
      <c r="M610" s="1"/>
      <c r="N610" s="1"/>
      <c r="O610" s="1"/>
      <c r="P610" s="1"/>
      <c r="Q610" s="1"/>
      <c r="R610" s="1"/>
      <c r="S610" s="1"/>
      <c r="T610" s="1"/>
      <c r="U610" s="1"/>
      <c r="V610" s="1"/>
      <c r="W610" s="1"/>
      <c r="X610" s="1"/>
    </row>
    <row r="611" spans="1:24" ht="12.75" customHeight="1" x14ac:dyDescent="0.2">
      <c r="A611" s="1"/>
      <c r="B611" s="1"/>
      <c r="C611" s="89"/>
      <c r="D611" s="89"/>
      <c r="E611" s="93"/>
      <c r="F611" s="93"/>
      <c r="G611" s="105"/>
      <c r="H611" s="105"/>
      <c r="I611" s="1"/>
      <c r="J611" s="1"/>
      <c r="K611" s="1"/>
      <c r="L611" s="1"/>
      <c r="M611" s="1"/>
      <c r="N611" s="1"/>
      <c r="O611" s="1"/>
      <c r="P611" s="1"/>
      <c r="Q611" s="1"/>
      <c r="R611" s="1"/>
      <c r="S611" s="1"/>
      <c r="T611" s="1"/>
      <c r="U611" s="1"/>
      <c r="V611" s="1"/>
      <c r="W611" s="1"/>
      <c r="X611" s="1"/>
    </row>
    <row r="612" spans="1:24" ht="12.75" customHeight="1" x14ac:dyDescent="0.2">
      <c r="A612" s="1"/>
      <c r="B612" s="1"/>
      <c r="C612" s="89"/>
      <c r="D612" s="89"/>
      <c r="E612" s="93"/>
      <c r="F612" s="93"/>
      <c r="G612" s="105"/>
      <c r="H612" s="105"/>
      <c r="I612" s="1"/>
      <c r="J612" s="1"/>
      <c r="K612" s="1"/>
      <c r="L612" s="1"/>
      <c r="M612" s="1"/>
      <c r="N612" s="1"/>
      <c r="O612" s="1"/>
      <c r="P612" s="1"/>
      <c r="Q612" s="1"/>
      <c r="R612" s="1"/>
      <c r="S612" s="1"/>
      <c r="T612" s="1"/>
      <c r="U612" s="1"/>
      <c r="V612" s="1"/>
      <c r="W612" s="1"/>
      <c r="X612" s="1"/>
    </row>
    <row r="613" spans="1:24" ht="12.75" customHeight="1" x14ac:dyDescent="0.2">
      <c r="A613" s="1"/>
      <c r="B613" s="1"/>
      <c r="C613" s="89"/>
      <c r="D613" s="89"/>
      <c r="E613" s="93"/>
      <c r="F613" s="93"/>
      <c r="G613" s="105"/>
      <c r="H613" s="105"/>
      <c r="I613" s="1"/>
      <c r="J613" s="1"/>
      <c r="K613" s="1"/>
      <c r="L613" s="1"/>
      <c r="M613" s="1"/>
      <c r="N613" s="1"/>
      <c r="O613" s="1"/>
      <c r="P613" s="1"/>
      <c r="Q613" s="1"/>
      <c r="R613" s="1"/>
      <c r="S613" s="1"/>
      <c r="T613" s="1"/>
      <c r="U613" s="1"/>
      <c r="V613" s="1"/>
      <c r="W613" s="1"/>
      <c r="X613" s="1"/>
    </row>
    <row r="614" spans="1:24" ht="12.75" customHeight="1" x14ac:dyDescent="0.2">
      <c r="A614" s="1"/>
      <c r="B614" s="1"/>
      <c r="C614" s="89"/>
      <c r="D614" s="89"/>
      <c r="E614" s="93"/>
      <c r="F614" s="93"/>
      <c r="G614" s="105"/>
      <c r="H614" s="105"/>
      <c r="I614" s="1"/>
      <c r="J614" s="1"/>
      <c r="K614" s="1"/>
      <c r="L614" s="1"/>
      <c r="M614" s="1"/>
      <c r="N614" s="1"/>
      <c r="O614" s="1"/>
      <c r="P614" s="1"/>
      <c r="Q614" s="1"/>
      <c r="R614" s="1"/>
      <c r="S614" s="1"/>
      <c r="T614" s="1"/>
      <c r="U614" s="1"/>
      <c r="V614" s="1"/>
      <c r="W614" s="1"/>
      <c r="X614" s="1"/>
    </row>
    <row r="615" spans="1:24" ht="12.75" customHeight="1" x14ac:dyDescent="0.2">
      <c r="A615" s="1"/>
      <c r="B615" s="1"/>
      <c r="C615" s="89"/>
      <c r="D615" s="89"/>
      <c r="E615" s="93"/>
      <c r="F615" s="93"/>
      <c r="G615" s="105"/>
      <c r="H615" s="105"/>
      <c r="I615" s="1"/>
      <c r="J615" s="1"/>
      <c r="K615" s="1"/>
      <c r="L615" s="1"/>
      <c r="M615" s="1"/>
      <c r="N615" s="1"/>
      <c r="O615" s="1"/>
      <c r="P615" s="1"/>
      <c r="Q615" s="1"/>
      <c r="R615" s="1"/>
      <c r="S615" s="1"/>
      <c r="T615" s="1"/>
      <c r="U615" s="1"/>
      <c r="V615" s="1"/>
      <c r="W615" s="1"/>
      <c r="X615" s="1"/>
    </row>
    <row r="616" spans="1:24" ht="12.75" customHeight="1" x14ac:dyDescent="0.2">
      <c r="A616" s="1"/>
      <c r="B616" s="1"/>
      <c r="C616" s="89"/>
      <c r="D616" s="89"/>
      <c r="E616" s="93"/>
      <c r="F616" s="93"/>
      <c r="G616" s="105"/>
      <c r="H616" s="105"/>
      <c r="I616" s="1"/>
      <c r="J616" s="1"/>
      <c r="K616" s="1"/>
      <c r="L616" s="1"/>
      <c r="M616" s="1"/>
      <c r="N616" s="1"/>
      <c r="O616" s="1"/>
      <c r="P616" s="1"/>
      <c r="Q616" s="1"/>
      <c r="R616" s="1"/>
      <c r="S616" s="1"/>
      <c r="T616" s="1"/>
      <c r="U616" s="1"/>
      <c r="V616" s="1"/>
      <c r="W616" s="1"/>
      <c r="X616" s="1"/>
    </row>
    <row r="617" spans="1:24" ht="12.75" customHeight="1" x14ac:dyDescent="0.2">
      <c r="A617" s="1"/>
      <c r="B617" s="1"/>
      <c r="C617" s="89"/>
      <c r="D617" s="89"/>
      <c r="E617" s="93"/>
      <c r="F617" s="93"/>
      <c r="G617" s="105"/>
      <c r="H617" s="105"/>
      <c r="I617" s="1"/>
      <c r="J617" s="1"/>
      <c r="K617" s="1"/>
      <c r="L617" s="1"/>
      <c r="M617" s="1"/>
      <c r="N617" s="1"/>
      <c r="O617" s="1"/>
      <c r="P617" s="1"/>
      <c r="Q617" s="1"/>
      <c r="R617" s="1"/>
      <c r="S617" s="1"/>
      <c r="T617" s="1"/>
      <c r="U617" s="1"/>
      <c r="V617" s="1"/>
      <c r="W617" s="1"/>
      <c r="X617" s="1"/>
    </row>
    <row r="618" spans="1:24" ht="12.75" customHeight="1" x14ac:dyDescent="0.2">
      <c r="A618" s="1"/>
      <c r="B618" s="1"/>
      <c r="C618" s="89"/>
      <c r="D618" s="89"/>
      <c r="E618" s="93"/>
      <c r="F618" s="93"/>
      <c r="G618" s="105"/>
      <c r="H618" s="105"/>
      <c r="I618" s="1"/>
      <c r="J618" s="1"/>
      <c r="K618" s="1"/>
      <c r="L618" s="1"/>
      <c r="M618" s="1"/>
      <c r="N618" s="1"/>
      <c r="O618" s="1"/>
      <c r="P618" s="1"/>
      <c r="Q618" s="1"/>
      <c r="R618" s="1"/>
      <c r="S618" s="1"/>
      <c r="T618" s="1"/>
      <c r="U618" s="1"/>
      <c r="V618" s="1"/>
      <c r="W618" s="1"/>
      <c r="X618" s="1"/>
    </row>
    <row r="619" spans="1:24" ht="12.75" customHeight="1" x14ac:dyDescent="0.2">
      <c r="A619" s="1"/>
      <c r="B619" s="1"/>
      <c r="C619" s="89"/>
      <c r="D619" s="89"/>
      <c r="E619" s="93"/>
      <c r="F619" s="93"/>
      <c r="G619" s="105"/>
      <c r="H619" s="105"/>
      <c r="I619" s="1"/>
      <c r="J619" s="1"/>
      <c r="K619" s="1"/>
      <c r="L619" s="1"/>
      <c r="M619" s="1"/>
      <c r="N619" s="1"/>
      <c r="O619" s="1"/>
      <c r="P619" s="1"/>
      <c r="Q619" s="1"/>
      <c r="R619" s="1"/>
      <c r="S619" s="1"/>
      <c r="T619" s="1"/>
      <c r="U619" s="1"/>
      <c r="V619" s="1"/>
      <c r="W619" s="1"/>
      <c r="X619" s="1"/>
    </row>
    <row r="620" spans="1:24" ht="12.75" customHeight="1" x14ac:dyDescent="0.2">
      <c r="A620" s="1"/>
      <c r="B620" s="1"/>
      <c r="C620" s="89"/>
      <c r="D620" s="89"/>
      <c r="E620" s="93"/>
      <c r="F620" s="93"/>
      <c r="G620" s="105"/>
      <c r="H620" s="105"/>
      <c r="I620" s="1"/>
      <c r="J620" s="1"/>
      <c r="K620" s="1"/>
      <c r="L620" s="1"/>
      <c r="M620" s="1"/>
      <c r="N620" s="1"/>
      <c r="O620" s="1"/>
      <c r="P620" s="1"/>
      <c r="Q620" s="1"/>
      <c r="R620" s="1"/>
      <c r="S620" s="1"/>
      <c r="T620" s="1"/>
      <c r="U620" s="1"/>
      <c r="V620" s="1"/>
      <c r="W620" s="1"/>
      <c r="X620" s="1"/>
    </row>
    <row r="621" spans="1:24" ht="12.75" customHeight="1" x14ac:dyDescent="0.2">
      <c r="A621" s="1"/>
      <c r="B621" s="1"/>
      <c r="C621" s="89"/>
      <c r="D621" s="89"/>
      <c r="E621" s="93"/>
      <c r="F621" s="93"/>
      <c r="G621" s="105"/>
      <c r="H621" s="105"/>
      <c r="I621" s="1"/>
      <c r="J621" s="1"/>
      <c r="K621" s="1"/>
      <c r="L621" s="1"/>
      <c r="M621" s="1"/>
      <c r="N621" s="1"/>
      <c r="O621" s="1"/>
      <c r="P621" s="1"/>
      <c r="Q621" s="1"/>
      <c r="R621" s="1"/>
      <c r="S621" s="1"/>
      <c r="T621" s="1"/>
      <c r="U621" s="1"/>
      <c r="V621" s="1"/>
      <c r="W621" s="1"/>
      <c r="X621" s="1"/>
    </row>
    <row r="622" spans="1:24" ht="12.75" customHeight="1" x14ac:dyDescent="0.2">
      <c r="A622" s="1"/>
      <c r="B622" s="1"/>
      <c r="C622" s="89"/>
      <c r="D622" s="89"/>
      <c r="E622" s="93"/>
      <c r="F622" s="93"/>
      <c r="G622" s="105"/>
      <c r="H622" s="105"/>
      <c r="I622" s="1"/>
      <c r="J622" s="1"/>
      <c r="K622" s="1"/>
      <c r="L622" s="1"/>
      <c r="M622" s="1"/>
      <c r="N622" s="1"/>
      <c r="O622" s="1"/>
      <c r="P622" s="1"/>
      <c r="Q622" s="1"/>
      <c r="R622" s="1"/>
      <c r="S622" s="1"/>
      <c r="T622" s="1"/>
      <c r="U622" s="1"/>
      <c r="V622" s="1"/>
      <c r="W622" s="1"/>
      <c r="X622" s="1"/>
    </row>
    <row r="623" spans="1:24" ht="12.75" customHeight="1" x14ac:dyDescent="0.2">
      <c r="A623" s="1"/>
      <c r="B623" s="1"/>
      <c r="C623" s="89"/>
      <c r="D623" s="89"/>
      <c r="E623" s="93"/>
      <c r="F623" s="93"/>
      <c r="G623" s="105"/>
      <c r="H623" s="105"/>
      <c r="I623" s="1"/>
      <c r="J623" s="1"/>
      <c r="K623" s="1"/>
      <c r="L623" s="1"/>
      <c r="M623" s="1"/>
      <c r="N623" s="1"/>
      <c r="O623" s="1"/>
      <c r="P623" s="1"/>
      <c r="Q623" s="1"/>
      <c r="R623" s="1"/>
      <c r="S623" s="1"/>
      <c r="T623" s="1"/>
      <c r="U623" s="1"/>
      <c r="V623" s="1"/>
      <c r="W623" s="1"/>
      <c r="X623" s="1"/>
    </row>
    <row r="624" spans="1:24" ht="12.75" customHeight="1" x14ac:dyDescent="0.2">
      <c r="A624" s="1"/>
      <c r="B624" s="1"/>
      <c r="C624" s="89"/>
      <c r="D624" s="89"/>
      <c r="E624" s="93"/>
      <c r="F624" s="93"/>
      <c r="G624" s="105"/>
      <c r="H624" s="105"/>
      <c r="I624" s="1"/>
      <c r="J624" s="1"/>
      <c r="K624" s="1"/>
      <c r="L624" s="1"/>
      <c r="M624" s="1"/>
      <c r="N624" s="1"/>
      <c r="O624" s="1"/>
      <c r="P624" s="1"/>
      <c r="Q624" s="1"/>
      <c r="R624" s="1"/>
      <c r="S624" s="1"/>
      <c r="T624" s="1"/>
      <c r="U624" s="1"/>
      <c r="V624" s="1"/>
      <c r="W624" s="1"/>
      <c r="X624" s="1"/>
    </row>
    <row r="625" spans="1:24" ht="12.75" customHeight="1" x14ac:dyDescent="0.2">
      <c r="A625" s="1"/>
      <c r="B625" s="1"/>
      <c r="C625" s="89"/>
      <c r="D625" s="89"/>
      <c r="E625" s="93"/>
      <c r="F625" s="93"/>
      <c r="G625" s="105"/>
      <c r="H625" s="105"/>
      <c r="I625" s="1"/>
      <c r="J625" s="1"/>
      <c r="K625" s="1"/>
      <c r="L625" s="1"/>
      <c r="M625" s="1"/>
      <c r="N625" s="1"/>
      <c r="O625" s="1"/>
      <c r="P625" s="1"/>
      <c r="Q625" s="1"/>
      <c r="R625" s="1"/>
      <c r="S625" s="1"/>
      <c r="T625" s="1"/>
      <c r="U625" s="1"/>
      <c r="V625" s="1"/>
      <c r="W625" s="1"/>
      <c r="X625" s="1"/>
    </row>
    <row r="626" spans="1:24" ht="12.75" customHeight="1" x14ac:dyDescent="0.2">
      <c r="A626" s="1"/>
      <c r="B626" s="1"/>
      <c r="C626" s="89"/>
      <c r="D626" s="89"/>
      <c r="E626" s="93"/>
      <c r="F626" s="93"/>
      <c r="G626" s="105"/>
      <c r="H626" s="105"/>
      <c r="I626" s="1"/>
      <c r="J626" s="1"/>
      <c r="K626" s="1"/>
      <c r="L626" s="1"/>
      <c r="M626" s="1"/>
      <c r="N626" s="1"/>
      <c r="O626" s="1"/>
      <c r="P626" s="1"/>
      <c r="Q626" s="1"/>
      <c r="R626" s="1"/>
      <c r="S626" s="1"/>
      <c r="T626" s="1"/>
      <c r="U626" s="1"/>
      <c r="V626" s="1"/>
      <c r="W626" s="1"/>
      <c r="X626" s="1"/>
    </row>
    <row r="627" spans="1:24" ht="12.75" customHeight="1" x14ac:dyDescent="0.2">
      <c r="A627" s="1"/>
      <c r="B627" s="1"/>
      <c r="C627" s="89"/>
      <c r="D627" s="89"/>
      <c r="E627" s="93"/>
      <c r="F627" s="93"/>
      <c r="G627" s="105"/>
      <c r="H627" s="105"/>
      <c r="I627" s="1"/>
      <c r="J627" s="1"/>
      <c r="K627" s="1"/>
      <c r="L627" s="1"/>
      <c r="M627" s="1"/>
      <c r="N627" s="1"/>
      <c r="O627" s="1"/>
      <c r="P627" s="1"/>
      <c r="Q627" s="1"/>
      <c r="R627" s="1"/>
      <c r="S627" s="1"/>
      <c r="T627" s="1"/>
      <c r="U627" s="1"/>
      <c r="V627" s="1"/>
      <c r="W627" s="1"/>
      <c r="X627" s="1"/>
    </row>
    <row r="628" spans="1:24" ht="12.75" customHeight="1" x14ac:dyDescent="0.2">
      <c r="A628" s="1"/>
      <c r="B628" s="1"/>
      <c r="C628" s="89"/>
      <c r="D628" s="89"/>
      <c r="E628" s="93"/>
      <c r="F628" s="93"/>
      <c r="G628" s="105"/>
      <c r="H628" s="105"/>
      <c r="I628" s="1"/>
      <c r="J628" s="1"/>
      <c r="K628" s="1"/>
      <c r="L628" s="1"/>
      <c r="M628" s="1"/>
      <c r="N628" s="1"/>
      <c r="O628" s="1"/>
      <c r="P628" s="1"/>
      <c r="Q628" s="1"/>
      <c r="R628" s="1"/>
      <c r="S628" s="1"/>
      <c r="T628" s="1"/>
      <c r="U628" s="1"/>
      <c r="V628" s="1"/>
      <c r="W628" s="1"/>
      <c r="X628" s="1"/>
    </row>
    <row r="629" spans="1:24" ht="12.75" customHeight="1" x14ac:dyDescent="0.2">
      <c r="A629" s="1"/>
      <c r="B629" s="1"/>
      <c r="C629" s="89"/>
      <c r="D629" s="89"/>
      <c r="E629" s="93"/>
      <c r="F629" s="93"/>
      <c r="G629" s="105"/>
      <c r="H629" s="105"/>
      <c r="I629" s="1"/>
      <c r="J629" s="1"/>
      <c r="K629" s="1"/>
      <c r="L629" s="1"/>
      <c r="M629" s="1"/>
      <c r="N629" s="1"/>
      <c r="O629" s="1"/>
      <c r="P629" s="1"/>
      <c r="Q629" s="1"/>
      <c r="R629" s="1"/>
      <c r="S629" s="1"/>
      <c r="T629" s="1"/>
      <c r="U629" s="1"/>
      <c r="V629" s="1"/>
      <c r="W629" s="1"/>
      <c r="X629" s="1"/>
    </row>
    <row r="630" spans="1:24" ht="12.75" customHeight="1" x14ac:dyDescent="0.2">
      <c r="A630" s="1"/>
      <c r="B630" s="1"/>
      <c r="C630" s="89"/>
      <c r="D630" s="89"/>
      <c r="E630" s="93"/>
      <c r="F630" s="93"/>
      <c r="G630" s="105"/>
      <c r="H630" s="105"/>
      <c r="I630" s="1"/>
      <c r="J630" s="1"/>
      <c r="K630" s="1"/>
      <c r="L630" s="1"/>
      <c r="M630" s="1"/>
      <c r="N630" s="1"/>
      <c r="O630" s="1"/>
      <c r="P630" s="1"/>
      <c r="Q630" s="1"/>
      <c r="R630" s="1"/>
      <c r="S630" s="1"/>
      <c r="T630" s="1"/>
      <c r="U630" s="1"/>
      <c r="V630" s="1"/>
      <c r="W630" s="1"/>
      <c r="X630" s="1"/>
    </row>
    <row r="631" spans="1:24" ht="12.75" customHeight="1" x14ac:dyDescent="0.2">
      <c r="A631" s="1"/>
      <c r="B631" s="1"/>
      <c r="C631" s="89"/>
      <c r="D631" s="89"/>
      <c r="E631" s="93"/>
      <c r="F631" s="93"/>
      <c r="G631" s="105"/>
      <c r="H631" s="105"/>
      <c r="I631" s="1"/>
      <c r="J631" s="1"/>
      <c r="K631" s="1"/>
      <c r="L631" s="1"/>
      <c r="M631" s="1"/>
      <c r="N631" s="1"/>
      <c r="O631" s="1"/>
      <c r="P631" s="1"/>
      <c r="Q631" s="1"/>
      <c r="R631" s="1"/>
      <c r="S631" s="1"/>
      <c r="T631" s="1"/>
      <c r="U631" s="1"/>
      <c r="V631" s="1"/>
      <c r="W631" s="1"/>
      <c r="X631" s="1"/>
    </row>
    <row r="632" spans="1:24" ht="12.75" customHeight="1" x14ac:dyDescent="0.2">
      <c r="A632" s="1"/>
      <c r="B632" s="1"/>
      <c r="C632" s="89"/>
      <c r="D632" s="89"/>
      <c r="E632" s="93"/>
      <c r="F632" s="93"/>
      <c r="G632" s="105"/>
      <c r="H632" s="105"/>
      <c r="I632" s="1"/>
      <c r="J632" s="1"/>
      <c r="K632" s="1"/>
      <c r="L632" s="1"/>
      <c r="M632" s="1"/>
      <c r="N632" s="1"/>
      <c r="O632" s="1"/>
      <c r="P632" s="1"/>
      <c r="Q632" s="1"/>
      <c r="R632" s="1"/>
      <c r="S632" s="1"/>
      <c r="T632" s="1"/>
      <c r="U632" s="1"/>
      <c r="V632" s="1"/>
      <c r="W632" s="1"/>
      <c r="X632" s="1"/>
    </row>
    <row r="633" spans="1:24" ht="12.75" customHeight="1" x14ac:dyDescent="0.2">
      <c r="A633" s="1"/>
      <c r="B633" s="1"/>
      <c r="C633" s="89"/>
      <c r="D633" s="89"/>
      <c r="E633" s="93"/>
      <c r="F633" s="93"/>
      <c r="G633" s="105"/>
      <c r="H633" s="105"/>
      <c r="I633" s="1"/>
      <c r="J633" s="1"/>
      <c r="K633" s="1"/>
      <c r="L633" s="1"/>
      <c r="M633" s="1"/>
      <c r="N633" s="1"/>
      <c r="O633" s="1"/>
      <c r="P633" s="1"/>
      <c r="Q633" s="1"/>
      <c r="R633" s="1"/>
      <c r="S633" s="1"/>
      <c r="T633" s="1"/>
      <c r="U633" s="1"/>
      <c r="V633" s="1"/>
      <c r="W633" s="1"/>
      <c r="X633" s="1"/>
    </row>
    <row r="634" spans="1:24" ht="12.75" customHeight="1" x14ac:dyDescent="0.2">
      <c r="A634" s="1"/>
      <c r="B634" s="1"/>
      <c r="C634" s="89"/>
      <c r="D634" s="89"/>
      <c r="E634" s="93"/>
      <c r="F634" s="93"/>
      <c r="G634" s="105"/>
      <c r="H634" s="105"/>
      <c r="I634" s="1"/>
      <c r="J634" s="1"/>
      <c r="K634" s="1"/>
      <c r="L634" s="1"/>
      <c r="M634" s="1"/>
      <c r="N634" s="1"/>
      <c r="O634" s="1"/>
      <c r="P634" s="1"/>
      <c r="Q634" s="1"/>
      <c r="R634" s="1"/>
      <c r="S634" s="1"/>
      <c r="T634" s="1"/>
      <c r="U634" s="1"/>
      <c r="V634" s="1"/>
      <c r="W634" s="1"/>
      <c r="X634" s="1"/>
    </row>
    <row r="635" spans="1:24" ht="12.75" customHeight="1" x14ac:dyDescent="0.2">
      <c r="A635" s="1"/>
      <c r="B635" s="1"/>
      <c r="C635" s="89"/>
      <c r="D635" s="89"/>
      <c r="E635" s="93"/>
      <c r="F635" s="93"/>
      <c r="G635" s="105"/>
      <c r="H635" s="105"/>
      <c r="I635" s="1"/>
      <c r="J635" s="1"/>
      <c r="K635" s="1"/>
      <c r="L635" s="1"/>
      <c r="M635" s="1"/>
      <c r="N635" s="1"/>
      <c r="O635" s="1"/>
      <c r="P635" s="1"/>
      <c r="Q635" s="1"/>
      <c r="R635" s="1"/>
      <c r="S635" s="1"/>
      <c r="T635" s="1"/>
      <c r="U635" s="1"/>
      <c r="V635" s="1"/>
      <c r="W635" s="1"/>
      <c r="X635" s="1"/>
    </row>
    <row r="636" spans="1:24" ht="12.75" customHeight="1" x14ac:dyDescent="0.2">
      <c r="A636" s="1"/>
      <c r="B636" s="1"/>
      <c r="C636" s="89"/>
      <c r="D636" s="89"/>
      <c r="E636" s="93"/>
      <c r="F636" s="93"/>
      <c r="G636" s="105"/>
      <c r="H636" s="105"/>
      <c r="I636" s="1"/>
      <c r="J636" s="1"/>
      <c r="K636" s="1"/>
      <c r="L636" s="1"/>
      <c r="M636" s="1"/>
      <c r="N636" s="1"/>
      <c r="O636" s="1"/>
      <c r="P636" s="1"/>
      <c r="Q636" s="1"/>
      <c r="R636" s="1"/>
      <c r="S636" s="1"/>
      <c r="T636" s="1"/>
      <c r="U636" s="1"/>
      <c r="V636" s="1"/>
      <c r="W636" s="1"/>
      <c r="X636" s="1"/>
    </row>
    <row r="637" spans="1:24" ht="12.75" customHeight="1" x14ac:dyDescent="0.2">
      <c r="A637" s="1"/>
      <c r="B637" s="1"/>
      <c r="C637" s="89"/>
      <c r="D637" s="89"/>
      <c r="E637" s="93"/>
      <c r="F637" s="93"/>
      <c r="G637" s="105"/>
      <c r="H637" s="105"/>
      <c r="I637" s="1"/>
      <c r="J637" s="1"/>
      <c r="K637" s="1"/>
      <c r="L637" s="1"/>
      <c r="M637" s="1"/>
      <c r="N637" s="1"/>
      <c r="O637" s="1"/>
      <c r="P637" s="1"/>
      <c r="Q637" s="1"/>
      <c r="R637" s="1"/>
      <c r="S637" s="1"/>
      <c r="T637" s="1"/>
      <c r="U637" s="1"/>
      <c r="V637" s="1"/>
      <c r="W637" s="1"/>
      <c r="X637" s="1"/>
    </row>
    <row r="638" spans="1:24" ht="12.75" customHeight="1" x14ac:dyDescent="0.2">
      <c r="A638" s="1"/>
      <c r="B638" s="1"/>
      <c r="C638" s="89"/>
      <c r="D638" s="89"/>
      <c r="E638" s="93"/>
      <c r="F638" s="93"/>
      <c r="G638" s="105"/>
      <c r="H638" s="105"/>
      <c r="I638" s="1"/>
      <c r="J638" s="1"/>
      <c r="K638" s="1"/>
      <c r="L638" s="1"/>
      <c r="M638" s="1"/>
      <c r="N638" s="1"/>
      <c r="O638" s="1"/>
      <c r="P638" s="1"/>
      <c r="Q638" s="1"/>
      <c r="R638" s="1"/>
      <c r="S638" s="1"/>
      <c r="T638" s="1"/>
      <c r="U638" s="1"/>
      <c r="V638" s="1"/>
      <c r="W638" s="1"/>
      <c r="X638" s="1"/>
    </row>
    <row r="639" spans="1:24" ht="12.75" customHeight="1" x14ac:dyDescent="0.2">
      <c r="A639" s="1"/>
      <c r="B639" s="1"/>
      <c r="C639" s="89"/>
      <c r="D639" s="89"/>
      <c r="E639" s="93"/>
      <c r="F639" s="93"/>
      <c r="G639" s="105"/>
      <c r="H639" s="105"/>
      <c r="I639" s="1"/>
      <c r="J639" s="1"/>
      <c r="K639" s="1"/>
      <c r="L639" s="1"/>
      <c r="M639" s="1"/>
      <c r="N639" s="1"/>
      <c r="O639" s="1"/>
      <c r="P639" s="1"/>
      <c r="Q639" s="1"/>
      <c r="R639" s="1"/>
      <c r="S639" s="1"/>
      <c r="T639" s="1"/>
      <c r="U639" s="1"/>
      <c r="V639" s="1"/>
      <c r="W639" s="1"/>
      <c r="X639" s="1"/>
    </row>
    <row r="640" spans="1:24" ht="12.75" customHeight="1" x14ac:dyDescent="0.2">
      <c r="A640" s="1"/>
      <c r="B640" s="1"/>
      <c r="C640" s="89"/>
      <c r="D640" s="89"/>
      <c r="E640" s="93"/>
      <c r="F640" s="93"/>
      <c r="G640" s="105"/>
      <c r="H640" s="105"/>
      <c r="I640" s="1"/>
      <c r="J640" s="1"/>
      <c r="K640" s="1"/>
      <c r="L640" s="1"/>
      <c r="M640" s="1"/>
      <c r="N640" s="1"/>
      <c r="O640" s="1"/>
      <c r="P640" s="1"/>
      <c r="Q640" s="1"/>
      <c r="R640" s="1"/>
      <c r="S640" s="1"/>
      <c r="T640" s="1"/>
      <c r="U640" s="1"/>
      <c r="V640" s="1"/>
      <c r="W640" s="1"/>
      <c r="X640" s="1"/>
    </row>
    <row r="641" spans="1:24" ht="12.75" customHeight="1" x14ac:dyDescent="0.2">
      <c r="A641" s="1"/>
      <c r="B641" s="1"/>
      <c r="C641" s="89"/>
      <c r="D641" s="89"/>
      <c r="E641" s="93"/>
      <c r="F641" s="93"/>
      <c r="G641" s="105"/>
      <c r="H641" s="105"/>
      <c r="I641" s="1"/>
      <c r="J641" s="1"/>
      <c r="K641" s="1"/>
      <c r="L641" s="1"/>
      <c r="M641" s="1"/>
      <c r="N641" s="1"/>
      <c r="O641" s="1"/>
      <c r="P641" s="1"/>
      <c r="Q641" s="1"/>
      <c r="R641" s="1"/>
      <c r="S641" s="1"/>
      <c r="T641" s="1"/>
      <c r="U641" s="1"/>
      <c r="V641" s="1"/>
      <c r="W641" s="1"/>
      <c r="X641" s="1"/>
    </row>
    <row r="642" spans="1:24" ht="12.75" customHeight="1" x14ac:dyDescent="0.2">
      <c r="A642" s="1"/>
      <c r="B642" s="1"/>
      <c r="C642" s="89"/>
      <c r="D642" s="89"/>
      <c r="E642" s="93"/>
      <c r="F642" s="93"/>
      <c r="G642" s="105"/>
      <c r="H642" s="105"/>
      <c r="I642" s="1"/>
      <c r="J642" s="1"/>
      <c r="K642" s="1"/>
      <c r="L642" s="1"/>
      <c r="M642" s="1"/>
      <c r="N642" s="1"/>
      <c r="O642" s="1"/>
      <c r="P642" s="1"/>
      <c r="Q642" s="1"/>
      <c r="R642" s="1"/>
      <c r="S642" s="1"/>
      <c r="T642" s="1"/>
      <c r="U642" s="1"/>
      <c r="V642" s="1"/>
      <c r="W642" s="1"/>
      <c r="X642" s="1"/>
    </row>
    <row r="643" spans="1:24" ht="12.75" customHeight="1" x14ac:dyDescent="0.2">
      <c r="A643" s="1"/>
      <c r="B643" s="1"/>
      <c r="C643" s="89"/>
      <c r="D643" s="89"/>
      <c r="E643" s="93"/>
      <c r="F643" s="93"/>
      <c r="G643" s="105"/>
      <c r="H643" s="105"/>
      <c r="I643" s="1"/>
      <c r="J643" s="1"/>
      <c r="K643" s="1"/>
      <c r="L643" s="1"/>
      <c r="M643" s="1"/>
      <c r="N643" s="1"/>
      <c r="O643" s="1"/>
      <c r="P643" s="1"/>
      <c r="Q643" s="1"/>
      <c r="R643" s="1"/>
      <c r="S643" s="1"/>
      <c r="T643" s="1"/>
      <c r="U643" s="1"/>
      <c r="V643" s="1"/>
      <c r="W643" s="1"/>
      <c r="X643" s="1"/>
    </row>
    <row r="644" spans="1:24" ht="12.75" customHeight="1" x14ac:dyDescent="0.2">
      <c r="A644" s="1"/>
      <c r="B644" s="1"/>
      <c r="C644" s="89"/>
      <c r="D644" s="89"/>
      <c r="E644" s="93"/>
      <c r="F644" s="93"/>
      <c r="G644" s="105"/>
      <c r="H644" s="105"/>
      <c r="I644" s="1"/>
      <c r="J644" s="1"/>
      <c r="K644" s="1"/>
      <c r="L644" s="1"/>
      <c r="M644" s="1"/>
      <c r="N644" s="1"/>
      <c r="O644" s="1"/>
      <c r="P644" s="1"/>
      <c r="Q644" s="1"/>
      <c r="R644" s="1"/>
      <c r="S644" s="1"/>
      <c r="T644" s="1"/>
      <c r="U644" s="1"/>
      <c r="V644" s="1"/>
      <c r="W644" s="1"/>
      <c r="X644" s="1"/>
    </row>
    <row r="645" spans="1:24" ht="12.75" customHeight="1" x14ac:dyDescent="0.2">
      <c r="A645" s="1"/>
      <c r="B645" s="1"/>
      <c r="C645" s="89"/>
      <c r="D645" s="89"/>
      <c r="E645" s="93"/>
      <c r="F645" s="93"/>
      <c r="G645" s="105"/>
      <c r="H645" s="105"/>
      <c r="I645" s="1"/>
      <c r="J645" s="1"/>
      <c r="K645" s="1"/>
      <c r="L645" s="1"/>
      <c r="M645" s="1"/>
      <c r="N645" s="1"/>
      <c r="O645" s="1"/>
      <c r="P645" s="1"/>
      <c r="Q645" s="1"/>
      <c r="R645" s="1"/>
      <c r="S645" s="1"/>
      <c r="T645" s="1"/>
      <c r="U645" s="1"/>
      <c r="V645" s="1"/>
      <c r="W645" s="1"/>
      <c r="X645" s="1"/>
    </row>
    <row r="646" spans="1:24" ht="12.75" customHeight="1" x14ac:dyDescent="0.2">
      <c r="A646" s="1"/>
      <c r="B646" s="1"/>
      <c r="C646" s="89"/>
      <c r="D646" s="89"/>
      <c r="E646" s="93"/>
      <c r="F646" s="93"/>
      <c r="G646" s="105"/>
      <c r="H646" s="105"/>
      <c r="I646" s="1"/>
      <c r="J646" s="1"/>
      <c r="K646" s="1"/>
      <c r="L646" s="1"/>
      <c r="M646" s="1"/>
      <c r="N646" s="1"/>
      <c r="O646" s="1"/>
      <c r="P646" s="1"/>
      <c r="Q646" s="1"/>
      <c r="R646" s="1"/>
      <c r="S646" s="1"/>
      <c r="T646" s="1"/>
      <c r="U646" s="1"/>
      <c r="V646" s="1"/>
      <c r="W646" s="1"/>
      <c r="X646" s="1"/>
    </row>
    <row r="647" spans="1:24" ht="12.75" customHeight="1" x14ac:dyDescent="0.2">
      <c r="A647" s="1"/>
      <c r="B647" s="1"/>
      <c r="C647" s="89"/>
      <c r="D647" s="89"/>
      <c r="E647" s="93"/>
      <c r="F647" s="93"/>
      <c r="G647" s="105"/>
      <c r="H647" s="105"/>
      <c r="I647" s="1"/>
      <c r="J647" s="1"/>
      <c r="K647" s="1"/>
      <c r="L647" s="1"/>
      <c r="M647" s="1"/>
      <c r="N647" s="1"/>
      <c r="O647" s="1"/>
      <c r="P647" s="1"/>
      <c r="Q647" s="1"/>
      <c r="R647" s="1"/>
      <c r="S647" s="1"/>
      <c r="T647" s="1"/>
      <c r="U647" s="1"/>
      <c r="V647" s="1"/>
      <c r="W647" s="1"/>
      <c r="X647" s="1"/>
    </row>
    <row r="648" spans="1:24" ht="12.75" customHeight="1" x14ac:dyDescent="0.2">
      <c r="A648" s="1"/>
      <c r="B648" s="1"/>
      <c r="C648" s="89"/>
      <c r="D648" s="89"/>
      <c r="E648" s="93"/>
      <c r="F648" s="93"/>
      <c r="G648" s="105"/>
      <c r="H648" s="105"/>
      <c r="I648" s="1"/>
      <c r="J648" s="1"/>
      <c r="K648" s="1"/>
      <c r="L648" s="1"/>
      <c r="M648" s="1"/>
      <c r="N648" s="1"/>
      <c r="O648" s="1"/>
      <c r="P648" s="1"/>
      <c r="Q648" s="1"/>
      <c r="R648" s="1"/>
      <c r="S648" s="1"/>
      <c r="T648" s="1"/>
      <c r="U648" s="1"/>
      <c r="V648" s="1"/>
      <c r="W648" s="1"/>
      <c r="X648" s="1"/>
    </row>
    <row r="649" spans="1:24" ht="12.75" customHeight="1" x14ac:dyDescent="0.2">
      <c r="A649" s="1"/>
      <c r="B649" s="1"/>
      <c r="C649" s="89"/>
      <c r="D649" s="89"/>
      <c r="E649" s="93"/>
      <c r="F649" s="93"/>
      <c r="G649" s="105"/>
      <c r="H649" s="105"/>
      <c r="I649" s="1"/>
      <c r="J649" s="1"/>
      <c r="K649" s="1"/>
      <c r="L649" s="1"/>
      <c r="M649" s="1"/>
      <c r="N649" s="1"/>
      <c r="O649" s="1"/>
      <c r="P649" s="1"/>
      <c r="Q649" s="1"/>
      <c r="R649" s="1"/>
      <c r="S649" s="1"/>
      <c r="T649" s="1"/>
      <c r="U649" s="1"/>
      <c r="V649" s="1"/>
      <c r="W649" s="1"/>
      <c r="X649" s="1"/>
    </row>
    <row r="650" spans="1:24" ht="12.75" customHeight="1" x14ac:dyDescent="0.2">
      <c r="A650" s="1"/>
      <c r="B650" s="1"/>
      <c r="C650" s="89"/>
      <c r="D650" s="89"/>
      <c r="E650" s="93"/>
      <c r="F650" s="93"/>
      <c r="G650" s="105"/>
      <c r="H650" s="105"/>
      <c r="I650" s="1"/>
      <c r="J650" s="1"/>
      <c r="K650" s="1"/>
      <c r="L650" s="1"/>
      <c r="M650" s="1"/>
      <c r="N650" s="1"/>
      <c r="O650" s="1"/>
      <c r="P650" s="1"/>
      <c r="Q650" s="1"/>
      <c r="R650" s="1"/>
      <c r="S650" s="1"/>
      <c r="T650" s="1"/>
      <c r="U650" s="1"/>
      <c r="V650" s="1"/>
      <c r="W650" s="1"/>
      <c r="X650" s="1"/>
    </row>
    <row r="651" spans="1:24" ht="12.75" customHeight="1" x14ac:dyDescent="0.2">
      <c r="A651" s="1"/>
      <c r="B651" s="1"/>
      <c r="C651" s="89"/>
      <c r="D651" s="89"/>
      <c r="E651" s="93"/>
      <c r="F651" s="93"/>
      <c r="G651" s="105"/>
      <c r="H651" s="105"/>
      <c r="I651" s="1"/>
      <c r="J651" s="1"/>
      <c r="K651" s="1"/>
      <c r="L651" s="1"/>
      <c r="M651" s="1"/>
      <c r="N651" s="1"/>
      <c r="O651" s="1"/>
      <c r="P651" s="1"/>
      <c r="Q651" s="1"/>
      <c r="R651" s="1"/>
      <c r="S651" s="1"/>
      <c r="T651" s="1"/>
      <c r="U651" s="1"/>
      <c r="V651" s="1"/>
      <c r="W651" s="1"/>
      <c r="X651" s="1"/>
    </row>
    <row r="652" spans="1:24" ht="12.75" customHeight="1" x14ac:dyDescent="0.2">
      <c r="A652" s="1"/>
      <c r="B652" s="1"/>
      <c r="C652" s="89"/>
      <c r="D652" s="89"/>
      <c r="E652" s="93"/>
      <c r="F652" s="93"/>
      <c r="G652" s="105"/>
      <c r="H652" s="105"/>
      <c r="I652" s="1"/>
      <c r="J652" s="1"/>
      <c r="K652" s="1"/>
      <c r="L652" s="1"/>
      <c r="M652" s="1"/>
      <c r="N652" s="1"/>
      <c r="O652" s="1"/>
      <c r="P652" s="1"/>
      <c r="Q652" s="1"/>
      <c r="R652" s="1"/>
      <c r="S652" s="1"/>
      <c r="T652" s="1"/>
      <c r="U652" s="1"/>
      <c r="V652" s="1"/>
      <c r="W652" s="1"/>
      <c r="X652" s="1"/>
    </row>
    <row r="653" spans="1:24" ht="12.75" customHeight="1" x14ac:dyDescent="0.2">
      <c r="A653" s="1"/>
      <c r="B653" s="1"/>
      <c r="C653" s="89"/>
      <c r="D653" s="89"/>
      <c r="E653" s="93"/>
      <c r="F653" s="93"/>
      <c r="G653" s="105"/>
      <c r="H653" s="105"/>
      <c r="I653" s="1"/>
      <c r="J653" s="1"/>
      <c r="K653" s="1"/>
      <c r="L653" s="1"/>
      <c r="M653" s="1"/>
      <c r="N653" s="1"/>
      <c r="O653" s="1"/>
      <c r="P653" s="1"/>
      <c r="Q653" s="1"/>
      <c r="R653" s="1"/>
      <c r="S653" s="1"/>
      <c r="T653" s="1"/>
      <c r="U653" s="1"/>
      <c r="V653" s="1"/>
      <c r="W653" s="1"/>
      <c r="X653" s="1"/>
    </row>
    <row r="654" spans="1:24" ht="12.75" customHeight="1" x14ac:dyDescent="0.2">
      <c r="A654" s="1"/>
      <c r="B654" s="1"/>
      <c r="C654" s="89"/>
      <c r="D654" s="89"/>
      <c r="E654" s="93"/>
      <c r="F654" s="93"/>
      <c r="G654" s="105"/>
      <c r="H654" s="105"/>
      <c r="I654" s="1"/>
      <c r="J654" s="1"/>
      <c r="K654" s="1"/>
      <c r="L654" s="1"/>
      <c r="M654" s="1"/>
      <c r="N654" s="1"/>
      <c r="O654" s="1"/>
      <c r="P654" s="1"/>
      <c r="Q654" s="1"/>
      <c r="R654" s="1"/>
      <c r="S654" s="1"/>
      <c r="T654" s="1"/>
      <c r="U654" s="1"/>
      <c r="V654" s="1"/>
      <c r="W654" s="1"/>
      <c r="X654" s="1"/>
    </row>
    <row r="655" spans="1:24" ht="12.75" customHeight="1" x14ac:dyDescent="0.2">
      <c r="A655" s="1"/>
      <c r="B655" s="1"/>
      <c r="C655" s="89"/>
      <c r="D655" s="89"/>
      <c r="E655" s="93"/>
      <c r="F655" s="93"/>
      <c r="G655" s="105"/>
      <c r="H655" s="105"/>
      <c r="I655" s="1"/>
      <c r="J655" s="1"/>
      <c r="K655" s="1"/>
      <c r="L655" s="1"/>
      <c r="M655" s="1"/>
      <c r="N655" s="1"/>
      <c r="O655" s="1"/>
      <c r="P655" s="1"/>
      <c r="Q655" s="1"/>
      <c r="R655" s="1"/>
      <c r="S655" s="1"/>
      <c r="T655" s="1"/>
      <c r="U655" s="1"/>
      <c r="V655" s="1"/>
      <c r="W655" s="1"/>
      <c r="X655" s="1"/>
    </row>
    <row r="656" spans="1:24" ht="12.75" customHeight="1" x14ac:dyDescent="0.2">
      <c r="A656" s="1"/>
      <c r="B656" s="1"/>
      <c r="C656" s="89"/>
      <c r="D656" s="89"/>
      <c r="E656" s="93"/>
      <c r="F656" s="93"/>
      <c r="G656" s="105"/>
      <c r="H656" s="105"/>
      <c r="I656" s="1"/>
      <c r="J656" s="1"/>
      <c r="K656" s="1"/>
      <c r="L656" s="1"/>
      <c r="M656" s="1"/>
      <c r="N656" s="1"/>
      <c r="O656" s="1"/>
      <c r="P656" s="1"/>
      <c r="Q656" s="1"/>
      <c r="R656" s="1"/>
      <c r="S656" s="1"/>
      <c r="T656" s="1"/>
      <c r="U656" s="1"/>
      <c r="V656" s="1"/>
      <c r="W656" s="1"/>
      <c r="X656" s="1"/>
    </row>
    <row r="657" spans="1:24" ht="12.75" customHeight="1" x14ac:dyDescent="0.2">
      <c r="A657" s="1"/>
      <c r="B657" s="1"/>
      <c r="C657" s="89"/>
      <c r="D657" s="89"/>
      <c r="E657" s="93"/>
      <c r="F657" s="93"/>
      <c r="G657" s="105"/>
      <c r="H657" s="105"/>
      <c r="I657" s="1"/>
      <c r="J657" s="1"/>
      <c r="K657" s="1"/>
      <c r="L657" s="1"/>
      <c r="M657" s="1"/>
      <c r="N657" s="1"/>
      <c r="O657" s="1"/>
      <c r="P657" s="1"/>
      <c r="Q657" s="1"/>
      <c r="R657" s="1"/>
      <c r="S657" s="1"/>
      <c r="T657" s="1"/>
      <c r="U657" s="1"/>
      <c r="V657" s="1"/>
      <c r="W657" s="1"/>
      <c r="X657" s="1"/>
    </row>
    <row r="658" spans="1:24" ht="12.75" customHeight="1" x14ac:dyDescent="0.2">
      <c r="A658" s="1"/>
      <c r="B658" s="1"/>
      <c r="C658" s="89"/>
      <c r="D658" s="89"/>
      <c r="E658" s="93"/>
      <c r="F658" s="93"/>
      <c r="G658" s="105"/>
      <c r="H658" s="105"/>
      <c r="I658" s="1"/>
      <c r="J658" s="1"/>
      <c r="K658" s="1"/>
      <c r="L658" s="1"/>
      <c r="M658" s="1"/>
      <c r="N658" s="1"/>
      <c r="O658" s="1"/>
      <c r="P658" s="1"/>
      <c r="Q658" s="1"/>
      <c r="R658" s="1"/>
      <c r="S658" s="1"/>
      <c r="T658" s="1"/>
      <c r="U658" s="1"/>
      <c r="V658" s="1"/>
      <c r="W658" s="1"/>
      <c r="X658" s="1"/>
    </row>
    <row r="659" spans="1:24" ht="12.75" customHeight="1" x14ac:dyDescent="0.2">
      <c r="A659" s="1"/>
      <c r="B659" s="1"/>
      <c r="C659" s="89"/>
      <c r="D659" s="89"/>
      <c r="E659" s="93"/>
      <c r="F659" s="93"/>
      <c r="G659" s="105"/>
      <c r="H659" s="105"/>
      <c r="I659" s="1"/>
      <c r="J659" s="1"/>
      <c r="K659" s="1"/>
      <c r="L659" s="1"/>
      <c r="M659" s="1"/>
      <c r="N659" s="1"/>
      <c r="O659" s="1"/>
      <c r="P659" s="1"/>
      <c r="Q659" s="1"/>
      <c r="R659" s="1"/>
      <c r="S659" s="1"/>
      <c r="T659" s="1"/>
      <c r="U659" s="1"/>
      <c r="V659" s="1"/>
      <c r="W659" s="1"/>
      <c r="X659" s="1"/>
    </row>
    <row r="660" spans="1:24" ht="12.75" customHeight="1" x14ac:dyDescent="0.2">
      <c r="A660" s="1"/>
      <c r="B660" s="1"/>
      <c r="C660" s="89"/>
      <c r="D660" s="89"/>
      <c r="E660" s="93"/>
      <c r="F660" s="93"/>
      <c r="G660" s="105"/>
      <c r="H660" s="105"/>
      <c r="I660" s="1"/>
      <c r="J660" s="1"/>
      <c r="K660" s="1"/>
      <c r="L660" s="1"/>
      <c r="M660" s="1"/>
      <c r="N660" s="1"/>
      <c r="O660" s="1"/>
      <c r="P660" s="1"/>
      <c r="Q660" s="1"/>
      <c r="R660" s="1"/>
      <c r="S660" s="1"/>
      <c r="T660" s="1"/>
      <c r="U660" s="1"/>
      <c r="V660" s="1"/>
      <c r="W660" s="1"/>
      <c r="X660" s="1"/>
    </row>
    <row r="661" spans="1:24" ht="12.75" customHeight="1" x14ac:dyDescent="0.2">
      <c r="A661" s="1"/>
      <c r="B661" s="1"/>
      <c r="C661" s="89"/>
      <c r="D661" s="89"/>
      <c r="E661" s="93"/>
      <c r="F661" s="93"/>
      <c r="G661" s="105"/>
      <c r="H661" s="105"/>
      <c r="I661" s="1"/>
      <c r="J661" s="1"/>
      <c r="K661" s="1"/>
      <c r="L661" s="1"/>
      <c r="M661" s="1"/>
      <c r="N661" s="1"/>
      <c r="O661" s="1"/>
      <c r="P661" s="1"/>
      <c r="Q661" s="1"/>
      <c r="R661" s="1"/>
      <c r="S661" s="1"/>
      <c r="T661" s="1"/>
      <c r="U661" s="1"/>
      <c r="V661" s="1"/>
      <c r="W661" s="1"/>
      <c r="X661" s="1"/>
    </row>
    <row r="662" spans="1:24" ht="12.75" customHeight="1" x14ac:dyDescent="0.2">
      <c r="A662" s="1"/>
      <c r="B662" s="1"/>
      <c r="C662" s="89"/>
      <c r="D662" s="89"/>
      <c r="E662" s="93"/>
      <c r="F662" s="93"/>
      <c r="G662" s="105"/>
      <c r="H662" s="105"/>
      <c r="I662" s="1"/>
      <c r="J662" s="1"/>
      <c r="K662" s="1"/>
      <c r="L662" s="1"/>
      <c r="M662" s="1"/>
      <c r="N662" s="1"/>
      <c r="O662" s="1"/>
      <c r="P662" s="1"/>
      <c r="Q662" s="1"/>
      <c r="R662" s="1"/>
      <c r="S662" s="1"/>
      <c r="T662" s="1"/>
      <c r="U662" s="1"/>
      <c r="V662" s="1"/>
      <c r="W662" s="1"/>
      <c r="X662" s="1"/>
    </row>
    <row r="663" spans="1:24" ht="12.75" customHeight="1" x14ac:dyDescent="0.2">
      <c r="A663" s="1"/>
      <c r="B663" s="1"/>
      <c r="C663" s="89"/>
      <c r="D663" s="89"/>
      <c r="E663" s="93"/>
      <c r="F663" s="93"/>
      <c r="G663" s="105"/>
      <c r="H663" s="105"/>
      <c r="I663" s="1"/>
      <c r="J663" s="1"/>
      <c r="K663" s="1"/>
      <c r="L663" s="1"/>
      <c r="M663" s="1"/>
      <c r="N663" s="1"/>
      <c r="O663" s="1"/>
      <c r="P663" s="1"/>
      <c r="Q663" s="1"/>
      <c r="R663" s="1"/>
      <c r="S663" s="1"/>
      <c r="T663" s="1"/>
      <c r="U663" s="1"/>
      <c r="V663" s="1"/>
      <c r="W663" s="1"/>
      <c r="X663" s="1"/>
    </row>
    <row r="664" spans="1:24" ht="12.75" customHeight="1" x14ac:dyDescent="0.2">
      <c r="A664" s="1"/>
      <c r="B664" s="1"/>
      <c r="C664" s="89"/>
      <c r="D664" s="89"/>
      <c r="E664" s="93"/>
      <c r="F664" s="93"/>
      <c r="G664" s="105"/>
      <c r="H664" s="105"/>
      <c r="I664" s="1"/>
      <c r="J664" s="1"/>
      <c r="K664" s="1"/>
      <c r="L664" s="1"/>
      <c r="M664" s="1"/>
      <c r="N664" s="1"/>
      <c r="O664" s="1"/>
      <c r="P664" s="1"/>
      <c r="Q664" s="1"/>
      <c r="R664" s="1"/>
      <c r="S664" s="1"/>
      <c r="T664" s="1"/>
      <c r="U664" s="1"/>
      <c r="V664" s="1"/>
      <c r="W664" s="1"/>
      <c r="X664" s="1"/>
    </row>
    <row r="665" spans="1:24" ht="12.75" customHeight="1" x14ac:dyDescent="0.2">
      <c r="A665" s="1"/>
      <c r="B665" s="1"/>
      <c r="C665" s="89"/>
      <c r="D665" s="89"/>
      <c r="E665" s="93"/>
      <c r="F665" s="93"/>
      <c r="G665" s="105"/>
      <c r="H665" s="105"/>
      <c r="I665" s="1"/>
      <c r="J665" s="1"/>
      <c r="K665" s="1"/>
      <c r="L665" s="1"/>
      <c r="M665" s="1"/>
      <c r="N665" s="1"/>
      <c r="O665" s="1"/>
      <c r="P665" s="1"/>
      <c r="Q665" s="1"/>
      <c r="R665" s="1"/>
      <c r="S665" s="1"/>
      <c r="T665" s="1"/>
      <c r="U665" s="1"/>
      <c r="V665" s="1"/>
      <c r="W665" s="1"/>
      <c r="X665" s="1"/>
    </row>
    <row r="666" spans="1:24" ht="12.75" customHeight="1" x14ac:dyDescent="0.2">
      <c r="A666" s="1"/>
      <c r="B666" s="1"/>
      <c r="C666" s="89"/>
      <c r="D666" s="89"/>
      <c r="E666" s="93"/>
      <c r="F666" s="93"/>
      <c r="G666" s="105"/>
      <c r="H666" s="105"/>
      <c r="I666" s="1"/>
      <c r="J666" s="1"/>
      <c r="K666" s="1"/>
      <c r="L666" s="1"/>
      <c r="M666" s="1"/>
      <c r="N666" s="1"/>
      <c r="O666" s="1"/>
      <c r="P666" s="1"/>
      <c r="Q666" s="1"/>
      <c r="R666" s="1"/>
      <c r="S666" s="1"/>
      <c r="T666" s="1"/>
      <c r="U666" s="1"/>
      <c r="V666" s="1"/>
      <c r="W666" s="1"/>
      <c r="X666" s="1"/>
    </row>
    <row r="667" spans="1:24" ht="12.75" customHeight="1" x14ac:dyDescent="0.2">
      <c r="A667" s="1"/>
      <c r="B667" s="1"/>
      <c r="C667" s="89"/>
      <c r="D667" s="89"/>
      <c r="E667" s="93"/>
      <c r="F667" s="93"/>
      <c r="G667" s="105"/>
      <c r="H667" s="105"/>
      <c r="I667" s="1"/>
      <c r="J667" s="1"/>
      <c r="K667" s="1"/>
      <c r="L667" s="1"/>
      <c r="M667" s="1"/>
      <c r="N667" s="1"/>
      <c r="O667" s="1"/>
      <c r="P667" s="1"/>
      <c r="Q667" s="1"/>
      <c r="R667" s="1"/>
      <c r="S667" s="1"/>
      <c r="T667" s="1"/>
      <c r="U667" s="1"/>
      <c r="V667" s="1"/>
      <c r="W667" s="1"/>
      <c r="X667" s="1"/>
    </row>
    <row r="668" spans="1:24" ht="12.75" customHeight="1" x14ac:dyDescent="0.2">
      <c r="A668" s="1"/>
      <c r="B668" s="1"/>
      <c r="C668" s="89"/>
      <c r="D668" s="89"/>
      <c r="E668" s="93"/>
      <c r="F668" s="93"/>
      <c r="G668" s="105"/>
      <c r="H668" s="105"/>
      <c r="I668" s="1"/>
      <c r="J668" s="1"/>
      <c r="K668" s="1"/>
      <c r="L668" s="1"/>
      <c r="M668" s="1"/>
      <c r="N668" s="1"/>
      <c r="O668" s="1"/>
      <c r="P668" s="1"/>
      <c r="Q668" s="1"/>
      <c r="R668" s="1"/>
      <c r="S668" s="1"/>
      <c r="T668" s="1"/>
      <c r="U668" s="1"/>
      <c r="V668" s="1"/>
      <c r="W668" s="1"/>
      <c r="X668" s="1"/>
    </row>
    <row r="669" spans="1:24" ht="12.75" customHeight="1" x14ac:dyDescent="0.2">
      <c r="A669" s="1"/>
      <c r="B669" s="1"/>
      <c r="C669" s="89"/>
      <c r="D669" s="89"/>
      <c r="E669" s="93"/>
      <c r="F669" s="93"/>
      <c r="G669" s="105"/>
      <c r="H669" s="105"/>
      <c r="I669" s="1"/>
      <c r="J669" s="1"/>
      <c r="K669" s="1"/>
      <c r="L669" s="1"/>
      <c r="M669" s="1"/>
      <c r="N669" s="1"/>
      <c r="O669" s="1"/>
      <c r="P669" s="1"/>
      <c r="Q669" s="1"/>
      <c r="R669" s="1"/>
      <c r="S669" s="1"/>
      <c r="T669" s="1"/>
      <c r="U669" s="1"/>
      <c r="V669" s="1"/>
      <c r="W669" s="1"/>
      <c r="X669" s="1"/>
    </row>
    <row r="670" spans="1:24" ht="12.75" customHeight="1" x14ac:dyDescent="0.2">
      <c r="A670" s="1"/>
      <c r="B670" s="1"/>
      <c r="C670" s="89"/>
      <c r="D670" s="89"/>
      <c r="E670" s="93"/>
      <c r="F670" s="93"/>
      <c r="G670" s="105"/>
      <c r="H670" s="105"/>
      <c r="I670" s="1"/>
      <c r="J670" s="1"/>
      <c r="K670" s="1"/>
      <c r="L670" s="1"/>
      <c r="M670" s="1"/>
      <c r="N670" s="1"/>
      <c r="O670" s="1"/>
      <c r="P670" s="1"/>
      <c r="Q670" s="1"/>
      <c r="R670" s="1"/>
      <c r="S670" s="1"/>
      <c r="T670" s="1"/>
      <c r="U670" s="1"/>
      <c r="V670" s="1"/>
      <c r="W670" s="1"/>
      <c r="X670" s="1"/>
    </row>
    <row r="671" spans="1:24" ht="12.75" customHeight="1" x14ac:dyDescent="0.2">
      <c r="A671" s="1"/>
      <c r="B671" s="1"/>
      <c r="C671" s="89"/>
      <c r="D671" s="89"/>
      <c r="E671" s="93"/>
      <c r="F671" s="93"/>
      <c r="G671" s="105"/>
      <c r="H671" s="105"/>
      <c r="I671" s="1"/>
      <c r="J671" s="1"/>
      <c r="K671" s="1"/>
      <c r="L671" s="1"/>
      <c r="M671" s="1"/>
      <c r="N671" s="1"/>
      <c r="O671" s="1"/>
      <c r="P671" s="1"/>
      <c r="Q671" s="1"/>
      <c r="R671" s="1"/>
      <c r="S671" s="1"/>
      <c r="T671" s="1"/>
      <c r="U671" s="1"/>
      <c r="V671" s="1"/>
      <c r="W671" s="1"/>
      <c r="X671" s="1"/>
    </row>
    <row r="672" spans="1:24" ht="12.75" customHeight="1" x14ac:dyDescent="0.2">
      <c r="A672" s="1"/>
      <c r="B672" s="1"/>
      <c r="C672" s="89"/>
      <c r="D672" s="89"/>
      <c r="E672" s="93"/>
      <c r="F672" s="93"/>
      <c r="G672" s="105"/>
      <c r="H672" s="105"/>
      <c r="I672" s="1"/>
      <c r="J672" s="1"/>
      <c r="K672" s="1"/>
      <c r="L672" s="1"/>
      <c r="M672" s="1"/>
      <c r="N672" s="1"/>
      <c r="O672" s="1"/>
      <c r="P672" s="1"/>
      <c r="Q672" s="1"/>
      <c r="R672" s="1"/>
      <c r="S672" s="1"/>
      <c r="T672" s="1"/>
      <c r="U672" s="1"/>
      <c r="V672" s="1"/>
      <c r="W672" s="1"/>
      <c r="X672" s="1"/>
    </row>
    <row r="673" spans="1:24" ht="12.75" customHeight="1" x14ac:dyDescent="0.2">
      <c r="A673" s="1"/>
      <c r="B673" s="1"/>
      <c r="C673" s="89"/>
      <c r="D673" s="89"/>
      <c r="E673" s="93"/>
      <c r="F673" s="93"/>
      <c r="G673" s="105"/>
      <c r="H673" s="105"/>
      <c r="I673" s="1"/>
      <c r="J673" s="1"/>
      <c r="K673" s="1"/>
      <c r="L673" s="1"/>
      <c r="M673" s="1"/>
      <c r="N673" s="1"/>
      <c r="O673" s="1"/>
      <c r="P673" s="1"/>
      <c r="Q673" s="1"/>
      <c r="R673" s="1"/>
      <c r="S673" s="1"/>
      <c r="T673" s="1"/>
      <c r="U673" s="1"/>
      <c r="V673" s="1"/>
      <c r="W673" s="1"/>
      <c r="X673" s="1"/>
    </row>
    <row r="674" spans="1:24" ht="12.75" customHeight="1" x14ac:dyDescent="0.2">
      <c r="A674" s="1"/>
      <c r="B674" s="1"/>
      <c r="C674" s="89"/>
      <c r="D674" s="89"/>
      <c r="E674" s="93"/>
      <c r="F674" s="93"/>
      <c r="G674" s="105"/>
      <c r="H674" s="105"/>
      <c r="I674" s="1"/>
      <c r="J674" s="1"/>
      <c r="K674" s="1"/>
      <c r="L674" s="1"/>
      <c r="M674" s="1"/>
      <c r="N674" s="1"/>
      <c r="O674" s="1"/>
      <c r="P674" s="1"/>
      <c r="Q674" s="1"/>
      <c r="R674" s="1"/>
      <c r="S674" s="1"/>
      <c r="T674" s="1"/>
      <c r="U674" s="1"/>
      <c r="V674" s="1"/>
      <c r="W674" s="1"/>
      <c r="X674" s="1"/>
    </row>
    <row r="675" spans="1:24" ht="12.75" customHeight="1" x14ac:dyDescent="0.2">
      <c r="A675" s="1"/>
      <c r="B675" s="1"/>
      <c r="C675" s="89"/>
      <c r="D675" s="89"/>
      <c r="E675" s="93"/>
      <c r="F675" s="93"/>
      <c r="G675" s="105"/>
      <c r="H675" s="105"/>
      <c r="I675" s="1"/>
      <c r="J675" s="1"/>
      <c r="K675" s="1"/>
      <c r="L675" s="1"/>
      <c r="M675" s="1"/>
      <c r="N675" s="1"/>
      <c r="O675" s="1"/>
      <c r="P675" s="1"/>
      <c r="Q675" s="1"/>
      <c r="R675" s="1"/>
      <c r="S675" s="1"/>
      <c r="T675" s="1"/>
      <c r="U675" s="1"/>
      <c r="V675" s="1"/>
      <c r="W675" s="1"/>
      <c r="X675" s="1"/>
    </row>
    <row r="676" spans="1:24" ht="12.75" customHeight="1" x14ac:dyDescent="0.2">
      <c r="A676" s="1"/>
      <c r="B676" s="1"/>
      <c r="C676" s="89"/>
      <c r="D676" s="89"/>
      <c r="E676" s="93"/>
      <c r="F676" s="93"/>
      <c r="G676" s="105"/>
      <c r="H676" s="105"/>
      <c r="I676" s="1"/>
      <c r="J676" s="1"/>
      <c r="K676" s="1"/>
      <c r="L676" s="1"/>
      <c r="M676" s="1"/>
      <c r="N676" s="1"/>
      <c r="O676" s="1"/>
      <c r="P676" s="1"/>
      <c r="Q676" s="1"/>
      <c r="R676" s="1"/>
      <c r="S676" s="1"/>
      <c r="T676" s="1"/>
      <c r="U676" s="1"/>
      <c r="V676" s="1"/>
      <c r="W676" s="1"/>
      <c r="X676" s="1"/>
    </row>
    <row r="677" spans="1:24" ht="12.75" customHeight="1" x14ac:dyDescent="0.2">
      <c r="A677" s="1"/>
      <c r="B677" s="1"/>
      <c r="C677" s="89"/>
      <c r="D677" s="89"/>
      <c r="E677" s="93"/>
      <c r="F677" s="93"/>
      <c r="G677" s="105"/>
      <c r="H677" s="105"/>
      <c r="I677" s="1"/>
      <c r="J677" s="1"/>
      <c r="K677" s="1"/>
      <c r="L677" s="1"/>
      <c r="M677" s="1"/>
      <c r="N677" s="1"/>
      <c r="O677" s="1"/>
      <c r="P677" s="1"/>
      <c r="Q677" s="1"/>
      <c r="R677" s="1"/>
      <c r="S677" s="1"/>
      <c r="T677" s="1"/>
      <c r="U677" s="1"/>
      <c r="V677" s="1"/>
      <c r="W677" s="1"/>
      <c r="X677" s="1"/>
    </row>
    <row r="678" spans="1:24" ht="12.75" customHeight="1" x14ac:dyDescent="0.2">
      <c r="A678" s="1"/>
      <c r="B678" s="1"/>
      <c r="C678" s="89"/>
      <c r="D678" s="89"/>
      <c r="E678" s="93"/>
      <c r="F678" s="93"/>
      <c r="G678" s="105"/>
      <c r="H678" s="105"/>
      <c r="I678" s="1"/>
      <c r="J678" s="1"/>
      <c r="K678" s="1"/>
      <c r="L678" s="1"/>
      <c r="M678" s="1"/>
      <c r="N678" s="1"/>
      <c r="O678" s="1"/>
      <c r="P678" s="1"/>
      <c r="Q678" s="1"/>
      <c r="R678" s="1"/>
      <c r="S678" s="1"/>
      <c r="T678" s="1"/>
      <c r="U678" s="1"/>
      <c r="V678" s="1"/>
      <c r="W678" s="1"/>
      <c r="X678" s="1"/>
    </row>
    <row r="679" spans="1:24" ht="12.75" customHeight="1" x14ac:dyDescent="0.2">
      <c r="A679" s="1"/>
      <c r="B679" s="1"/>
      <c r="C679" s="89"/>
      <c r="D679" s="89"/>
      <c r="E679" s="93"/>
      <c r="F679" s="93"/>
      <c r="G679" s="105"/>
      <c r="H679" s="105"/>
      <c r="I679" s="1"/>
      <c r="J679" s="1"/>
      <c r="K679" s="1"/>
      <c r="L679" s="1"/>
      <c r="M679" s="1"/>
      <c r="N679" s="1"/>
      <c r="O679" s="1"/>
      <c r="P679" s="1"/>
      <c r="Q679" s="1"/>
      <c r="R679" s="1"/>
      <c r="S679" s="1"/>
      <c r="T679" s="1"/>
      <c r="U679" s="1"/>
      <c r="V679" s="1"/>
      <c r="W679" s="1"/>
      <c r="X679" s="1"/>
    </row>
    <row r="680" spans="1:24" ht="12.75" customHeight="1" x14ac:dyDescent="0.2">
      <c r="A680" s="1"/>
      <c r="B680" s="1"/>
      <c r="C680" s="89"/>
      <c r="D680" s="89"/>
      <c r="E680" s="93"/>
      <c r="F680" s="93"/>
      <c r="G680" s="105"/>
      <c r="H680" s="105"/>
      <c r="I680" s="1"/>
      <c r="J680" s="1"/>
      <c r="K680" s="1"/>
      <c r="L680" s="1"/>
      <c r="M680" s="1"/>
      <c r="N680" s="1"/>
      <c r="O680" s="1"/>
      <c r="P680" s="1"/>
      <c r="Q680" s="1"/>
      <c r="R680" s="1"/>
      <c r="S680" s="1"/>
      <c r="T680" s="1"/>
      <c r="U680" s="1"/>
      <c r="V680" s="1"/>
      <c r="W680" s="1"/>
      <c r="X680" s="1"/>
    </row>
    <row r="681" spans="1:24" ht="12.75" customHeight="1" x14ac:dyDescent="0.2">
      <c r="A681" s="1"/>
      <c r="B681" s="1"/>
      <c r="C681" s="89"/>
      <c r="D681" s="89"/>
      <c r="E681" s="93"/>
      <c r="F681" s="93"/>
      <c r="G681" s="105"/>
      <c r="H681" s="105"/>
      <c r="I681" s="1"/>
      <c r="J681" s="1"/>
      <c r="K681" s="1"/>
      <c r="L681" s="1"/>
      <c r="M681" s="1"/>
      <c r="N681" s="1"/>
      <c r="O681" s="1"/>
      <c r="P681" s="1"/>
      <c r="Q681" s="1"/>
      <c r="R681" s="1"/>
      <c r="S681" s="1"/>
      <c r="T681" s="1"/>
      <c r="U681" s="1"/>
      <c r="V681" s="1"/>
      <c r="W681" s="1"/>
      <c r="X681" s="1"/>
    </row>
    <row r="682" spans="1:24" ht="12.75" customHeight="1" x14ac:dyDescent="0.2">
      <c r="A682" s="1"/>
      <c r="B682" s="1"/>
      <c r="C682" s="89"/>
      <c r="D682" s="89"/>
      <c r="E682" s="93"/>
      <c r="F682" s="93"/>
      <c r="G682" s="105"/>
      <c r="H682" s="105"/>
      <c r="I682" s="1"/>
      <c r="J682" s="1"/>
      <c r="K682" s="1"/>
      <c r="L682" s="1"/>
      <c r="M682" s="1"/>
      <c r="N682" s="1"/>
      <c r="O682" s="1"/>
      <c r="P682" s="1"/>
      <c r="Q682" s="1"/>
      <c r="R682" s="1"/>
      <c r="S682" s="1"/>
      <c r="T682" s="1"/>
      <c r="U682" s="1"/>
      <c r="V682" s="1"/>
      <c r="W682" s="1"/>
      <c r="X682" s="1"/>
    </row>
    <row r="683" spans="1:24" ht="12.75" customHeight="1" x14ac:dyDescent="0.2">
      <c r="A683" s="1"/>
      <c r="B683" s="1"/>
      <c r="C683" s="89"/>
      <c r="D683" s="89"/>
      <c r="E683" s="93"/>
      <c r="F683" s="93"/>
      <c r="G683" s="105"/>
      <c r="H683" s="105"/>
      <c r="I683" s="1"/>
      <c r="J683" s="1"/>
      <c r="K683" s="1"/>
      <c r="L683" s="1"/>
      <c r="M683" s="1"/>
      <c r="N683" s="1"/>
      <c r="O683" s="1"/>
      <c r="P683" s="1"/>
      <c r="Q683" s="1"/>
      <c r="R683" s="1"/>
      <c r="S683" s="1"/>
      <c r="T683" s="1"/>
      <c r="U683" s="1"/>
      <c r="V683" s="1"/>
      <c r="W683" s="1"/>
      <c r="X683" s="1"/>
    </row>
    <row r="684" spans="1:24" ht="12.75" customHeight="1" x14ac:dyDescent="0.2">
      <c r="A684" s="1"/>
      <c r="B684" s="1"/>
      <c r="C684" s="89"/>
      <c r="D684" s="89"/>
      <c r="E684" s="93"/>
      <c r="F684" s="93"/>
      <c r="G684" s="105"/>
      <c r="H684" s="105"/>
      <c r="I684" s="1"/>
      <c r="J684" s="1"/>
      <c r="K684" s="1"/>
      <c r="L684" s="1"/>
      <c r="M684" s="1"/>
      <c r="N684" s="1"/>
      <c r="O684" s="1"/>
      <c r="P684" s="1"/>
      <c r="Q684" s="1"/>
      <c r="R684" s="1"/>
      <c r="S684" s="1"/>
      <c r="T684" s="1"/>
      <c r="U684" s="1"/>
      <c r="V684" s="1"/>
      <c r="W684" s="1"/>
      <c r="X684" s="1"/>
    </row>
    <row r="685" spans="1:24" ht="12.75" customHeight="1" x14ac:dyDescent="0.2">
      <c r="A685" s="1"/>
      <c r="B685" s="1"/>
      <c r="C685" s="89"/>
      <c r="D685" s="89"/>
      <c r="E685" s="93"/>
      <c r="F685" s="93"/>
      <c r="G685" s="105"/>
      <c r="H685" s="105"/>
      <c r="I685" s="1"/>
      <c r="J685" s="1"/>
      <c r="K685" s="1"/>
      <c r="L685" s="1"/>
      <c r="M685" s="1"/>
      <c r="N685" s="1"/>
      <c r="O685" s="1"/>
      <c r="P685" s="1"/>
      <c r="Q685" s="1"/>
      <c r="R685" s="1"/>
      <c r="S685" s="1"/>
      <c r="T685" s="1"/>
      <c r="U685" s="1"/>
      <c r="V685" s="1"/>
      <c r="W685" s="1"/>
      <c r="X685" s="1"/>
    </row>
    <row r="686" spans="1:24" ht="12.75" customHeight="1" x14ac:dyDescent="0.2">
      <c r="A686" s="1"/>
      <c r="B686" s="1"/>
      <c r="C686" s="89"/>
      <c r="D686" s="89"/>
      <c r="E686" s="93"/>
      <c r="F686" s="93"/>
      <c r="G686" s="105"/>
      <c r="H686" s="105"/>
      <c r="I686" s="1"/>
      <c r="J686" s="1"/>
      <c r="K686" s="1"/>
      <c r="L686" s="1"/>
      <c r="M686" s="1"/>
      <c r="N686" s="1"/>
      <c r="O686" s="1"/>
      <c r="P686" s="1"/>
      <c r="Q686" s="1"/>
      <c r="R686" s="1"/>
      <c r="S686" s="1"/>
      <c r="T686" s="1"/>
      <c r="U686" s="1"/>
      <c r="V686" s="1"/>
      <c r="W686" s="1"/>
      <c r="X686" s="1"/>
    </row>
    <row r="687" spans="1:24" ht="12.75" customHeight="1" x14ac:dyDescent="0.2">
      <c r="A687" s="1"/>
      <c r="B687" s="1"/>
      <c r="C687" s="89"/>
      <c r="D687" s="89"/>
      <c r="E687" s="93"/>
      <c r="F687" s="93"/>
      <c r="G687" s="105"/>
      <c r="H687" s="105"/>
      <c r="I687" s="1"/>
      <c r="J687" s="1"/>
      <c r="K687" s="1"/>
      <c r="L687" s="1"/>
      <c r="M687" s="1"/>
      <c r="N687" s="1"/>
      <c r="O687" s="1"/>
      <c r="P687" s="1"/>
      <c r="Q687" s="1"/>
      <c r="R687" s="1"/>
      <c r="S687" s="1"/>
      <c r="T687" s="1"/>
      <c r="U687" s="1"/>
      <c r="V687" s="1"/>
      <c r="W687" s="1"/>
      <c r="X687" s="1"/>
    </row>
    <row r="688" spans="1:24" ht="12.75" customHeight="1" x14ac:dyDescent="0.2">
      <c r="A688" s="1"/>
      <c r="B688" s="1"/>
      <c r="C688" s="89"/>
      <c r="D688" s="89"/>
      <c r="E688" s="93"/>
      <c r="F688" s="93"/>
      <c r="G688" s="105"/>
      <c r="H688" s="105"/>
      <c r="I688" s="1"/>
      <c r="J688" s="1"/>
      <c r="K688" s="1"/>
      <c r="L688" s="1"/>
      <c r="M688" s="1"/>
      <c r="N688" s="1"/>
      <c r="O688" s="1"/>
      <c r="P688" s="1"/>
      <c r="Q688" s="1"/>
      <c r="R688" s="1"/>
      <c r="S688" s="1"/>
      <c r="T688" s="1"/>
      <c r="U688" s="1"/>
      <c r="V688" s="1"/>
      <c r="W688" s="1"/>
      <c r="X688" s="1"/>
    </row>
    <row r="689" spans="1:24" ht="12.75" customHeight="1" x14ac:dyDescent="0.2">
      <c r="A689" s="1"/>
      <c r="B689" s="1"/>
      <c r="C689" s="89"/>
      <c r="D689" s="89"/>
      <c r="E689" s="93"/>
      <c r="F689" s="93"/>
      <c r="G689" s="105"/>
      <c r="H689" s="105"/>
      <c r="I689" s="1"/>
      <c r="J689" s="1"/>
      <c r="K689" s="1"/>
      <c r="L689" s="1"/>
      <c r="M689" s="1"/>
      <c r="N689" s="1"/>
      <c r="O689" s="1"/>
      <c r="P689" s="1"/>
      <c r="Q689" s="1"/>
      <c r="R689" s="1"/>
      <c r="S689" s="1"/>
      <c r="T689" s="1"/>
      <c r="U689" s="1"/>
      <c r="V689" s="1"/>
      <c r="W689" s="1"/>
      <c r="X689" s="1"/>
    </row>
    <row r="690" spans="1:24" ht="12.75" customHeight="1" x14ac:dyDescent="0.2">
      <c r="A690" s="1"/>
      <c r="B690" s="1"/>
      <c r="C690" s="89"/>
      <c r="D690" s="89"/>
      <c r="E690" s="93"/>
      <c r="F690" s="93"/>
      <c r="G690" s="105"/>
      <c r="H690" s="105"/>
      <c r="I690" s="1"/>
      <c r="J690" s="1"/>
      <c r="K690" s="1"/>
      <c r="L690" s="1"/>
      <c r="M690" s="1"/>
      <c r="N690" s="1"/>
      <c r="O690" s="1"/>
      <c r="P690" s="1"/>
      <c r="Q690" s="1"/>
      <c r="R690" s="1"/>
      <c r="S690" s="1"/>
      <c r="T690" s="1"/>
      <c r="U690" s="1"/>
      <c r="V690" s="1"/>
      <c r="W690" s="1"/>
      <c r="X690" s="1"/>
    </row>
    <row r="691" spans="1:24" ht="12.75" customHeight="1" x14ac:dyDescent="0.2">
      <c r="A691" s="1"/>
      <c r="B691" s="1"/>
      <c r="C691" s="89"/>
      <c r="D691" s="89"/>
      <c r="E691" s="93"/>
      <c r="F691" s="93"/>
      <c r="G691" s="105"/>
      <c r="H691" s="105"/>
      <c r="I691" s="1"/>
      <c r="J691" s="1"/>
      <c r="K691" s="1"/>
      <c r="L691" s="1"/>
      <c r="M691" s="1"/>
      <c r="N691" s="1"/>
      <c r="O691" s="1"/>
      <c r="P691" s="1"/>
      <c r="Q691" s="1"/>
      <c r="R691" s="1"/>
      <c r="S691" s="1"/>
      <c r="T691" s="1"/>
      <c r="U691" s="1"/>
      <c r="V691" s="1"/>
      <c r="W691" s="1"/>
      <c r="X691" s="1"/>
    </row>
    <row r="692" spans="1:24" ht="12.75" customHeight="1" x14ac:dyDescent="0.2">
      <c r="A692" s="1"/>
      <c r="B692" s="1"/>
      <c r="C692" s="89"/>
      <c r="D692" s="89"/>
      <c r="E692" s="93"/>
      <c r="F692" s="93"/>
      <c r="G692" s="105"/>
      <c r="H692" s="105"/>
      <c r="I692" s="1"/>
      <c r="J692" s="1"/>
      <c r="K692" s="1"/>
      <c r="L692" s="1"/>
      <c r="M692" s="1"/>
      <c r="N692" s="1"/>
      <c r="O692" s="1"/>
      <c r="P692" s="1"/>
      <c r="Q692" s="1"/>
      <c r="R692" s="1"/>
      <c r="S692" s="1"/>
      <c r="T692" s="1"/>
      <c r="U692" s="1"/>
      <c r="V692" s="1"/>
      <c r="W692" s="1"/>
      <c r="X692" s="1"/>
    </row>
    <row r="693" spans="1:24" ht="12.75" customHeight="1" x14ac:dyDescent="0.2">
      <c r="A693" s="1"/>
      <c r="B693" s="1"/>
      <c r="C693" s="89"/>
      <c r="D693" s="89"/>
      <c r="E693" s="93"/>
      <c r="F693" s="93"/>
      <c r="G693" s="105"/>
      <c r="H693" s="105"/>
      <c r="I693" s="1"/>
      <c r="J693" s="1"/>
      <c r="K693" s="1"/>
      <c r="L693" s="1"/>
      <c r="M693" s="1"/>
      <c r="N693" s="1"/>
      <c r="O693" s="1"/>
      <c r="P693" s="1"/>
      <c r="Q693" s="1"/>
      <c r="R693" s="1"/>
      <c r="S693" s="1"/>
      <c r="T693" s="1"/>
      <c r="U693" s="1"/>
      <c r="V693" s="1"/>
      <c r="W693" s="1"/>
      <c r="X693" s="1"/>
    </row>
    <row r="694" spans="1:24" ht="12.75" customHeight="1" x14ac:dyDescent="0.2">
      <c r="A694" s="1"/>
      <c r="B694" s="1"/>
      <c r="C694" s="89"/>
      <c r="D694" s="89"/>
      <c r="E694" s="93"/>
      <c r="F694" s="93"/>
      <c r="G694" s="105"/>
      <c r="H694" s="105"/>
      <c r="I694" s="1"/>
      <c r="J694" s="1"/>
      <c r="K694" s="1"/>
      <c r="L694" s="1"/>
      <c r="M694" s="1"/>
      <c r="N694" s="1"/>
      <c r="O694" s="1"/>
      <c r="P694" s="1"/>
      <c r="Q694" s="1"/>
      <c r="R694" s="1"/>
      <c r="S694" s="1"/>
      <c r="T694" s="1"/>
      <c r="U694" s="1"/>
      <c r="V694" s="1"/>
      <c r="W694" s="1"/>
      <c r="X694" s="1"/>
    </row>
    <row r="695" spans="1:24" ht="12.75" customHeight="1" x14ac:dyDescent="0.2">
      <c r="A695" s="1"/>
      <c r="B695" s="1"/>
      <c r="C695" s="89"/>
      <c r="D695" s="89"/>
      <c r="E695" s="93"/>
      <c r="F695" s="93"/>
      <c r="G695" s="105"/>
      <c r="H695" s="105"/>
      <c r="I695" s="1"/>
      <c r="J695" s="1"/>
      <c r="K695" s="1"/>
      <c r="L695" s="1"/>
      <c r="M695" s="1"/>
      <c r="N695" s="1"/>
      <c r="O695" s="1"/>
      <c r="P695" s="1"/>
      <c r="Q695" s="1"/>
      <c r="R695" s="1"/>
      <c r="S695" s="1"/>
      <c r="T695" s="1"/>
      <c r="U695" s="1"/>
      <c r="V695" s="1"/>
      <c r="W695" s="1"/>
      <c r="X695" s="1"/>
    </row>
    <row r="696" spans="1:24" ht="12.75" customHeight="1" x14ac:dyDescent="0.2">
      <c r="A696" s="1"/>
      <c r="B696" s="1"/>
      <c r="C696" s="89"/>
      <c r="D696" s="89"/>
      <c r="E696" s="93"/>
      <c r="F696" s="93"/>
      <c r="G696" s="105"/>
      <c r="H696" s="105"/>
      <c r="I696" s="1"/>
      <c r="J696" s="1"/>
      <c r="K696" s="1"/>
      <c r="L696" s="1"/>
      <c r="M696" s="1"/>
      <c r="N696" s="1"/>
      <c r="O696" s="1"/>
      <c r="P696" s="1"/>
      <c r="Q696" s="1"/>
      <c r="R696" s="1"/>
      <c r="S696" s="1"/>
      <c r="T696" s="1"/>
      <c r="U696" s="1"/>
      <c r="V696" s="1"/>
      <c r="W696" s="1"/>
      <c r="X696" s="1"/>
    </row>
    <row r="697" spans="1:24" ht="12.75" customHeight="1" x14ac:dyDescent="0.2">
      <c r="A697" s="1"/>
      <c r="B697" s="1"/>
      <c r="C697" s="89"/>
      <c r="D697" s="89"/>
      <c r="E697" s="93"/>
      <c r="F697" s="93"/>
      <c r="G697" s="105"/>
      <c r="H697" s="105"/>
      <c r="I697" s="1"/>
      <c r="J697" s="1"/>
      <c r="K697" s="1"/>
      <c r="L697" s="1"/>
      <c r="M697" s="1"/>
      <c r="N697" s="1"/>
      <c r="O697" s="1"/>
      <c r="P697" s="1"/>
      <c r="Q697" s="1"/>
      <c r="R697" s="1"/>
      <c r="S697" s="1"/>
      <c r="T697" s="1"/>
      <c r="U697" s="1"/>
      <c r="V697" s="1"/>
      <c r="W697" s="1"/>
      <c r="X697" s="1"/>
    </row>
    <row r="698" spans="1:24" ht="12.75" customHeight="1" x14ac:dyDescent="0.2">
      <c r="A698" s="1"/>
      <c r="B698" s="1"/>
      <c r="C698" s="89"/>
      <c r="D698" s="89"/>
      <c r="E698" s="93"/>
      <c r="F698" s="93"/>
      <c r="G698" s="105"/>
      <c r="H698" s="105"/>
      <c r="I698" s="1"/>
      <c r="J698" s="1"/>
      <c r="K698" s="1"/>
      <c r="L698" s="1"/>
      <c r="M698" s="1"/>
      <c r="N698" s="1"/>
      <c r="O698" s="1"/>
      <c r="P698" s="1"/>
      <c r="Q698" s="1"/>
      <c r="R698" s="1"/>
      <c r="S698" s="1"/>
      <c r="T698" s="1"/>
      <c r="U698" s="1"/>
      <c r="V698" s="1"/>
      <c r="W698" s="1"/>
      <c r="X698" s="1"/>
    </row>
    <row r="699" spans="1:24" ht="12.75" customHeight="1" x14ac:dyDescent="0.2">
      <c r="A699" s="1"/>
      <c r="B699" s="1"/>
      <c r="C699" s="89"/>
      <c r="D699" s="89"/>
      <c r="E699" s="93"/>
      <c r="F699" s="93"/>
      <c r="G699" s="105"/>
      <c r="H699" s="105"/>
      <c r="I699" s="1"/>
      <c r="J699" s="1"/>
      <c r="K699" s="1"/>
      <c r="L699" s="1"/>
      <c r="M699" s="1"/>
      <c r="N699" s="1"/>
      <c r="O699" s="1"/>
      <c r="P699" s="1"/>
      <c r="Q699" s="1"/>
      <c r="R699" s="1"/>
      <c r="S699" s="1"/>
      <c r="T699" s="1"/>
      <c r="U699" s="1"/>
      <c r="V699" s="1"/>
      <c r="W699" s="1"/>
      <c r="X699" s="1"/>
    </row>
    <row r="700" spans="1:24" ht="12.75" customHeight="1" x14ac:dyDescent="0.2">
      <c r="A700" s="1"/>
      <c r="B700" s="1"/>
      <c r="C700" s="89"/>
      <c r="D700" s="89"/>
      <c r="E700" s="93"/>
      <c r="F700" s="93"/>
      <c r="G700" s="105"/>
      <c r="H700" s="105"/>
      <c r="I700" s="1"/>
      <c r="J700" s="1"/>
      <c r="K700" s="1"/>
      <c r="L700" s="1"/>
      <c r="M700" s="1"/>
      <c r="N700" s="1"/>
      <c r="O700" s="1"/>
      <c r="P700" s="1"/>
      <c r="Q700" s="1"/>
      <c r="R700" s="1"/>
      <c r="S700" s="1"/>
      <c r="T700" s="1"/>
      <c r="U700" s="1"/>
      <c r="V700" s="1"/>
      <c r="W700" s="1"/>
      <c r="X700" s="1"/>
    </row>
    <row r="701" spans="1:24" ht="12.75" customHeight="1" x14ac:dyDescent="0.2">
      <c r="A701" s="1"/>
      <c r="B701" s="1"/>
      <c r="C701" s="89"/>
      <c r="D701" s="89"/>
      <c r="E701" s="93"/>
      <c r="F701" s="93"/>
      <c r="G701" s="105"/>
      <c r="H701" s="105"/>
      <c r="I701" s="1"/>
      <c r="J701" s="1"/>
      <c r="K701" s="1"/>
      <c r="L701" s="1"/>
      <c r="M701" s="1"/>
      <c r="N701" s="1"/>
      <c r="O701" s="1"/>
      <c r="P701" s="1"/>
      <c r="Q701" s="1"/>
      <c r="R701" s="1"/>
      <c r="S701" s="1"/>
      <c r="T701" s="1"/>
      <c r="U701" s="1"/>
      <c r="V701" s="1"/>
      <c r="W701" s="1"/>
      <c r="X701" s="1"/>
    </row>
    <row r="702" spans="1:24" ht="12.75" customHeight="1" x14ac:dyDescent="0.2">
      <c r="A702" s="1"/>
      <c r="B702" s="1"/>
      <c r="C702" s="89"/>
      <c r="D702" s="89"/>
      <c r="E702" s="93"/>
      <c r="F702" s="93"/>
      <c r="G702" s="105"/>
      <c r="H702" s="105"/>
      <c r="I702" s="1"/>
      <c r="J702" s="1"/>
      <c r="K702" s="1"/>
      <c r="L702" s="1"/>
      <c r="M702" s="1"/>
      <c r="N702" s="1"/>
      <c r="O702" s="1"/>
      <c r="P702" s="1"/>
      <c r="Q702" s="1"/>
      <c r="R702" s="1"/>
      <c r="S702" s="1"/>
      <c r="T702" s="1"/>
      <c r="U702" s="1"/>
      <c r="V702" s="1"/>
      <c r="W702" s="1"/>
      <c r="X702" s="1"/>
    </row>
    <row r="703" spans="1:24" ht="12.75" customHeight="1" x14ac:dyDescent="0.2">
      <c r="A703" s="1"/>
      <c r="B703" s="1"/>
      <c r="C703" s="89"/>
      <c r="D703" s="89"/>
      <c r="E703" s="93"/>
      <c r="F703" s="93"/>
      <c r="G703" s="105"/>
      <c r="H703" s="105"/>
      <c r="I703" s="1"/>
      <c r="J703" s="1"/>
      <c r="K703" s="1"/>
      <c r="L703" s="1"/>
      <c r="M703" s="1"/>
      <c r="N703" s="1"/>
      <c r="O703" s="1"/>
      <c r="P703" s="1"/>
      <c r="Q703" s="1"/>
      <c r="R703" s="1"/>
      <c r="S703" s="1"/>
      <c r="T703" s="1"/>
      <c r="U703" s="1"/>
      <c r="V703" s="1"/>
      <c r="W703" s="1"/>
      <c r="X703" s="1"/>
    </row>
    <row r="704" spans="1:24" ht="12.75" customHeight="1" x14ac:dyDescent="0.2">
      <c r="A704" s="1"/>
      <c r="B704" s="1"/>
      <c r="C704" s="89"/>
      <c r="D704" s="89"/>
      <c r="E704" s="93"/>
      <c r="F704" s="93"/>
      <c r="G704" s="105"/>
      <c r="H704" s="105"/>
      <c r="I704" s="1"/>
      <c r="J704" s="1"/>
      <c r="K704" s="1"/>
      <c r="L704" s="1"/>
      <c r="M704" s="1"/>
      <c r="N704" s="1"/>
      <c r="O704" s="1"/>
      <c r="P704" s="1"/>
      <c r="Q704" s="1"/>
      <c r="R704" s="1"/>
      <c r="S704" s="1"/>
      <c r="T704" s="1"/>
      <c r="U704" s="1"/>
      <c r="V704" s="1"/>
      <c r="W704" s="1"/>
      <c r="X704" s="1"/>
    </row>
    <row r="705" spans="1:24" ht="12.75" customHeight="1" x14ac:dyDescent="0.2">
      <c r="A705" s="1"/>
      <c r="B705" s="1"/>
      <c r="C705" s="89"/>
      <c r="D705" s="89"/>
      <c r="E705" s="93"/>
      <c r="F705" s="93"/>
      <c r="G705" s="105"/>
      <c r="H705" s="105"/>
      <c r="I705" s="1"/>
      <c r="J705" s="1"/>
      <c r="K705" s="1"/>
      <c r="L705" s="1"/>
      <c r="M705" s="1"/>
      <c r="N705" s="1"/>
      <c r="O705" s="1"/>
      <c r="P705" s="1"/>
      <c r="Q705" s="1"/>
      <c r="R705" s="1"/>
      <c r="S705" s="1"/>
      <c r="T705" s="1"/>
      <c r="U705" s="1"/>
      <c r="V705" s="1"/>
      <c r="W705" s="1"/>
      <c r="X705" s="1"/>
    </row>
    <row r="706" spans="1:24" ht="12.75" customHeight="1" x14ac:dyDescent="0.2">
      <c r="A706" s="1"/>
      <c r="B706" s="1"/>
      <c r="C706" s="89"/>
      <c r="D706" s="89"/>
      <c r="E706" s="93"/>
      <c r="F706" s="93"/>
      <c r="G706" s="105"/>
      <c r="H706" s="105"/>
      <c r="I706" s="1"/>
      <c r="J706" s="1"/>
      <c r="K706" s="1"/>
      <c r="L706" s="1"/>
      <c r="M706" s="1"/>
      <c r="N706" s="1"/>
      <c r="O706" s="1"/>
      <c r="P706" s="1"/>
      <c r="Q706" s="1"/>
      <c r="R706" s="1"/>
      <c r="S706" s="1"/>
      <c r="T706" s="1"/>
      <c r="U706" s="1"/>
      <c r="V706" s="1"/>
      <c r="W706" s="1"/>
      <c r="X706" s="1"/>
    </row>
    <row r="707" spans="1:24" ht="12.75" customHeight="1" x14ac:dyDescent="0.2">
      <c r="A707" s="1"/>
      <c r="B707" s="1"/>
      <c r="C707" s="89"/>
      <c r="D707" s="89"/>
      <c r="E707" s="93"/>
      <c r="F707" s="93"/>
      <c r="G707" s="105"/>
      <c r="H707" s="105"/>
      <c r="I707" s="1"/>
      <c r="J707" s="1"/>
      <c r="K707" s="1"/>
      <c r="L707" s="1"/>
      <c r="M707" s="1"/>
      <c r="N707" s="1"/>
      <c r="O707" s="1"/>
      <c r="P707" s="1"/>
      <c r="Q707" s="1"/>
      <c r="R707" s="1"/>
      <c r="S707" s="1"/>
      <c r="T707" s="1"/>
      <c r="U707" s="1"/>
      <c r="V707" s="1"/>
      <c r="W707" s="1"/>
      <c r="X707" s="1"/>
    </row>
    <row r="708" spans="1:24" ht="12.75" customHeight="1" x14ac:dyDescent="0.2">
      <c r="A708" s="1"/>
      <c r="B708" s="1"/>
      <c r="C708" s="89"/>
      <c r="D708" s="89"/>
      <c r="E708" s="93"/>
      <c r="F708" s="93"/>
      <c r="G708" s="105"/>
      <c r="H708" s="105"/>
      <c r="I708" s="1"/>
      <c r="J708" s="1"/>
      <c r="K708" s="1"/>
      <c r="L708" s="1"/>
      <c r="M708" s="1"/>
      <c r="N708" s="1"/>
      <c r="O708" s="1"/>
      <c r="P708" s="1"/>
      <c r="Q708" s="1"/>
      <c r="R708" s="1"/>
      <c r="S708" s="1"/>
      <c r="T708" s="1"/>
      <c r="U708" s="1"/>
      <c r="V708" s="1"/>
      <c r="W708" s="1"/>
      <c r="X708" s="1"/>
    </row>
    <row r="709" spans="1:24" ht="12.75" customHeight="1" x14ac:dyDescent="0.2">
      <c r="A709" s="1"/>
      <c r="B709" s="1"/>
      <c r="C709" s="89"/>
      <c r="D709" s="89"/>
      <c r="E709" s="93"/>
      <c r="F709" s="93"/>
      <c r="G709" s="105"/>
      <c r="H709" s="105"/>
      <c r="I709" s="1"/>
      <c r="J709" s="1"/>
      <c r="K709" s="1"/>
      <c r="L709" s="1"/>
      <c r="M709" s="1"/>
      <c r="N709" s="1"/>
      <c r="O709" s="1"/>
      <c r="P709" s="1"/>
      <c r="Q709" s="1"/>
      <c r="R709" s="1"/>
      <c r="S709" s="1"/>
      <c r="T709" s="1"/>
      <c r="U709" s="1"/>
      <c r="V709" s="1"/>
      <c r="W709" s="1"/>
      <c r="X709" s="1"/>
    </row>
    <row r="710" spans="1:24" ht="12.75" customHeight="1" x14ac:dyDescent="0.2">
      <c r="A710" s="1"/>
      <c r="B710" s="1"/>
      <c r="C710" s="89"/>
      <c r="D710" s="89"/>
      <c r="E710" s="93"/>
      <c r="F710" s="93"/>
      <c r="G710" s="105"/>
      <c r="H710" s="105"/>
      <c r="I710" s="1"/>
      <c r="J710" s="1"/>
      <c r="K710" s="1"/>
      <c r="L710" s="1"/>
      <c r="M710" s="1"/>
      <c r="N710" s="1"/>
      <c r="O710" s="1"/>
      <c r="P710" s="1"/>
      <c r="Q710" s="1"/>
      <c r="R710" s="1"/>
      <c r="S710" s="1"/>
      <c r="T710" s="1"/>
      <c r="U710" s="1"/>
      <c r="V710" s="1"/>
      <c r="W710" s="1"/>
      <c r="X710" s="1"/>
    </row>
    <row r="711" spans="1:24" ht="12.75" customHeight="1" x14ac:dyDescent="0.2">
      <c r="A711" s="1"/>
      <c r="B711" s="1"/>
      <c r="C711" s="89"/>
      <c r="D711" s="89"/>
      <c r="E711" s="93"/>
      <c r="F711" s="93"/>
      <c r="G711" s="105"/>
      <c r="H711" s="105"/>
      <c r="I711" s="1"/>
      <c r="J711" s="1"/>
      <c r="K711" s="1"/>
      <c r="L711" s="1"/>
      <c r="M711" s="1"/>
      <c r="N711" s="1"/>
      <c r="O711" s="1"/>
      <c r="P711" s="1"/>
      <c r="Q711" s="1"/>
      <c r="R711" s="1"/>
      <c r="S711" s="1"/>
      <c r="T711" s="1"/>
      <c r="U711" s="1"/>
      <c r="V711" s="1"/>
      <c r="W711" s="1"/>
      <c r="X711" s="1"/>
    </row>
    <row r="712" spans="1:24" ht="12.75" customHeight="1" x14ac:dyDescent="0.2">
      <c r="A712" s="1"/>
      <c r="B712" s="1"/>
      <c r="C712" s="89"/>
      <c r="D712" s="89"/>
      <c r="E712" s="93"/>
      <c r="F712" s="93"/>
      <c r="G712" s="105"/>
      <c r="H712" s="105"/>
      <c r="I712" s="1"/>
      <c r="J712" s="1"/>
      <c r="K712" s="1"/>
      <c r="L712" s="1"/>
      <c r="M712" s="1"/>
      <c r="N712" s="1"/>
      <c r="O712" s="1"/>
      <c r="P712" s="1"/>
      <c r="Q712" s="1"/>
      <c r="R712" s="1"/>
      <c r="S712" s="1"/>
      <c r="T712" s="1"/>
      <c r="U712" s="1"/>
      <c r="V712" s="1"/>
      <c r="W712" s="1"/>
      <c r="X712" s="1"/>
    </row>
    <row r="713" spans="1:24" ht="12.75" customHeight="1" x14ac:dyDescent="0.2">
      <c r="A713" s="1"/>
      <c r="B713" s="1"/>
      <c r="C713" s="89"/>
      <c r="D713" s="89"/>
      <c r="E713" s="93"/>
      <c r="F713" s="93"/>
      <c r="G713" s="105"/>
      <c r="H713" s="105"/>
      <c r="I713" s="1"/>
      <c r="J713" s="1"/>
      <c r="K713" s="1"/>
      <c r="L713" s="1"/>
      <c r="M713" s="1"/>
      <c r="N713" s="1"/>
      <c r="O713" s="1"/>
      <c r="P713" s="1"/>
      <c r="Q713" s="1"/>
      <c r="R713" s="1"/>
      <c r="S713" s="1"/>
      <c r="T713" s="1"/>
      <c r="U713" s="1"/>
      <c r="V713" s="1"/>
      <c r="W713" s="1"/>
      <c r="X713" s="1"/>
    </row>
    <row r="714" spans="1:24" ht="12.75" customHeight="1" x14ac:dyDescent="0.2">
      <c r="A714" s="1"/>
      <c r="B714" s="1"/>
      <c r="C714" s="89"/>
      <c r="D714" s="89"/>
      <c r="E714" s="93"/>
      <c r="F714" s="93"/>
      <c r="G714" s="105"/>
      <c r="H714" s="105"/>
      <c r="I714" s="1"/>
      <c r="J714" s="1"/>
      <c r="K714" s="1"/>
      <c r="L714" s="1"/>
      <c r="M714" s="1"/>
      <c r="N714" s="1"/>
      <c r="O714" s="1"/>
      <c r="P714" s="1"/>
      <c r="Q714" s="1"/>
      <c r="R714" s="1"/>
      <c r="S714" s="1"/>
      <c r="T714" s="1"/>
      <c r="U714" s="1"/>
      <c r="V714" s="1"/>
      <c r="W714" s="1"/>
      <c r="X714" s="1"/>
    </row>
    <row r="715" spans="1:24" ht="12.75" customHeight="1" x14ac:dyDescent="0.2">
      <c r="A715" s="1"/>
      <c r="B715" s="1"/>
      <c r="C715" s="89"/>
      <c r="D715" s="89"/>
      <c r="E715" s="93"/>
      <c r="F715" s="93"/>
      <c r="G715" s="105"/>
      <c r="H715" s="105"/>
      <c r="I715" s="1"/>
      <c r="J715" s="1"/>
      <c r="K715" s="1"/>
      <c r="L715" s="1"/>
      <c r="M715" s="1"/>
      <c r="N715" s="1"/>
      <c r="O715" s="1"/>
      <c r="P715" s="1"/>
      <c r="Q715" s="1"/>
      <c r="R715" s="1"/>
      <c r="S715" s="1"/>
      <c r="T715" s="1"/>
      <c r="U715" s="1"/>
      <c r="V715" s="1"/>
      <c r="W715" s="1"/>
      <c r="X715" s="1"/>
    </row>
    <row r="716" spans="1:24" ht="12.75" customHeight="1" x14ac:dyDescent="0.2">
      <c r="A716" s="1"/>
      <c r="B716" s="1"/>
      <c r="C716" s="89"/>
      <c r="D716" s="89"/>
      <c r="E716" s="93"/>
      <c r="F716" s="93"/>
      <c r="G716" s="105"/>
      <c r="H716" s="105"/>
      <c r="I716" s="1"/>
      <c r="J716" s="1"/>
      <c r="K716" s="1"/>
      <c r="L716" s="1"/>
      <c r="M716" s="1"/>
      <c r="N716" s="1"/>
      <c r="O716" s="1"/>
      <c r="P716" s="1"/>
      <c r="Q716" s="1"/>
      <c r="R716" s="1"/>
      <c r="S716" s="1"/>
      <c r="T716" s="1"/>
      <c r="U716" s="1"/>
      <c r="V716" s="1"/>
      <c r="W716" s="1"/>
      <c r="X716" s="1"/>
    </row>
    <row r="717" spans="1:24" ht="12.75" customHeight="1" x14ac:dyDescent="0.2">
      <c r="A717" s="1"/>
      <c r="B717" s="1"/>
      <c r="C717" s="89"/>
      <c r="D717" s="89"/>
      <c r="E717" s="93"/>
      <c r="F717" s="93"/>
      <c r="G717" s="105"/>
      <c r="H717" s="105"/>
      <c r="I717" s="1"/>
      <c r="J717" s="1"/>
      <c r="K717" s="1"/>
      <c r="L717" s="1"/>
      <c r="M717" s="1"/>
      <c r="N717" s="1"/>
      <c r="O717" s="1"/>
      <c r="P717" s="1"/>
      <c r="Q717" s="1"/>
      <c r="R717" s="1"/>
      <c r="S717" s="1"/>
      <c r="T717" s="1"/>
      <c r="U717" s="1"/>
      <c r="V717" s="1"/>
      <c r="W717" s="1"/>
      <c r="X717" s="1"/>
    </row>
    <row r="718" spans="1:24" ht="12.75" customHeight="1" x14ac:dyDescent="0.2">
      <c r="A718" s="1"/>
      <c r="B718" s="1"/>
      <c r="C718" s="89"/>
      <c r="D718" s="89"/>
      <c r="E718" s="93"/>
      <c r="F718" s="93"/>
      <c r="G718" s="105"/>
      <c r="H718" s="105"/>
      <c r="I718" s="1"/>
      <c r="J718" s="1"/>
      <c r="K718" s="1"/>
      <c r="L718" s="1"/>
      <c r="M718" s="1"/>
      <c r="N718" s="1"/>
      <c r="O718" s="1"/>
      <c r="P718" s="1"/>
      <c r="Q718" s="1"/>
      <c r="R718" s="1"/>
      <c r="S718" s="1"/>
      <c r="T718" s="1"/>
      <c r="U718" s="1"/>
      <c r="V718" s="1"/>
      <c r="W718" s="1"/>
      <c r="X718" s="1"/>
    </row>
    <row r="719" spans="1:24" ht="12.75" customHeight="1" x14ac:dyDescent="0.2">
      <c r="A719" s="1"/>
      <c r="B719" s="1"/>
      <c r="C719" s="89"/>
      <c r="D719" s="89"/>
      <c r="E719" s="93"/>
      <c r="F719" s="93"/>
      <c r="G719" s="105"/>
      <c r="H719" s="105"/>
      <c r="I719" s="1"/>
      <c r="J719" s="1"/>
      <c r="K719" s="1"/>
      <c r="L719" s="1"/>
      <c r="M719" s="1"/>
      <c r="N719" s="1"/>
      <c r="O719" s="1"/>
      <c r="P719" s="1"/>
      <c r="Q719" s="1"/>
      <c r="R719" s="1"/>
      <c r="S719" s="1"/>
      <c r="T719" s="1"/>
      <c r="U719" s="1"/>
      <c r="V719" s="1"/>
      <c r="W719" s="1"/>
      <c r="X719" s="1"/>
    </row>
    <row r="720" spans="1:24" ht="12.75" customHeight="1" x14ac:dyDescent="0.2">
      <c r="A720" s="1"/>
      <c r="B720" s="1"/>
      <c r="C720" s="89"/>
      <c r="D720" s="89"/>
      <c r="E720" s="93"/>
      <c r="F720" s="93"/>
      <c r="G720" s="105"/>
      <c r="H720" s="105"/>
      <c r="I720" s="1"/>
      <c r="J720" s="1"/>
      <c r="K720" s="1"/>
      <c r="L720" s="1"/>
      <c r="M720" s="1"/>
      <c r="N720" s="1"/>
      <c r="O720" s="1"/>
      <c r="P720" s="1"/>
      <c r="Q720" s="1"/>
      <c r="R720" s="1"/>
      <c r="S720" s="1"/>
      <c r="T720" s="1"/>
      <c r="U720" s="1"/>
      <c r="V720" s="1"/>
      <c r="W720" s="1"/>
      <c r="X720" s="1"/>
    </row>
    <row r="721" spans="1:24" ht="12.75" customHeight="1" x14ac:dyDescent="0.2">
      <c r="A721" s="1"/>
      <c r="B721" s="1"/>
      <c r="C721" s="89"/>
      <c r="D721" s="89"/>
      <c r="E721" s="93"/>
      <c r="F721" s="93"/>
      <c r="G721" s="105"/>
      <c r="H721" s="105"/>
      <c r="I721" s="1"/>
      <c r="J721" s="1"/>
      <c r="K721" s="1"/>
      <c r="L721" s="1"/>
      <c r="M721" s="1"/>
      <c r="N721" s="1"/>
      <c r="O721" s="1"/>
      <c r="P721" s="1"/>
      <c r="Q721" s="1"/>
      <c r="R721" s="1"/>
      <c r="S721" s="1"/>
      <c r="T721" s="1"/>
      <c r="U721" s="1"/>
      <c r="V721" s="1"/>
      <c r="W721" s="1"/>
      <c r="X721" s="1"/>
    </row>
    <row r="722" spans="1:24" ht="12.75" customHeight="1" x14ac:dyDescent="0.2">
      <c r="A722" s="1"/>
      <c r="B722" s="1"/>
      <c r="C722" s="89"/>
      <c r="D722" s="89"/>
      <c r="E722" s="93"/>
      <c r="F722" s="93"/>
      <c r="G722" s="105"/>
      <c r="H722" s="105"/>
      <c r="I722" s="1"/>
      <c r="J722" s="1"/>
      <c r="K722" s="1"/>
      <c r="L722" s="1"/>
      <c r="M722" s="1"/>
      <c r="N722" s="1"/>
      <c r="O722" s="1"/>
      <c r="P722" s="1"/>
      <c r="Q722" s="1"/>
      <c r="R722" s="1"/>
      <c r="S722" s="1"/>
      <c r="T722" s="1"/>
      <c r="U722" s="1"/>
      <c r="V722" s="1"/>
      <c r="W722" s="1"/>
      <c r="X722" s="1"/>
    </row>
    <row r="723" spans="1:24" ht="12.75" customHeight="1" x14ac:dyDescent="0.2">
      <c r="A723" s="1"/>
      <c r="B723" s="1"/>
      <c r="C723" s="89"/>
      <c r="D723" s="89"/>
      <c r="E723" s="93"/>
      <c r="F723" s="93"/>
      <c r="G723" s="105"/>
      <c r="H723" s="105"/>
      <c r="I723" s="1"/>
      <c r="J723" s="1"/>
      <c r="K723" s="1"/>
      <c r="L723" s="1"/>
      <c r="M723" s="1"/>
      <c r="N723" s="1"/>
      <c r="O723" s="1"/>
      <c r="P723" s="1"/>
      <c r="Q723" s="1"/>
      <c r="R723" s="1"/>
      <c r="S723" s="1"/>
      <c r="T723" s="1"/>
      <c r="U723" s="1"/>
      <c r="V723" s="1"/>
      <c r="W723" s="1"/>
      <c r="X723" s="1"/>
    </row>
    <row r="724" spans="1:24" ht="12.75" customHeight="1" x14ac:dyDescent="0.2">
      <c r="A724" s="1"/>
      <c r="B724" s="1"/>
      <c r="C724" s="89"/>
      <c r="D724" s="89"/>
      <c r="E724" s="93"/>
      <c r="F724" s="93"/>
      <c r="G724" s="105"/>
      <c r="H724" s="105"/>
      <c r="I724" s="1"/>
      <c r="J724" s="1"/>
      <c r="K724" s="1"/>
      <c r="L724" s="1"/>
      <c r="M724" s="1"/>
      <c r="N724" s="1"/>
      <c r="O724" s="1"/>
      <c r="P724" s="1"/>
      <c r="Q724" s="1"/>
      <c r="R724" s="1"/>
      <c r="S724" s="1"/>
      <c r="T724" s="1"/>
      <c r="U724" s="1"/>
      <c r="V724" s="1"/>
      <c r="W724" s="1"/>
      <c r="X724" s="1"/>
    </row>
    <row r="725" spans="1:24" ht="12.75" customHeight="1" x14ac:dyDescent="0.2">
      <c r="A725" s="1"/>
      <c r="B725" s="1"/>
      <c r="C725" s="89"/>
      <c r="D725" s="89"/>
      <c r="E725" s="93"/>
      <c r="F725" s="93"/>
      <c r="G725" s="105"/>
      <c r="H725" s="105"/>
      <c r="I725" s="1"/>
      <c r="J725" s="1"/>
      <c r="K725" s="1"/>
      <c r="L725" s="1"/>
      <c r="M725" s="1"/>
      <c r="N725" s="1"/>
      <c r="O725" s="1"/>
      <c r="P725" s="1"/>
      <c r="Q725" s="1"/>
      <c r="R725" s="1"/>
      <c r="S725" s="1"/>
      <c r="T725" s="1"/>
      <c r="U725" s="1"/>
      <c r="V725" s="1"/>
      <c r="W725" s="1"/>
      <c r="X725" s="1"/>
    </row>
    <row r="726" spans="1:24" ht="12.75" customHeight="1" x14ac:dyDescent="0.2">
      <c r="A726" s="1"/>
      <c r="B726" s="1"/>
      <c r="C726" s="89"/>
      <c r="D726" s="89"/>
      <c r="E726" s="93"/>
      <c r="F726" s="93"/>
      <c r="G726" s="105"/>
      <c r="H726" s="105"/>
      <c r="I726" s="1"/>
      <c r="J726" s="1"/>
      <c r="K726" s="1"/>
      <c r="L726" s="1"/>
      <c r="M726" s="1"/>
      <c r="N726" s="1"/>
      <c r="O726" s="1"/>
      <c r="P726" s="1"/>
      <c r="Q726" s="1"/>
      <c r="R726" s="1"/>
      <c r="S726" s="1"/>
      <c r="T726" s="1"/>
      <c r="U726" s="1"/>
      <c r="V726" s="1"/>
      <c r="W726" s="1"/>
      <c r="X726" s="1"/>
    </row>
    <row r="727" spans="1:24" ht="12.75" customHeight="1" x14ac:dyDescent="0.2">
      <c r="A727" s="1"/>
      <c r="B727" s="1"/>
      <c r="C727" s="89"/>
      <c r="D727" s="89"/>
      <c r="E727" s="93"/>
      <c r="F727" s="93"/>
      <c r="G727" s="105"/>
      <c r="H727" s="105"/>
      <c r="I727" s="1"/>
      <c r="J727" s="1"/>
      <c r="K727" s="1"/>
      <c r="L727" s="1"/>
      <c r="M727" s="1"/>
      <c r="N727" s="1"/>
      <c r="O727" s="1"/>
      <c r="P727" s="1"/>
      <c r="Q727" s="1"/>
      <c r="R727" s="1"/>
      <c r="S727" s="1"/>
      <c r="T727" s="1"/>
      <c r="U727" s="1"/>
      <c r="V727" s="1"/>
      <c r="W727" s="1"/>
      <c r="X727" s="1"/>
    </row>
    <row r="728" spans="1:24" ht="12.75" customHeight="1" x14ac:dyDescent="0.2">
      <c r="A728" s="1"/>
      <c r="B728" s="1"/>
      <c r="C728" s="89"/>
      <c r="D728" s="89"/>
      <c r="E728" s="93"/>
      <c r="F728" s="93"/>
      <c r="G728" s="105"/>
      <c r="H728" s="105"/>
      <c r="I728" s="1"/>
      <c r="J728" s="1"/>
      <c r="K728" s="1"/>
      <c r="L728" s="1"/>
      <c r="M728" s="1"/>
      <c r="N728" s="1"/>
      <c r="O728" s="1"/>
      <c r="P728" s="1"/>
      <c r="Q728" s="1"/>
      <c r="R728" s="1"/>
      <c r="S728" s="1"/>
      <c r="T728" s="1"/>
      <c r="U728" s="1"/>
      <c r="V728" s="1"/>
      <c r="W728" s="1"/>
      <c r="X728" s="1"/>
    </row>
    <row r="729" spans="1:24" ht="12.75" customHeight="1" x14ac:dyDescent="0.2">
      <c r="A729" s="1"/>
      <c r="B729" s="1"/>
      <c r="C729" s="89"/>
      <c r="D729" s="89"/>
      <c r="E729" s="93"/>
      <c r="F729" s="93"/>
      <c r="G729" s="105"/>
      <c r="H729" s="105"/>
      <c r="I729" s="1"/>
      <c r="J729" s="1"/>
      <c r="K729" s="1"/>
      <c r="L729" s="1"/>
      <c r="M729" s="1"/>
      <c r="N729" s="1"/>
      <c r="O729" s="1"/>
      <c r="P729" s="1"/>
      <c r="Q729" s="1"/>
      <c r="R729" s="1"/>
      <c r="S729" s="1"/>
      <c r="T729" s="1"/>
      <c r="U729" s="1"/>
      <c r="V729" s="1"/>
      <c r="W729" s="1"/>
      <c r="X729" s="1"/>
    </row>
    <row r="730" spans="1:24" ht="12.75" customHeight="1" x14ac:dyDescent="0.2">
      <c r="A730" s="1"/>
      <c r="B730" s="1"/>
      <c r="C730" s="89"/>
      <c r="D730" s="89"/>
      <c r="E730" s="93"/>
      <c r="F730" s="93"/>
      <c r="G730" s="105"/>
      <c r="H730" s="105"/>
      <c r="I730" s="1"/>
      <c r="J730" s="1"/>
      <c r="K730" s="1"/>
      <c r="L730" s="1"/>
      <c r="M730" s="1"/>
      <c r="N730" s="1"/>
      <c r="O730" s="1"/>
      <c r="P730" s="1"/>
      <c r="Q730" s="1"/>
      <c r="R730" s="1"/>
      <c r="S730" s="1"/>
      <c r="T730" s="1"/>
      <c r="U730" s="1"/>
      <c r="V730" s="1"/>
      <c r="W730" s="1"/>
      <c r="X730" s="1"/>
    </row>
    <row r="731" spans="1:24" ht="12.75" customHeight="1" x14ac:dyDescent="0.2">
      <c r="A731" s="1"/>
      <c r="B731" s="1"/>
      <c r="C731" s="89"/>
      <c r="D731" s="89"/>
      <c r="E731" s="93"/>
      <c r="F731" s="93"/>
      <c r="G731" s="105"/>
      <c r="H731" s="105"/>
      <c r="I731" s="1"/>
      <c r="J731" s="1"/>
      <c r="K731" s="1"/>
      <c r="L731" s="1"/>
      <c r="M731" s="1"/>
      <c r="N731" s="1"/>
      <c r="O731" s="1"/>
      <c r="P731" s="1"/>
      <c r="Q731" s="1"/>
      <c r="R731" s="1"/>
      <c r="S731" s="1"/>
      <c r="T731" s="1"/>
      <c r="U731" s="1"/>
      <c r="V731" s="1"/>
      <c r="W731" s="1"/>
      <c r="X731" s="1"/>
    </row>
    <row r="732" spans="1:24" ht="12.75" customHeight="1" x14ac:dyDescent="0.2">
      <c r="A732" s="1"/>
      <c r="B732" s="1"/>
      <c r="C732" s="89"/>
      <c r="D732" s="89"/>
      <c r="E732" s="93"/>
      <c r="F732" s="93"/>
      <c r="G732" s="105"/>
      <c r="H732" s="105"/>
      <c r="I732" s="1"/>
      <c r="J732" s="1"/>
      <c r="K732" s="1"/>
      <c r="L732" s="1"/>
      <c r="M732" s="1"/>
      <c r="N732" s="1"/>
      <c r="O732" s="1"/>
      <c r="P732" s="1"/>
      <c r="Q732" s="1"/>
      <c r="R732" s="1"/>
      <c r="S732" s="1"/>
      <c r="T732" s="1"/>
      <c r="U732" s="1"/>
      <c r="V732" s="1"/>
      <c r="W732" s="1"/>
      <c r="X732" s="1"/>
    </row>
    <row r="733" spans="1:24" ht="12.75" customHeight="1" x14ac:dyDescent="0.2">
      <c r="A733" s="1"/>
      <c r="B733" s="1"/>
      <c r="C733" s="89"/>
      <c r="D733" s="89"/>
      <c r="E733" s="93"/>
      <c r="F733" s="93"/>
      <c r="G733" s="105"/>
      <c r="H733" s="105"/>
      <c r="I733" s="1"/>
      <c r="J733" s="1"/>
      <c r="K733" s="1"/>
      <c r="L733" s="1"/>
      <c r="M733" s="1"/>
      <c r="N733" s="1"/>
      <c r="O733" s="1"/>
      <c r="P733" s="1"/>
      <c r="Q733" s="1"/>
      <c r="R733" s="1"/>
      <c r="S733" s="1"/>
      <c r="T733" s="1"/>
      <c r="U733" s="1"/>
      <c r="V733" s="1"/>
      <c r="W733" s="1"/>
      <c r="X733" s="1"/>
    </row>
    <row r="734" spans="1:24" ht="12.75" customHeight="1" x14ac:dyDescent="0.2">
      <c r="A734" s="1"/>
      <c r="B734" s="1"/>
      <c r="C734" s="89"/>
      <c r="D734" s="89"/>
      <c r="E734" s="93"/>
      <c r="F734" s="93"/>
      <c r="G734" s="105"/>
      <c r="H734" s="105"/>
      <c r="I734" s="1"/>
      <c r="J734" s="1"/>
      <c r="K734" s="1"/>
      <c r="L734" s="1"/>
      <c r="M734" s="1"/>
      <c r="N734" s="1"/>
      <c r="O734" s="1"/>
      <c r="P734" s="1"/>
      <c r="Q734" s="1"/>
      <c r="R734" s="1"/>
      <c r="S734" s="1"/>
      <c r="T734" s="1"/>
      <c r="U734" s="1"/>
      <c r="V734" s="1"/>
      <c r="W734" s="1"/>
      <c r="X734" s="1"/>
    </row>
    <row r="735" spans="1:24" ht="12.75" customHeight="1" x14ac:dyDescent="0.2">
      <c r="A735" s="1"/>
      <c r="B735" s="1"/>
      <c r="C735" s="89"/>
      <c r="D735" s="89"/>
      <c r="E735" s="93"/>
      <c r="F735" s="93"/>
      <c r="G735" s="105"/>
      <c r="H735" s="105"/>
      <c r="I735" s="1"/>
      <c r="J735" s="1"/>
      <c r="K735" s="1"/>
      <c r="L735" s="1"/>
      <c r="M735" s="1"/>
      <c r="N735" s="1"/>
      <c r="O735" s="1"/>
      <c r="P735" s="1"/>
      <c r="Q735" s="1"/>
      <c r="R735" s="1"/>
      <c r="S735" s="1"/>
      <c r="T735" s="1"/>
      <c r="U735" s="1"/>
      <c r="V735" s="1"/>
      <c r="W735" s="1"/>
      <c r="X735" s="1"/>
    </row>
    <row r="736" spans="1:24" ht="12.75" customHeight="1" x14ac:dyDescent="0.2">
      <c r="A736" s="1"/>
      <c r="B736" s="1"/>
      <c r="C736" s="89"/>
      <c r="D736" s="89"/>
      <c r="E736" s="93"/>
      <c r="F736" s="93"/>
      <c r="G736" s="105"/>
      <c r="H736" s="105"/>
      <c r="I736" s="1"/>
      <c r="J736" s="1"/>
      <c r="K736" s="1"/>
      <c r="L736" s="1"/>
      <c r="M736" s="1"/>
      <c r="N736" s="1"/>
      <c r="O736" s="1"/>
      <c r="P736" s="1"/>
      <c r="Q736" s="1"/>
      <c r="R736" s="1"/>
      <c r="S736" s="1"/>
      <c r="T736" s="1"/>
      <c r="U736" s="1"/>
      <c r="V736" s="1"/>
      <c r="W736" s="1"/>
      <c r="X736" s="1"/>
    </row>
    <row r="737" spans="1:24" ht="12.75" customHeight="1" x14ac:dyDescent="0.2">
      <c r="A737" s="1"/>
      <c r="B737" s="1"/>
      <c r="C737" s="89"/>
      <c r="D737" s="89"/>
      <c r="E737" s="93"/>
      <c r="F737" s="93"/>
      <c r="G737" s="105"/>
      <c r="H737" s="105"/>
      <c r="I737" s="1"/>
      <c r="J737" s="1"/>
      <c r="K737" s="1"/>
      <c r="L737" s="1"/>
      <c r="M737" s="1"/>
      <c r="N737" s="1"/>
      <c r="O737" s="1"/>
      <c r="P737" s="1"/>
      <c r="Q737" s="1"/>
      <c r="R737" s="1"/>
      <c r="S737" s="1"/>
      <c r="T737" s="1"/>
      <c r="U737" s="1"/>
      <c r="V737" s="1"/>
      <c r="W737" s="1"/>
      <c r="X737" s="1"/>
    </row>
    <row r="738" spans="1:24" ht="12.75" customHeight="1" x14ac:dyDescent="0.2">
      <c r="A738" s="1"/>
      <c r="B738" s="1"/>
      <c r="C738" s="89"/>
      <c r="D738" s="89"/>
      <c r="E738" s="93"/>
      <c r="F738" s="93"/>
      <c r="G738" s="105"/>
      <c r="H738" s="105"/>
      <c r="I738" s="1"/>
      <c r="J738" s="1"/>
      <c r="K738" s="1"/>
      <c r="L738" s="1"/>
      <c r="M738" s="1"/>
      <c r="N738" s="1"/>
      <c r="O738" s="1"/>
      <c r="P738" s="1"/>
      <c r="Q738" s="1"/>
      <c r="R738" s="1"/>
      <c r="S738" s="1"/>
      <c r="T738" s="1"/>
      <c r="U738" s="1"/>
      <c r="V738" s="1"/>
      <c r="W738" s="1"/>
      <c r="X738" s="1"/>
    </row>
    <row r="739" spans="1:24" ht="12.75" customHeight="1" x14ac:dyDescent="0.2">
      <c r="A739" s="1"/>
      <c r="B739" s="1"/>
      <c r="C739" s="89"/>
      <c r="D739" s="89"/>
      <c r="E739" s="93"/>
      <c r="F739" s="93"/>
      <c r="G739" s="105"/>
      <c r="H739" s="105"/>
      <c r="I739" s="1"/>
      <c r="J739" s="1"/>
      <c r="K739" s="1"/>
      <c r="L739" s="1"/>
      <c r="M739" s="1"/>
      <c r="N739" s="1"/>
      <c r="O739" s="1"/>
      <c r="P739" s="1"/>
      <c r="Q739" s="1"/>
      <c r="R739" s="1"/>
      <c r="S739" s="1"/>
      <c r="T739" s="1"/>
      <c r="U739" s="1"/>
      <c r="V739" s="1"/>
      <c r="W739" s="1"/>
      <c r="X739" s="1"/>
    </row>
    <row r="740" spans="1:24" ht="12.75" customHeight="1" x14ac:dyDescent="0.2">
      <c r="A740" s="1"/>
      <c r="B740" s="1"/>
      <c r="C740" s="89"/>
      <c r="D740" s="89"/>
      <c r="E740" s="93"/>
      <c r="F740" s="93"/>
      <c r="G740" s="105"/>
      <c r="H740" s="105"/>
      <c r="I740" s="1"/>
      <c r="J740" s="1"/>
      <c r="K740" s="1"/>
      <c r="L740" s="1"/>
      <c r="M740" s="1"/>
      <c r="N740" s="1"/>
      <c r="O740" s="1"/>
      <c r="P740" s="1"/>
      <c r="Q740" s="1"/>
      <c r="R740" s="1"/>
      <c r="S740" s="1"/>
      <c r="T740" s="1"/>
      <c r="U740" s="1"/>
      <c r="V740" s="1"/>
      <c r="W740" s="1"/>
      <c r="X740" s="1"/>
    </row>
    <row r="741" spans="1:24" ht="12.75" customHeight="1" x14ac:dyDescent="0.2">
      <c r="A741" s="1"/>
      <c r="B741" s="1"/>
      <c r="C741" s="89"/>
      <c r="D741" s="89"/>
      <c r="E741" s="93"/>
      <c r="F741" s="93"/>
      <c r="G741" s="105"/>
      <c r="H741" s="105"/>
      <c r="I741" s="1"/>
      <c r="J741" s="1"/>
      <c r="K741" s="1"/>
      <c r="L741" s="1"/>
      <c r="M741" s="1"/>
      <c r="N741" s="1"/>
      <c r="O741" s="1"/>
      <c r="P741" s="1"/>
      <c r="Q741" s="1"/>
      <c r="R741" s="1"/>
      <c r="S741" s="1"/>
      <c r="T741" s="1"/>
      <c r="U741" s="1"/>
      <c r="V741" s="1"/>
      <c r="W741" s="1"/>
      <c r="X741" s="1"/>
    </row>
    <row r="742" spans="1:24" ht="12.75" customHeight="1" x14ac:dyDescent="0.2">
      <c r="A742" s="1"/>
      <c r="B742" s="1"/>
      <c r="C742" s="89"/>
      <c r="D742" s="89"/>
      <c r="E742" s="93"/>
      <c r="F742" s="93"/>
      <c r="G742" s="105"/>
      <c r="H742" s="105"/>
      <c r="I742" s="1"/>
      <c r="J742" s="1"/>
      <c r="K742" s="1"/>
      <c r="L742" s="1"/>
      <c r="M742" s="1"/>
      <c r="N742" s="1"/>
      <c r="O742" s="1"/>
      <c r="P742" s="1"/>
      <c r="Q742" s="1"/>
      <c r="R742" s="1"/>
      <c r="S742" s="1"/>
      <c r="T742" s="1"/>
      <c r="U742" s="1"/>
      <c r="V742" s="1"/>
      <c r="W742" s="1"/>
      <c r="X742" s="1"/>
    </row>
    <row r="743" spans="1:24" ht="12.75" customHeight="1" x14ac:dyDescent="0.2">
      <c r="A743" s="1"/>
      <c r="B743" s="1"/>
      <c r="C743" s="89"/>
      <c r="D743" s="89"/>
      <c r="E743" s="93"/>
      <c r="F743" s="93"/>
      <c r="G743" s="105"/>
      <c r="H743" s="105"/>
      <c r="I743" s="1"/>
      <c r="J743" s="1"/>
      <c r="K743" s="1"/>
      <c r="L743" s="1"/>
      <c r="M743" s="1"/>
      <c r="N743" s="1"/>
      <c r="O743" s="1"/>
      <c r="P743" s="1"/>
      <c r="Q743" s="1"/>
      <c r="R743" s="1"/>
      <c r="S743" s="1"/>
      <c r="T743" s="1"/>
      <c r="U743" s="1"/>
      <c r="V743" s="1"/>
      <c r="W743" s="1"/>
      <c r="X743" s="1"/>
    </row>
    <row r="744" spans="1:24" ht="12.75" customHeight="1" x14ac:dyDescent="0.2">
      <c r="A744" s="1"/>
      <c r="B744" s="1"/>
      <c r="C744" s="89"/>
      <c r="D744" s="89"/>
      <c r="E744" s="93"/>
      <c r="F744" s="93"/>
      <c r="G744" s="105"/>
      <c r="H744" s="105"/>
      <c r="I744" s="1"/>
      <c r="J744" s="1"/>
      <c r="K744" s="1"/>
      <c r="L744" s="1"/>
      <c r="M744" s="1"/>
      <c r="N744" s="1"/>
      <c r="O744" s="1"/>
      <c r="P744" s="1"/>
      <c r="Q744" s="1"/>
      <c r="R744" s="1"/>
      <c r="S744" s="1"/>
      <c r="T744" s="1"/>
      <c r="U744" s="1"/>
      <c r="V744" s="1"/>
      <c r="W744" s="1"/>
      <c r="X744" s="1"/>
    </row>
    <row r="745" spans="1:24" ht="12.75" customHeight="1" x14ac:dyDescent="0.2">
      <c r="A745" s="1"/>
      <c r="B745" s="1"/>
      <c r="C745" s="89"/>
      <c r="D745" s="89"/>
      <c r="E745" s="93"/>
      <c r="F745" s="93"/>
      <c r="G745" s="105"/>
      <c r="H745" s="105"/>
      <c r="I745" s="1"/>
      <c r="J745" s="1"/>
      <c r="K745" s="1"/>
      <c r="L745" s="1"/>
      <c r="M745" s="1"/>
      <c r="N745" s="1"/>
      <c r="O745" s="1"/>
      <c r="P745" s="1"/>
      <c r="Q745" s="1"/>
      <c r="R745" s="1"/>
      <c r="S745" s="1"/>
      <c r="T745" s="1"/>
      <c r="U745" s="1"/>
      <c r="V745" s="1"/>
      <c r="W745" s="1"/>
      <c r="X745" s="1"/>
    </row>
    <row r="746" spans="1:24" ht="12.75" customHeight="1" x14ac:dyDescent="0.2">
      <c r="A746" s="1"/>
      <c r="B746" s="1"/>
      <c r="C746" s="89"/>
      <c r="D746" s="89"/>
      <c r="E746" s="93"/>
      <c r="F746" s="93"/>
      <c r="G746" s="105"/>
      <c r="H746" s="105"/>
      <c r="I746" s="1"/>
      <c r="J746" s="1"/>
      <c r="K746" s="1"/>
      <c r="L746" s="1"/>
      <c r="M746" s="1"/>
      <c r="N746" s="1"/>
      <c r="O746" s="1"/>
      <c r="P746" s="1"/>
      <c r="Q746" s="1"/>
      <c r="R746" s="1"/>
      <c r="S746" s="1"/>
      <c r="T746" s="1"/>
      <c r="U746" s="1"/>
      <c r="V746" s="1"/>
      <c r="W746" s="1"/>
      <c r="X746" s="1"/>
    </row>
    <row r="747" spans="1:24" ht="12.75" customHeight="1" x14ac:dyDescent="0.2">
      <c r="A747" s="1"/>
      <c r="B747" s="1"/>
      <c r="C747" s="89"/>
      <c r="D747" s="89"/>
      <c r="E747" s="93"/>
      <c r="F747" s="93"/>
      <c r="G747" s="105"/>
      <c r="H747" s="105"/>
      <c r="I747" s="1"/>
      <c r="J747" s="1"/>
      <c r="K747" s="1"/>
      <c r="L747" s="1"/>
      <c r="M747" s="1"/>
      <c r="N747" s="1"/>
      <c r="O747" s="1"/>
      <c r="P747" s="1"/>
      <c r="Q747" s="1"/>
      <c r="R747" s="1"/>
      <c r="S747" s="1"/>
      <c r="T747" s="1"/>
      <c r="U747" s="1"/>
      <c r="V747" s="1"/>
      <c r="W747" s="1"/>
      <c r="X747" s="1"/>
    </row>
    <row r="748" spans="1:24" ht="12.75" customHeight="1" x14ac:dyDescent="0.2">
      <c r="A748" s="1"/>
      <c r="B748" s="1"/>
      <c r="C748" s="89"/>
      <c r="D748" s="89"/>
      <c r="E748" s="93"/>
      <c r="F748" s="93"/>
      <c r="G748" s="105"/>
      <c r="H748" s="105"/>
      <c r="I748" s="1"/>
      <c r="J748" s="1"/>
      <c r="K748" s="1"/>
      <c r="L748" s="1"/>
      <c r="M748" s="1"/>
      <c r="N748" s="1"/>
      <c r="O748" s="1"/>
      <c r="P748" s="1"/>
      <c r="Q748" s="1"/>
      <c r="R748" s="1"/>
      <c r="S748" s="1"/>
      <c r="T748" s="1"/>
      <c r="U748" s="1"/>
      <c r="V748" s="1"/>
      <c r="W748" s="1"/>
      <c r="X748" s="1"/>
    </row>
    <row r="749" spans="1:24" ht="12.75" customHeight="1" x14ac:dyDescent="0.2">
      <c r="A749" s="1"/>
      <c r="B749" s="1"/>
      <c r="C749" s="89"/>
      <c r="D749" s="89"/>
      <c r="E749" s="93"/>
      <c r="F749" s="93"/>
      <c r="G749" s="105"/>
      <c r="H749" s="105"/>
      <c r="I749" s="1"/>
      <c r="J749" s="1"/>
      <c r="K749" s="1"/>
      <c r="L749" s="1"/>
      <c r="M749" s="1"/>
      <c r="N749" s="1"/>
      <c r="O749" s="1"/>
      <c r="P749" s="1"/>
      <c r="Q749" s="1"/>
      <c r="R749" s="1"/>
      <c r="S749" s="1"/>
      <c r="T749" s="1"/>
      <c r="U749" s="1"/>
      <c r="V749" s="1"/>
      <c r="W749" s="1"/>
      <c r="X749" s="1"/>
    </row>
    <row r="750" spans="1:24" ht="12.75" customHeight="1" x14ac:dyDescent="0.2">
      <c r="A750" s="1"/>
      <c r="B750" s="1"/>
      <c r="C750" s="89"/>
      <c r="D750" s="89"/>
      <c r="E750" s="93"/>
      <c r="F750" s="93"/>
      <c r="G750" s="105"/>
      <c r="H750" s="105"/>
      <c r="I750" s="1"/>
      <c r="J750" s="1"/>
      <c r="K750" s="1"/>
      <c r="L750" s="1"/>
      <c r="M750" s="1"/>
      <c r="N750" s="1"/>
      <c r="O750" s="1"/>
      <c r="P750" s="1"/>
      <c r="Q750" s="1"/>
      <c r="R750" s="1"/>
      <c r="S750" s="1"/>
      <c r="T750" s="1"/>
      <c r="U750" s="1"/>
      <c r="V750" s="1"/>
      <c r="W750" s="1"/>
      <c r="X750" s="1"/>
    </row>
    <row r="751" spans="1:24" ht="12.75" customHeight="1" x14ac:dyDescent="0.2">
      <c r="A751" s="1"/>
      <c r="B751" s="1"/>
      <c r="C751" s="89"/>
      <c r="D751" s="89"/>
      <c r="E751" s="93"/>
      <c r="F751" s="93"/>
      <c r="G751" s="105"/>
      <c r="H751" s="105"/>
      <c r="I751" s="1"/>
      <c r="J751" s="1"/>
      <c r="K751" s="1"/>
      <c r="L751" s="1"/>
      <c r="M751" s="1"/>
      <c r="N751" s="1"/>
      <c r="O751" s="1"/>
      <c r="P751" s="1"/>
      <c r="Q751" s="1"/>
      <c r="R751" s="1"/>
      <c r="S751" s="1"/>
      <c r="T751" s="1"/>
      <c r="U751" s="1"/>
      <c r="V751" s="1"/>
      <c r="W751" s="1"/>
      <c r="X751" s="1"/>
    </row>
    <row r="752" spans="1:24" ht="12.75" customHeight="1" x14ac:dyDescent="0.2">
      <c r="A752" s="1"/>
      <c r="B752" s="1"/>
      <c r="C752" s="89"/>
      <c r="D752" s="89"/>
      <c r="E752" s="93"/>
      <c r="F752" s="93"/>
      <c r="G752" s="105"/>
      <c r="H752" s="105"/>
      <c r="I752" s="1"/>
      <c r="J752" s="1"/>
      <c r="K752" s="1"/>
      <c r="L752" s="1"/>
      <c r="M752" s="1"/>
      <c r="N752" s="1"/>
      <c r="O752" s="1"/>
      <c r="P752" s="1"/>
      <c r="Q752" s="1"/>
      <c r="R752" s="1"/>
      <c r="S752" s="1"/>
      <c r="T752" s="1"/>
      <c r="U752" s="1"/>
      <c r="V752" s="1"/>
      <c r="W752" s="1"/>
      <c r="X752" s="1"/>
    </row>
    <row r="753" spans="1:24" ht="12.75" customHeight="1" x14ac:dyDescent="0.2">
      <c r="A753" s="1"/>
      <c r="B753" s="1"/>
      <c r="C753" s="89"/>
      <c r="D753" s="89"/>
      <c r="E753" s="93"/>
      <c r="F753" s="93"/>
      <c r="G753" s="105"/>
      <c r="H753" s="105"/>
      <c r="I753" s="1"/>
      <c r="J753" s="1"/>
      <c r="K753" s="1"/>
      <c r="L753" s="1"/>
      <c r="M753" s="1"/>
      <c r="N753" s="1"/>
      <c r="O753" s="1"/>
      <c r="P753" s="1"/>
      <c r="Q753" s="1"/>
      <c r="R753" s="1"/>
      <c r="S753" s="1"/>
      <c r="T753" s="1"/>
      <c r="U753" s="1"/>
      <c r="V753" s="1"/>
      <c r="W753" s="1"/>
      <c r="X753" s="1"/>
    </row>
    <row r="754" spans="1:24" ht="12.75" customHeight="1" x14ac:dyDescent="0.2">
      <c r="A754" s="1"/>
      <c r="B754" s="1"/>
      <c r="C754" s="89"/>
      <c r="D754" s="89"/>
      <c r="E754" s="93"/>
      <c r="F754" s="93"/>
      <c r="G754" s="105"/>
      <c r="H754" s="105"/>
      <c r="I754" s="1"/>
      <c r="J754" s="1"/>
      <c r="K754" s="1"/>
      <c r="L754" s="1"/>
      <c r="M754" s="1"/>
      <c r="N754" s="1"/>
      <c r="O754" s="1"/>
      <c r="P754" s="1"/>
      <c r="Q754" s="1"/>
      <c r="R754" s="1"/>
      <c r="S754" s="1"/>
      <c r="T754" s="1"/>
      <c r="U754" s="1"/>
      <c r="V754" s="1"/>
      <c r="W754" s="1"/>
      <c r="X754" s="1"/>
    </row>
    <row r="755" spans="1:24" ht="12.75" customHeight="1" x14ac:dyDescent="0.2">
      <c r="A755" s="1"/>
      <c r="B755" s="1"/>
      <c r="C755" s="89"/>
      <c r="D755" s="89"/>
      <c r="E755" s="93"/>
      <c r="F755" s="93"/>
      <c r="G755" s="105"/>
      <c r="H755" s="105"/>
      <c r="I755" s="1"/>
      <c r="J755" s="1"/>
      <c r="K755" s="1"/>
      <c r="L755" s="1"/>
      <c r="M755" s="1"/>
      <c r="N755" s="1"/>
      <c r="O755" s="1"/>
      <c r="P755" s="1"/>
      <c r="Q755" s="1"/>
      <c r="R755" s="1"/>
      <c r="S755" s="1"/>
      <c r="T755" s="1"/>
      <c r="U755" s="1"/>
      <c r="V755" s="1"/>
      <c r="W755" s="1"/>
      <c r="X755" s="1"/>
    </row>
    <row r="756" spans="1:24" ht="12.75" customHeight="1" x14ac:dyDescent="0.2">
      <c r="A756" s="1"/>
      <c r="B756" s="1"/>
      <c r="C756" s="89"/>
      <c r="D756" s="89"/>
      <c r="E756" s="93"/>
      <c r="F756" s="93"/>
      <c r="G756" s="105"/>
      <c r="H756" s="105"/>
      <c r="I756" s="1"/>
      <c r="J756" s="1"/>
      <c r="K756" s="1"/>
      <c r="L756" s="1"/>
      <c r="M756" s="1"/>
      <c r="N756" s="1"/>
      <c r="O756" s="1"/>
      <c r="P756" s="1"/>
      <c r="Q756" s="1"/>
      <c r="R756" s="1"/>
      <c r="S756" s="1"/>
      <c r="T756" s="1"/>
      <c r="U756" s="1"/>
      <c r="V756" s="1"/>
      <c r="W756" s="1"/>
      <c r="X756" s="1"/>
    </row>
    <row r="757" spans="1:24" ht="12.75" customHeight="1" x14ac:dyDescent="0.2">
      <c r="A757" s="1"/>
      <c r="B757" s="1"/>
      <c r="C757" s="89"/>
      <c r="D757" s="89"/>
      <c r="E757" s="93"/>
      <c r="F757" s="93"/>
      <c r="G757" s="105"/>
      <c r="H757" s="105"/>
      <c r="I757" s="1"/>
      <c r="J757" s="1"/>
      <c r="K757" s="1"/>
      <c r="L757" s="1"/>
      <c r="M757" s="1"/>
      <c r="N757" s="1"/>
      <c r="O757" s="1"/>
      <c r="P757" s="1"/>
      <c r="Q757" s="1"/>
      <c r="R757" s="1"/>
      <c r="S757" s="1"/>
      <c r="T757" s="1"/>
      <c r="U757" s="1"/>
      <c r="V757" s="1"/>
      <c r="W757" s="1"/>
      <c r="X757" s="1"/>
    </row>
    <row r="758" spans="1:24" ht="12.75" customHeight="1" x14ac:dyDescent="0.2">
      <c r="A758" s="1"/>
      <c r="B758" s="1"/>
      <c r="C758" s="89"/>
      <c r="D758" s="89"/>
      <c r="E758" s="93"/>
      <c r="F758" s="93"/>
      <c r="G758" s="105"/>
      <c r="H758" s="105"/>
      <c r="I758" s="1"/>
      <c r="J758" s="1"/>
      <c r="K758" s="1"/>
      <c r="L758" s="1"/>
      <c r="M758" s="1"/>
      <c r="N758" s="1"/>
      <c r="O758" s="1"/>
      <c r="P758" s="1"/>
      <c r="Q758" s="1"/>
      <c r="R758" s="1"/>
      <c r="S758" s="1"/>
      <c r="T758" s="1"/>
      <c r="U758" s="1"/>
      <c r="V758" s="1"/>
      <c r="W758" s="1"/>
      <c r="X758" s="1"/>
    </row>
    <row r="759" spans="1:24" ht="12.75" customHeight="1" x14ac:dyDescent="0.2">
      <c r="A759" s="1"/>
      <c r="B759" s="1"/>
      <c r="C759" s="89"/>
      <c r="D759" s="89"/>
      <c r="E759" s="93"/>
      <c r="F759" s="93"/>
      <c r="G759" s="105"/>
      <c r="H759" s="105"/>
      <c r="I759" s="1"/>
      <c r="J759" s="1"/>
      <c r="K759" s="1"/>
      <c r="L759" s="1"/>
      <c r="M759" s="1"/>
      <c r="N759" s="1"/>
      <c r="O759" s="1"/>
      <c r="P759" s="1"/>
      <c r="Q759" s="1"/>
      <c r="R759" s="1"/>
      <c r="S759" s="1"/>
      <c r="T759" s="1"/>
      <c r="U759" s="1"/>
      <c r="V759" s="1"/>
      <c r="W759" s="1"/>
      <c r="X759" s="1"/>
    </row>
    <row r="760" spans="1:24" ht="12.75" customHeight="1" x14ac:dyDescent="0.2">
      <c r="A760" s="1"/>
      <c r="B760" s="1"/>
      <c r="C760" s="89"/>
      <c r="D760" s="89"/>
      <c r="E760" s="93"/>
      <c r="F760" s="93"/>
      <c r="G760" s="105"/>
      <c r="H760" s="105"/>
      <c r="I760" s="1"/>
      <c r="J760" s="1"/>
      <c r="K760" s="1"/>
      <c r="L760" s="1"/>
      <c r="M760" s="1"/>
      <c r="N760" s="1"/>
      <c r="O760" s="1"/>
      <c r="P760" s="1"/>
      <c r="Q760" s="1"/>
      <c r="R760" s="1"/>
      <c r="S760" s="1"/>
      <c r="T760" s="1"/>
      <c r="U760" s="1"/>
      <c r="V760" s="1"/>
      <c r="W760" s="1"/>
      <c r="X760" s="1"/>
    </row>
    <row r="761" spans="1:24" ht="12.75" customHeight="1" x14ac:dyDescent="0.2">
      <c r="A761" s="1"/>
      <c r="B761" s="1"/>
      <c r="C761" s="89"/>
      <c r="D761" s="89"/>
      <c r="E761" s="93"/>
      <c r="F761" s="93"/>
      <c r="G761" s="105"/>
      <c r="H761" s="105"/>
      <c r="I761" s="1"/>
      <c r="J761" s="1"/>
      <c r="K761" s="1"/>
      <c r="L761" s="1"/>
      <c r="M761" s="1"/>
      <c r="N761" s="1"/>
      <c r="O761" s="1"/>
      <c r="P761" s="1"/>
      <c r="Q761" s="1"/>
      <c r="R761" s="1"/>
      <c r="S761" s="1"/>
      <c r="T761" s="1"/>
      <c r="U761" s="1"/>
      <c r="V761" s="1"/>
      <c r="W761" s="1"/>
      <c r="X761" s="1"/>
    </row>
    <row r="762" spans="1:24" ht="12.75" customHeight="1" x14ac:dyDescent="0.2">
      <c r="A762" s="1"/>
      <c r="B762" s="1"/>
      <c r="C762" s="89"/>
      <c r="D762" s="89"/>
      <c r="E762" s="93"/>
      <c r="F762" s="93"/>
      <c r="G762" s="105"/>
      <c r="H762" s="105"/>
      <c r="I762" s="1"/>
      <c r="J762" s="1"/>
      <c r="K762" s="1"/>
      <c r="L762" s="1"/>
      <c r="M762" s="1"/>
      <c r="N762" s="1"/>
      <c r="O762" s="1"/>
      <c r="P762" s="1"/>
      <c r="Q762" s="1"/>
      <c r="R762" s="1"/>
      <c r="S762" s="1"/>
      <c r="T762" s="1"/>
      <c r="U762" s="1"/>
      <c r="V762" s="1"/>
      <c r="W762" s="1"/>
      <c r="X762" s="1"/>
    </row>
    <row r="763" spans="1:24" ht="12.75" customHeight="1" x14ac:dyDescent="0.2">
      <c r="A763" s="1"/>
      <c r="B763" s="1"/>
      <c r="C763" s="89"/>
      <c r="D763" s="89"/>
      <c r="E763" s="93"/>
      <c r="F763" s="93"/>
      <c r="G763" s="105"/>
      <c r="H763" s="105"/>
      <c r="I763" s="1"/>
      <c r="J763" s="1"/>
      <c r="K763" s="1"/>
      <c r="L763" s="1"/>
      <c r="M763" s="1"/>
      <c r="N763" s="1"/>
      <c r="O763" s="1"/>
      <c r="P763" s="1"/>
      <c r="Q763" s="1"/>
      <c r="R763" s="1"/>
      <c r="S763" s="1"/>
      <c r="T763" s="1"/>
      <c r="U763" s="1"/>
      <c r="V763" s="1"/>
      <c r="W763" s="1"/>
      <c r="X763" s="1"/>
    </row>
    <row r="764" spans="1:24" ht="12.75" customHeight="1" x14ac:dyDescent="0.2">
      <c r="A764" s="1"/>
      <c r="B764" s="1"/>
      <c r="C764" s="89"/>
      <c r="D764" s="89"/>
      <c r="E764" s="93"/>
      <c r="F764" s="93"/>
      <c r="G764" s="105"/>
      <c r="H764" s="105"/>
      <c r="I764" s="1"/>
      <c r="J764" s="1"/>
      <c r="K764" s="1"/>
      <c r="L764" s="1"/>
      <c r="M764" s="1"/>
      <c r="N764" s="1"/>
      <c r="O764" s="1"/>
      <c r="P764" s="1"/>
      <c r="Q764" s="1"/>
      <c r="R764" s="1"/>
      <c r="S764" s="1"/>
      <c r="T764" s="1"/>
      <c r="U764" s="1"/>
      <c r="V764" s="1"/>
      <c r="W764" s="1"/>
      <c r="X764" s="1"/>
    </row>
    <row r="765" spans="1:24" ht="12.75" customHeight="1" x14ac:dyDescent="0.2">
      <c r="A765" s="1"/>
      <c r="B765" s="1"/>
      <c r="C765" s="89"/>
      <c r="D765" s="89"/>
      <c r="E765" s="93"/>
      <c r="F765" s="93"/>
      <c r="G765" s="105"/>
      <c r="H765" s="105"/>
      <c r="I765" s="1"/>
      <c r="J765" s="1"/>
      <c r="K765" s="1"/>
      <c r="L765" s="1"/>
      <c r="M765" s="1"/>
      <c r="N765" s="1"/>
      <c r="O765" s="1"/>
      <c r="P765" s="1"/>
      <c r="Q765" s="1"/>
      <c r="R765" s="1"/>
      <c r="S765" s="1"/>
      <c r="T765" s="1"/>
      <c r="U765" s="1"/>
      <c r="V765" s="1"/>
      <c r="W765" s="1"/>
      <c r="X765" s="1"/>
    </row>
    <row r="766" spans="1:24" ht="12.75" customHeight="1" x14ac:dyDescent="0.2">
      <c r="A766" s="1"/>
      <c r="B766" s="1"/>
      <c r="C766" s="89"/>
      <c r="D766" s="89"/>
      <c r="E766" s="93"/>
      <c r="F766" s="93"/>
      <c r="G766" s="105"/>
      <c r="H766" s="105"/>
      <c r="I766" s="1"/>
      <c r="J766" s="1"/>
      <c r="K766" s="1"/>
      <c r="L766" s="1"/>
      <c r="M766" s="1"/>
      <c r="N766" s="1"/>
      <c r="O766" s="1"/>
      <c r="P766" s="1"/>
      <c r="Q766" s="1"/>
      <c r="R766" s="1"/>
      <c r="S766" s="1"/>
      <c r="T766" s="1"/>
      <c r="U766" s="1"/>
      <c r="V766" s="1"/>
      <c r="W766" s="1"/>
      <c r="X766" s="1"/>
    </row>
    <row r="767" spans="1:24" ht="12.75" customHeight="1" x14ac:dyDescent="0.2">
      <c r="A767" s="1"/>
      <c r="B767" s="1"/>
      <c r="C767" s="89"/>
      <c r="D767" s="89"/>
      <c r="E767" s="93"/>
      <c r="F767" s="93"/>
      <c r="G767" s="105"/>
      <c r="H767" s="105"/>
      <c r="I767" s="1"/>
      <c r="J767" s="1"/>
      <c r="K767" s="1"/>
      <c r="L767" s="1"/>
      <c r="M767" s="1"/>
      <c r="N767" s="1"/>
      <c r="O767" s="1"/>
      <c r="P767" s="1"/>
      <c r="Q767" s="1"/>
      <c r="R767" s="1"/>
      <c r="S767" s="1"/>
      <c r="T767" s="1"/>
      <c r="U767" s="1"/>
      <c r="V767" s="1"/>
      <c r="W767" s="1"/>
      <c r="X767" s="1"/>
    </row>
    <row r="768" spans="1:24" ht="12.75" customHeight="1" x14ac:dyDescent="0.2">
      <c r="A768" s="1"/>
      <c r="B768" s="1"/>
      <c r="C768" s="89"/>
      <c r="D768" s="89"/>
      <c r="E768" s="93"/>
      <c r="F768" s="93"/>
      <c r="G768" s="105"/>
      <c r="H768" s="105"/>
      <c r="I768" s="1"/>
      <c r="J768" s="1"/>
      <c r="K768" s="1"/>
      <c r="L768" s="1"/>
      <c r="M768" s="1"/>
      <c r="N768" s="1"/>
      <c r="O768" s="1"/>
      <c r="P768" s="1"/>
      <c r="Q768" s="1"/>
      <c r="R768" s="1"/>
      <c r="S768" s="1"/>
      <c r="T768" s="1"/>
      <c r="U768" s="1"/>
      <c r="V768" s="1"/>
      <c r="W768" s="1"/>
      <c r="X768" s="1"/>
    </row>
    <row r="769" spans="1:24" ht="12.75" customHeight="1" x14ac:dyDescent="0.2">
      <c r="A769" s="1"/>
      <c r="B769" s="1"/>
      <c r="C769" s="89"/>
      <c r="D769" s="89"/>
      <c r="E769" s="93"/>
      <c r="F769" s="93"/>
      <c r="G769" s="105"/>
      <c r="H769" s="105"/>
      <c r="I769" s="1"/>
      <c r="J769" s="1"/>
      <c r="K769" s="1"/>
      <c r="L769" s="1"/>
      <c r="M769" s="1"/>
      <c r="N769" s="1"/>
      <c r="O769" s="1"/>
      <c r="P769" s="1"/>
      <c r="Q769" s="1"/>
      <c r="R769" s="1"/>
      <c r="S769" s="1"/>
      <c r="T769" s="1"/>
      <c r="U769" s="1"/>
      <c r="V769" s="1"/>
      <c r="W769" s="1"/>
      <c r="X769" s="1"/>
    </row>
    <row r="770" spans="1:24" ht="12.75" customHeight="1" x14ac:dyDescent="0.2">
      <c r="A770" s="1"/>
      <c r="B770" s="1"/>
      <c r="C770" s="89"/>
      <c r="D770" s="89"/>
      <c r="E770" s="93"/>
      <c r="F770" s="93"/>
      <c r="G770" s="105"/>
      <c r="H770" s="105"/>
      <c r="I770" s="1"/>
      <c r="J770" s="1"/>
      <c r="K770" s="1"/>
      <c r="L770" s="1"/>
      <c r="M770" s="1"/>
      <c r="N770" s="1"/>
      <c r="O770" s="1"/>
      <c r="P770" s="1"/>
      <c r="Q770" s="1"/>
      <c r="R770" s="1"/>
      <c r="S770" s="1"/>
      <c r="T770" s="1"/>
      <c r="U770" s="1"/>
      <c r="V770" s="1"/>
      <c r="W770" s="1"/>
      <c r="X770" s="1"/>
    </row>
    <row r="771" spans="1:24" ht="12.75" customHeight="1" x14ac:dyDescent="0.2">
      <c r="A771" s="1"/>
      <c r="B771" s="1"/>
      <c r="C771" s="89"/>
      <c r="D771" s="89"/>
      <c r="E771" s="93"/>
      <c r="F771" s="93"/>
      <c r="G771" s="105"/>
      <c r="H771" s="105"/>
      <c r="I771" s="1"/>
      <c r="J771" s="1"/>
      <c r="K771" s="1"/>
      <c r="L771" s="1"/>
      <c r="M771" s="1"/>
      <c r="N771" s="1"/>
      <c r="O771" s="1"/>
      <c r="P771" s="1"/>
      <c r="Q771" s="1"/>
      <c r="R771" s="1"/>
      <c r="S771" s="1"/>
      <c r="T771" s="1"/>
      <c r="U771" s="1"/>
      <c r="V771" s="1"/>
      <c r="W771" s="1"/>
      <c r="X771" s="1"/>
    </row>
    <row r="772" spans="1:24" ht="12.75" customHeight="1" x14ac:dyDescent="0.2">
      <c r="A772" s="1"/>
      <c r="B772" s="1"/>
      <c r="C772" s="89"/>
      <c r="D772" s="89"/>
      <c r="E772" s="93"/>
      <c r="F772" s="93"/>
      <c r="G772" s="105"/>
      <c r="H772" s="105"/>
      <c r="I772" s="1"/>
      <c r="J772" s="1"/>
      <c r="K772" s="1"/>
      <c r="L772" s="1"/>
      <c r="M772" s="1"/>
      <c r="N772" s="1"/>
      <c r="O772" s="1"/>
      <c r="P772" s="1"/>
      <c r="Q772" s="1"/>
      <c r="R772" s="1"/>
      <c r="S772" s="1"/>
      <c r="T772" s="1"/>
      <c r="U772" s="1"/>
      <c r="V772" s="1"/>
      <c r="W772" s="1"/>
      <c r="X772" s="1"/>
    </row>
    <row r="773" spans="1:24" ht="12.75" customHeight="1" x14ac:dyDescent="0.2">
      <c r="A773" s="1"/>
      <c r="B773" s="1"/>
      <c r="C773" s="89"/>
      <c r="D773" s="89"/>
      <c r="E773" s="93"/>
      <c r="F773" s="93"/>
      <c r="G773" s="105"/>
      <c r="H773" s="105"/>
      <c r="I773" s="1"/>
      <c r="J773" s="1"/>
      <c r="K773" s="1"/>
      <c r="L773" s="1"/>
      <c r="M773" s="1"/>
      <c r="N773" s="1"/>
      <c r="O773" s="1"/>
      <c r="P773" s="1"/>
      <c r="Q773" s="1"/>
      <c r="R773" s="1"/>
      <c r="S773" s="1"/>
      <c r="T773" s="1"/>
      <c r="U773" s="1"/>
      <c r="V773" s="1"/>
      <c r="W773" s="1"/>
      <c r="X773" s="1"/>
    </row>
    <row r="774" spans="1:24" ht="12.75" customHeight="1" x14ac:dyDescent="0.2">
      <c r="A774" s="1"/>
      <c r="B774" s="1"/>
      <c r="C774" s="89"/>
      <c r="D774" s="89"/>
      <c r="E774" s="93"/>
      <c r="F774" s="93"/>
      <c r="G774" s="105"/>
      <c r="H774" s="105"/>
      <c r="I774" s="1"/>
      <c r="J774" s="1"/>
      <c r="K774" s="1"/>
      <c r="L774" s="1"/>
      <c r="M774" s="1"/>
      <c r="N774" s="1"/>
      <c r="O774" s="1"/>
      <c r="P774" s="1"/>
      <c r="Q774" s="1"/>
      <c r="R774" s="1"/>
      <c r="S774" s="1"/>
      <c r="T774" s="1"/>
      <c r="U774" s="1"/>
      <c r="V774" s="1"/>
      <c r="W774" s="1"/>
      <c r="X774" s="1"/>
    </row>
    <row r="775" spans="1:24" ht="12.75" customHeight="1" x14ac:dyDescent="0.2">
      <c r="A775" s="1"/>
      <c r="B775" s="1"/>
      <c r="C775" s="89"/>
      <c r="D775" s="89"/>
      <c r="E775" s="93"/>
      <c r="F775" s="93"/>
      <c r="G775" s="105"/>
      <c r="H775" s="105"/>
      <c r="I775" s="1"/>
      <c r="J775" s="1"/>
      <c r="K775" s="1"/>
      <c r="L775" s="1"/>
      <c r="M775" s="1"/>
      <c r="N775" s="1"/>
      <c r="O775" s="1"/>
      <c r="P775" s="1"/>
      <c r="Q775" s="1"/>
      <c r="R775" s="1"/>
      <c r="S775" s="1"/>
      <c r="T775" s="1"/>
      <c r="U775" s="1"/>
      <c r="V775" s="1"/>
      <c r="W775" s="1"/>
      <c r="X775" s="1"/>
    </row>
    <row r="776" spans="1:24" ht="12.75" customHeight="1" x14ac:dyDescent="0.2">
      <c r="A776" s="1"/>
      <c r="B776" s="1"/>
      <c r="C776" s="89"/>
      <c r="D776" s="89"/>
      <c r="E776" s="93"/>
      <c r="F776" s="93"/>
      <c r="G776" s="105"/>
      <c r="H776" s="105"/>
      <c r="I776" s="1"/>
      <c r="J776" s="1"/>
      <c r="K776" s="1"/>
      <c r="L776" s="1"/>
      <c r="M776" s="1"/>
      <c r="N776" s="1"/>
      <c r="O776" s="1"/>
      <c r="P776" s="1"/>
      <c r="Q776" s="1"/>
      <c r="R776" s="1"/>
      <c r="S776" s="1"/>
      <c r="T776" s="1"/>
      <c r="U776" s="1"/>
      <c r="V776" s="1"/>
      <c r="W776" s="1"/>
      <c r="X776" s="1"/>
    </row>
    <row r="777" spans="1:24" ht="12.75" customHeight="1" x14ac:dyDescent="0.2">
      <c r="A777" s="1"/>
      <c r="B777" s="1"/>
      <c r="C777" s="89"/>
      <c r="D777" s="89"/>
      <c r="E777" s="93"/>
      <c r="F777" s="93"/>
      <c r="G777" s="105"/>
      <c r="H777" s="105"/>
      <c r="I777" s="1"/>
      <c r="J777" s="1"/>
      <c r="K777" s="1"/>
      <c r="L777" s="1"/>
      <c r="M777" s="1"/>
      <c r="N777" s="1"/>
      <c r="O777" s="1"/>
      <c r="P777" s="1"/>
      <c r="Q777" s="1"/>
      <c r="R777" s="1"/>
      <c r="S777" s="1"/>
      <c r="T777" s="1"/>
      <c r="U777" s="1"/>
      <c r="V777" s="1"/>
      <c r="W777" s="1"/>
      <c r="X777" s="1"/>
    </row>
    <row r="778" spans="1:24" ht="12.75" customHeight="1" x14ac:dyDescent="0.2">
      <c r="A778" s="1"/>
      <c r="B778" s="1"/>
      <c r="C778" s="89"/>
      <c r="D778" s="89"/>
      <c r="E778" s="93"/>
      <c r="F778" s="93"/>
      <c r="G778" s="105"/>
      <c r="H778" s="105"/>
      <c r="I778" s="1"/>
      <c r="J778" s="1"/>
      <c r="K778" s="1"/>
      <c r="L778" s="1"/>
      <c r="M778" s="1"/>
      <c r="N778" s="1"/>
      <c r="O778" s="1"/>
      <c r="P778" s="1"/>
      <c r="Q778" s="1"/>
      <c r="R778" s="1"/>
      <c r="S778" s="1"/>
      <c r="T778" s="1"/>
      <c r="U778" s="1"/>
      <c r="V778" s="1"/>
      <c r="W778" s="1"/>
      <c r="X778" s="1"/>
    </row>
    <row r="779" spans="1:24" ht="12.75" customHeight="1" x14ac:dyDescent="0.2">
      <c r="A779" s="1"/>
      <c r="B779" s="1"/>
      <c r="C779" s="89"/>
      <c r="D779" s="89"/>
      <c r="E779" s="93"/>
      <c r="F779" s="93"/>
      <c r="G779" s="105"/>
      <c r="H779" s="105"/>
      <c r="I779" s="1"/>
      <c r="J779" s="1"/>
      <c r="K779" s="1"/>
      <c r="L779" s="1"/>
      <c r="M779" s="1"/>
      <c r="N779" s="1"/>
      <c r="O779" s="1"/>
      <c r="P779" s="1"/>
      <c r="Q779" s="1"/>
      <c r="R779" s="1"/>
      <c r="S779" s="1"/>
      <c r="T779" s="1"/>
      <c r="U779" s="1"/>
      <c r="V779" s="1"/>
      <c r="W779" s="1"/>
      <c r="X779" s="1"/>
    </row>
    <row r="780" spans="1:24" ht="12.75" customHeight="1" x14ac:dyDescent="0.2">
      <c r="A780" s="1"/>
      <c r="B780" s="1"/>
      <c r="C780" s="89"/>
      <c r="D780" s="89"/>
      <c r="E780" s="93"/>
      <c r="F780" s="93"/>
      <c r="G780" s="105"/>
      <c r="H780" s="105"/>
      <c r="I780" s="1"/>
      <c r="J780" s="1"/>
      <c r="K780" s="1"/>
      <c r="L780" s="1"/>
      <c r="M780" s="1"/>
      <c r="N780" s="1"/>
      <c r="O780" s="1"/>
      <c r="P780" s="1"/>
      <c r="Q780" s="1"/>
      <c r="R780" s="1"/>
      <c r="S780" s="1"/>
      <c r="T780" s="1"/>
      <c r="U780" s="1"/>
      <c r="V780" s="1"/>
      <c r="W780" s="1"/>
      <c r="X780" s="1"/>
    </row>
    <row r="781" spans="1:24" ht="12.75" customHeight="1" x14ac:dyDescent="0.2">
      <c r="A781" s="1"/>
      <c r="B781" s="1"/>
      <c r="C781" s="89"/>
      <c r="D781" s="89"/>
      <c r="E781" s="93"/>
      <c r="F781" s="93"/>
      <c r="G781" s="105"/>
      <c r="H781" s="105"/>
      <c r="I781" s="1"/>
      <c r="J781" s="1"/>
      <c r="K781" s="1"/>
      <c r="L781" s="1"/>
      <c r="M781" s="1"/>
      <c r="N781" s="1"/>
      <c r="O781" s="1"/>
      <c r="P781" s="1"/>
      <c r="Q781" s="1"/>
      <c r="R781" s="1"/>
      <c r="S781" s="1"/>
      <c r="T781" s="1"/>
      <c r="U781" s="1"/>
      <c r="V781" s="1"/>
      <c r="W781" s="1"/>
      <c r="X781" s="1"/>
    </row>
    <row r="782" spans="1:24" ht="12.75" customHeight="1" x14ac:dyDescent="0.2">
      <c r="A782" s="1"/>
      <c r="B782" s="1"/>
      <c r="C782" s="89"/>
      <c r="D782" s="89"/>
      <c r="E782" s="93"/>
      <c r="F782" s="93"/>
      <c r="G782" s="105"/>
      <c r="H782" s="105"/>
      <c r="I782" s="1"/>
      <c r="J782" s="1"/>
      <c r="K782" s="1"/>
      <c r="L782" s="1"/>
      <c r="M782" s="1"/>
      <c r="N782" s="1"/>
      <c r="O782" s="1"/>
      <c r="P782" s="1"/>
      <c r="Q782" s="1"/>
      <c r="R782" s="1"/>
      <c r="S782" s="1"/>
      <c r="T782" s="1"/>
      <c r="U782" s="1"/>
      <c r="V782" s="1"/>
      <c r="W782" s="1"/>
      <c r="X782" s="1"/>
    </row>
    <row r="783" spans="1:24" ht="12.75" customHeight="1" x14ac:dyDescent="0.2">
      <c r="A783" s="1"/>
      <c r="B783" s="1"/>
      <c r="C783" s="89"/>
      <c r="D783" s="89"/>
      <c r="E783" s="93"/>
      <c r="F783" s="93"/>
      <c r="G783" s="105"/>
      <c r="H783" s="105"/>
      <c r="I783" s="1"/>
      <c r="J783" s="1"/>
      <c r="K783" s="1"/>
      <c r="L783" s="1"/>
      <c r="M783" s="1"/>
      <c r="N783" s="1"/>
      <c r="O783" s="1"/>
      <c r="P783" s="1"/>
      <c r="Q783" s="1"/>
      <c r="R783" s="1"/>
      <c r="S783" s="1"/>
      <c r="T783" s="1"/>
      <c r="U783" s="1"/>
      <c r="V783" s="1"/>
      <c r="W783" s="1"/>
      <c r="X783" s="1"/>
    </row>
    <row r="784" spans="1:24" ht="12.75" customHeight="1" x14ac:dyDescent="0.2">
      <c r="A784" s="1"/>
      <c r="B784" s="1"/>
      <c r="C784" s="89"/>
      <c r="D784" s="89"/>
      <c r="E784" s="93"/>
      <c r="F784" s="93"/>
      <c r="G784" s="105"/>
      <c r="H784" s="105"/>
      <c r="I784" s="1"/>
      <c r="J784" s="1"/>
      <c r="K784" s="1"/>
      <c r="L784" s="1"/>
      <c r="M784" s="1"/>
      <c r="N784" s="1"/>
      <c r="O784" s="1"/>
      <c r="P784" s="1"/>
      <c r="Q784" s="1"/>
      <c r="R784" s="1"/>
      <c r="S784" s="1"/>
      <c r="T784" s="1"/>
      <c r="U784" s="1"/>
      <c r="V784" s="1"/>
      <c r="W784" s="1"/>
      <c r="X784" s="1"/>
    </row>
    <row r="785" spans="1:24" ht="12.75" customHeight="1" x14ac:dyDescent="0.2">
      <c r="A785" s="1"/>
      <c r="B785" s="1"/>
      <c r="C785" s="89"/>
      <c r="D785" s="89"/>
      <c r="E785" s="93"/>
      <c r="F785" s="93"/>
      <c r="G785" s="105"/>
      <c r="H785" s="105"/>
      <c r="I785" s="1"/>
      <c r="J785" s="1"/>
      <c r="K785" s="1"/>
      <c r="L785" s="1"/>
      <c r="M785" s="1"/>
      <c r="N785" s="1"/>
      <c r="O785" s="1"/>
      <c r="P785" s="1"/>
      <c r="Q785" s="1"/>
      <c r="R785" s="1"/>
      <c r="S785" s="1"/>
      <c r="T785" s="1"/>
      <c r="U785" s="1"/>
      <c r="V785" s="1"/>
      <c r="W785" s="1"/>
      <c r="X785" s="1"/>
    </row>
    <row r="786" spans="1:24" ht="12.75" customHeight="1" x14ac:dyDescent="0.2">
      <c r="A786" s="1"/>
      <c r="B786" s="1"/>
      <c r="C786" s="89"/>
      <c r="D786" s="89"/>
      <c r="E786" s="93"/>
      <c r="F786" s="93"/>
      <c r="G786" s="105"/>
      <c r="H786" s="105"/>
      <c r="I786" s="1"/>
      <c r="J786" s="1"/>
      <c r="K786" s="1"/>
      <c r="L786" s="1"/>
      <c r="M786" s="1"/>
      <c r="N786" s="1"/>
      <c r="O786" s="1"/>
      <c r="P786" s="1"/>
      <c r="Q786" s="1"/>
      <c r="R786" s="1"/>
      <c r="S786" s="1"/>
      <c r="T786" s="1"/>
      <c r="U786" s="1"/>
      <c r="V786" s="1"/>
      <c r="W786" s="1"/>
      <c r="X786" s="1"/>
    </row>
    <row r="787" spans="1:24" ht="12.75" customHeight="1" x14ac:dyDescent="0.2">
      <c r="A787" s="1"/>
      <c r="B787" s="1"/>
      <c r="C787" s="89"/>
      <c r="D787" s="89"/>
      <c r="E787" s="93"/>
      <c r="F787" s="93"/>
      <c r="G787" s="105"/>
      <c r="H787" s="105"/>
      <c r="I787" s="1"/>
      <c r="J787" s="1"/>
      <c r="K787" s="1"/>
      <c r="L787" s="1"/>
      <c r="M787" s="1"/>
      <c r="N787" s="1"/>
      <c r="O787" s="1"/>
      <c r="P787" s="1"/>
      <c r="Q787" s="1"/>
      <c r="R787" s="1"/>
      <c r="S787" s="1"/>
      <c r="T787" s="1"/>
      <c r="U787" s="1"/>
      <c r="V787" s="1"/>
      <c r="W787" s="1"/>
      <c r="X787" s="1"/>
    </row>
    <row r="788" spans="1:24" ht="12.75" customHeight="1" x14ac:dyDescent="0.2">
      <c r="A788" s="1"/>
      <c r="B788" s="1"/>
      <c r="C788" s="89"/>
      <c r="D788" s="89"/>
      <c r="E788" s="93"/>
      <c r="F788" s="93"/>
      <c r="G788" s="105"/>
      <c r="H788" s="105"/>
      <c r="I788" s="1"/>
      <c r="J788" s="1"/>
      <c r="K788" s="1"/>
      <c r="L788" s="1"/>
      <c r="M788" s="1"/>
      <c r="N788" s="1"/>
      <c r="O788" s="1"/>
      <c r="P788" s="1"/>
      <c r="Q788" s="1"/>
      <c r="R788" s="1"/>
      <c r="S788" s="1"/>
      <c r="T788" s="1"/>
      <c r="U788" s="1"/>
      <c r="V788" s="1"/>
      <c r="W788" s="1"/>
      <c r="X788" s="1"/>
    </row>
    <row r="789" spans="1:24" ht="12.75" customHeight="1" x14ac:dyDescent="0.2">
      <c r="A789" s="1"/>
      <c r="B789" s="1"/>
      <c r="C789" s="89"/>
      <c r="D789" s="89"/>
      <c r="E789" s="93"/>
      <c r="F789" s="93"/>
      <c r="G789" s="105"/>
      <c r="H789" s="105"/>
      <c r="I789" s="1"/>
      <c r="J789" s="1"/>
      <c r="K789" s="1"/>
      <c r="L789" s="1"/>
      <c r="M789" s="1"/>
      <c r="N789" s="1"/>
      <c r="O789" s="1"/>
      <c r="P789" s="1"/>
      <c r="Q789" s="1"/>
      <c r="R789" s="1"/>
      <c r="S789" s="1"/>
      <c r="T789" s="1"/>
      <c r="U789" s="1"/>
      <c r="V789" s="1"/>
      <c r="W789" s="1"/>
      <c r="X789" s="1"/>
    </row>
    <row r="790" spans="1:24" ht="12.75" customHeight="1" x14ac:dyDescent="0.2">
      <c r="A790" s="1"/>
      <c r="B790" s="1"/>
      <c r="C790" s="89"/>
      <c r="D790" s="89"/>
      <c r="E790" s="93"/>
      <c r="F790" s="93"/>
      <c r="G790" s="105"/>
      <c r="H790" s="105"/>
      <c r="I790" s="1"/>
      <c r="J790" s="1"/>
      <c r="K790" s="1"/>
      <c r="L790" s="1"/>
      <c r="M790" s="1"/>
      <c r="N790" s="1"/>
      <c r="O790" s="1"/>
      <c r="P790" s="1"/>
      <c r="Q790" s="1"/>
      <c r="R790" s="1"/>
      <c r="S790" s="1"/>
      <c r="T790" s="1"/>
      <c r="U790" s="1"/>
      <c r="V790" s="1"/>
      <c r="W790" s="1"/>
      <c r="X790" s="1"/>
    </row>
    <row r="791" spans="1:24" ht="12.75" customHeight="1" x14ac:dyDescent="0.2">
      <c r="A791" s="1"/>
      <c r="B791" s="1"/>
      <c r="C791" s="89"/>
      <c r="D791" s="89"/>
      <c r="E791" s="93"/>
      <c r="F791" s="93"/>
      <c r="G791" s="105"/>
      <c r="H791" s="105"/>
      <c r="I791" s="1"/>
      <c r="J791" s="1"/>
      <c r="K791" s="1"/>
      <c r="L791" s="1"/>
      <c r="M791" s="1"/>
      <c r="N791" s="1"/>
      <c r="O791" s="1"/>
      <c r="P791" s="1"/>
      <c r="Q791" s="1"/>
      <c r="R791" s="1"/>
      <c r="S791" s="1"/>
      <c r="T791" s="1"/>
      <c r="U791" s="1"/>
      <c r="V791" s="1"/>
      <c r="W791" s="1"/>
      <c r="X791" s="1"/>
    </row>
    <row r="792" spans="1:24" ht="12.75" customHeight="1" x14ac:dyDescent="0.2">
      <c r="A792" s="1"/>
      <c r="B792" s="1"/>
      <c r="C792" s="89"/>
      <c r="D792" s="89"/>
      <c r="E792" s="93"/>
      <c r="F792" s="93"/>
      <c r="G792" s="105"/>
      <c r="H792" s="105"/>
      <c r="I792" s="1"/>
      <c r="J792" s="1"/>
      <c r="K792" s="1"/>
      <c r="L792" s="1"/>
      <c r="M792" s="1"/>
      <c r="N792" s="1"/>
      <c r="O792" s="1"/>
      <c r="P792" s="1"/>
      <c r="Q792" s="1"/>
      <c r="R792" s="1"/>
      <c r="S792" s="1"/>
      <c r="T792" s="1"/>
      <c r="U792" s="1"/>
      <c r="V792" s="1"/>
      <c r="W792" s="1"/>
      <c r="X792" s="1"/>
    </row>
    <row r="793" spans="1:24" ht="12.75" customHeight="1" x14ac:dyDescent="0.2">
      <c r="A793" s="1"/>
      <c r="B793" s="1"/>
      <c r="C793" s="89"/>
      <c r="D793" s="89"/>
      <c r="E793" s="93"/>
      <c r="F793" s="93"/>
      <c r="G793" s="105"/>
      <c r="H793" s="105"/>
      <c r="I793" s="1"/>
      <c r="J793" s="1"/>
      <c r="K793" s="1"/>
      <c r="L793" s="1"/>
      <c r="M793" s="1"/>
      <c r="N793" s="1"/>
      <c r="O793" s="1"/>
      <c r="P793" s="1"/>
      <c r="Q793" s="1"/>
      <c r="R793" s="1"/>
      <c r="S793" s="1"/>
      <c r="T793" s="1"/>
      <c r="U793" s="1"/>
      <c r="V793" s="1"/>
      <c r="W793" s="1"/>
      <c r="X793" s="1"/>
    </row>
    <row r="794" spans="1:24" ht="12.75" customHeight="1" x14ac:dyDescent="0.2">
      <c r="A794" s="1"/>
      <c r="B794" s="1"/>
      <c r="C794" s="89"/>
      <c r="D794" s="89"/>
      <c r="E794" s="93"/>
      <c r="F794" s="93"/>
      <c r="G794" s="105"/>
      <c r="H794" s="105"/>
      <c r="I794" s="1"/>
      <c r="J794" s="1"/>
      <c r="K794" s="1"/>
      <c r="L794" s="1"/>
      <c r="M794" s="1"/>
      <c r="N794" s="1"/>
      <c r="O794" s="1"/>
      <c r="P794" s="1"/>
      <c r="Q794" s="1"/>
      <c r="R794" s="1"/>
      <c r="S794" s="1"/>
      <c r="T794" s="1"/>
      <c r="U794" s="1"/>
      <c r="V794" s="1"/>
      <c r="W794" s="1"/>
      <c r="X794" s="1"/>
    </row>
    <row r="795" spans="1:24" ht="12.75" customHeight="1" x14ac:dyDescent="0.2">
      <c r="A795" s="1"/>
      <c r="B795" s="1"/>
      <c r="C795" s="89"/>
      <c r="D795" s="89"/>
      <c r="E795" s="93"/>
      <c r="F795" s="93"/>
      <c r="G795" s="105"/>
      <c r="H795" s="105"/>
      <c r="I795" s="1"/>
      <c r="J795" s="1"/>
      <c r="K795" s="1"/>
      <c r="L795" s="1"/>
      <c r="M795" s="1"/>
      <c r="N795" s="1"/>
      <c r="O795" s="1"/>
      <c r="P795" s="1"/>
      <c r="Q795" s="1"/>
      <c r="R795" s="1"/>
      <c r="S795" s="1"/>
      <c r="T795" s="1"/>
      <c r="U795" s="1"/>
      <c r="V795" s="1"/>
      <c r="W795" s="1"/>
      <c r="X795" s="1"/>
    </row>
    <row r="796" spans="1:24" ht="12.75" customHeight="1" x14ac:dyDescent="0.2">
      <c r="A796" s="1"/>
      <c r="B796" s="1"/>
      <c r="C796" s="89"/>
      <c r="D796" s="89"/>
      <c r="E796" s="93"/>
      <c r="F796" s="93"/>
      <c r="G796" s="105"/>
      <c r="H796" s="105"/>
      <c r="I796" s="1"/>
      <c r="J796" s="1"/>
      <c r="K796" s="1"/>
      <c r="L796" s="1"/>
      <c r="M796" s="1"/>
      <c r="N796" s="1"/>
      <c r="O796" s="1"/>
      <c r="P796" s="1"/>
      <c r="Q796" s="1"/>
      <c r="R796" s="1"/>
      <c r="S796" s="1"/>
      <c r="T796" s="1"/>
      <c r="U796" s="1"/>
      <c r="V796" s="1"/>
      <c r="W796" s="1"/>
      <c r="X796" s="1"/>
    </row>
    <row r="797" spans="1:24" ht="12.75" customHeight="1" x14ac:dyDescent="0.2">
      <c r="A797" s="1"/>
      <c r="B797" s="1"/>
      <c r="C797" s="89"/>
      <c r="D797" s="89"/>
      <c r="E797" s="93"/>
      <c r="F797" s="93"/>
      <c r="G797" s="105"/>
      <c r="H797" s="105"/>
      <c r="I797" s="1"/>
      <c r="J797" s="1"/>
      <c r="K797" s="1"/>
      <c r="L797" s="1"/>
      <c r="M797" s="1"/>
      <c r="N797" s="1"/>
      <c r="O797" s="1"/>
      <c r="P797" s="1"/>
      <c r="Q797" s="1"/>
      <c r="R797" s="1"/>
      <c r="S797" s="1"/>
      <c r="T797" s="1"/>
      <c r="U797" s="1"/>
      <c r="V797" s="1"/>
      <c r="W797" s="1"/>
      <c r="X797" s="1"/>
    </row>
    <row r="798" spans="1:24" ht="12.75" customHeight="1" x14ac:dyDescent="0.2">
      <c r="A798" s="1"/>
      <c r="B798" s="1"/>
      <c r="C798" s="89"/>
      <c r="D798" s="89"/>
      <c r="E798" s="93"/>
      <c r="F798" s="93"/>
      <c r="G798" s="105"/>
      <c r="H798" s="105"/>
      <c r="I798" s="1"/>
      <c r="J798" s="1"/>
      <c r="K798" s="1"/>
      <c r="L798" s="1"/>
      <c r="M798" s="1"/>
      <c r="N798" s="1"/>
      <c r="O798" s="1"/>
      <c r="P798" s="1"/>
      <c r="Q798" s="1"/>
      <c r="R798" s="1"/>
      <c r="S798" s="1"/>
      <c r="T798" s="1"/>
      <c r="U798" s="1"/>
      <c r="V798" s="1"/>
      <c r="W798" s="1"/>
      <c r="X798" s="1"/>
    </row>
    <row r="799" spans="1:24" ht="12.75" customHeight="1" x14ac:dyDescent="0.2">
      <c r="A799" s="1"/>
      <c r="B799" s="1"/>
      <c r="C799" s="89"/>
      <c r="D799" s="89"/>
      <c r="E799" s="93"/>
      <c r="F799" s="93"/>
      <c r="G799" s="105"/>
      <c r="H799" s="105"/>
      <c r="I799" s="1"/>
      <c r="J799" s="1"/>
      <c r="K799" s="1"/>
      <c r="L799" s="1"/>
      <c r="M799" s="1"/>
      <c r="N799" s="1"/>
      <c r="O799" s="1"/>
      <c r="P799" s="1"/>
      <c r="Q799" s="1"/>
      <c r="R799" s="1"/>
      <c r="S799" s="1"/>
      <c r="T799" s="1"/>
      <c r="U799" s="1"/>
      <c r="V799" s="1"/>
      <c r="W799" s="1"/>
      <c r="X799" s="1"/>
    </row>
    <row r="800" spans="1:24" ht="12.75" customHeight="1" x14ac:dyDescent="0.2">
      <c r="A800" s="1"/>
      <c r="B800" s="1"/>
      <c r="C800" s="89"/>
      <c r="D800" s="89"/>
      <c r="E800" s="93"/>
      <c r="F800" s="93"/>
      <c r="G800" s="105"/>
      <c r="H800" s="105"/>
      <c r="I800" s="1"/>
      <c r="J800" s="1"/>
      <c r="K800" s="1"/>
      <c r="L800" s="1"/>
      <c r="M800" s="1"/>
      <c r="N800" s="1"/>
      <c r="O800" s="1"/>
      <c r="P800" s="1"/>
      <c r="Q800" s="1"/>
      <c r="R800" s="1"/>
      <c r="S800" s="1"/>
      <c r="T800" s="1"/>
      <c r="U800" s="1"/>
      <c r="V800" s="1"/>
      <c r="W800" s="1"/>
      <c r="X800" s="1"/>
    </row>
    <row r="801" spans="1:24" ht="12.75" customHeight="1" x14ac:dyDescent="0.2">
      <c r="A801" s="1"/>
      <c r="B801" s="1"/>
      <c r="C801" s="89"/>
      <c r="D801" s="89"/>
      <c r="E801" s="93"/>
      <c r="F801" s="93"/>
      <c r="G801" s="105"/>
      <c r="H801" s="105"/>
      <c r="I801" s="1"/>
      <c r="J801" s="1"/>
      <c r="K801" s="1"/>
      <c r="L801" s="1"/>
      <c r="M801" s="1"/>
      <c r="N801" s="1"/>
      <c r="O801" s="1"/>
      <c r="P801" s="1"/>
      <c r="Q801" s="1"/>
      <c r="R801" s="1"/>
      <c r="S801" s="1"/>
      <c r="T801" s="1"/>
      <c r="U801" s="1"/>
      <c r="V801" s="1"/>
      <c r="W801" s="1"/>
      <c r="X801" s="1"/>
    </row>
    <row r="802" spans="1:24" ht="12.75" customHeight="1" x14ac:dyDescent="0.2">
      <c r="A802" s="1"/>
      <c r="B802" s="1"/>
      <c r="C802" s="89"/>
      <c r="D802" s="89"/>
      <c r="E802" s="93"/>
      <c r="F802" s="93"/>
      <c r="G802" s="105"/>
      <c r="H802" s="105"/>
      <c r="I802" s="1"/>
      <c r="J802" s="1"/>
      <c r="K802" s="1"/>
      <c r="L802" s="1"/>
      <c r="M802" s="1"/>
      <c r="N802" s="1"/>
      <c r="O802" s="1"/>
      <c r="P802" s="1"/>
      <c r="Q802" s="1"/>
      <c r="R802" s="1"/>
      <c r="S802" s="1"/>
      <c r="T802" s="1"/>
      <c r="U802" s="1"/>
      <c r="V802" s="1"/>
      <c r="W802" s="1"/>
      <c r="X802" s="1"/>
    </row>
    <row r="803" spans="1:24" ht="12.75" customHeight="1" x14ac:dyDescent="0.2">
      <c r="A803" s="1"/>
      <c r="B803" s="1"/>
      <c r="C803" s="89"/>
      <c r="D803" s="89"/>
      <c r="E803" s="93"/>
      <c r="F803" s="93"/>
      <c r="G803" s="105"/>
      <c r="H803" s="105"/>
      <c r="I803" s="1"/>
      <c r="J803" s="1"/>
      <c r="K803" s="1"/>
      <c r="L803" s="1"/>
      <c r="M803" s="1"/>
      <c r="N803" s="1"/>
      <c r="O803" s="1"/>
      <c r="P803" s="1"/>
      <c r="Q803" s="1"/>
      <c r="R803" s="1"/>
      <c r="S803" s="1"/>
      <c r="T803" s="1"/>
      <c r="U803" s="1"/>
      <c r="V803" s="1"/>
      <c r="W803" s="1"/>
      <c r="X803" s="1"/>
    </row>
    <row r="804" spans="1:24" ht="12.75" customHeight="1" x14ac:dyDescent="0.2">
      <c r="A804" s="1"/>
      <c r="B804" s="1"/>
      <c r="C804" s="89"/>
      <c r="D804" s="89"/>
      <c r="E804" s="93"/>
      <c r="F804" s="93"/>
      <c r="G804" s="105"/>
      <c r="H804" s="105"/>
      <c r="I804" s="1"/>
      <c r="J804" s="1"/>
      <c r="K804" s="1"/>
      <c r="L804" s="1"/>
      <c r="M804" s="1"/>
      <c r="N804" s="1"/>
      <c r="O804" s="1"/>
      <c r="P804" s="1"/>
      <c r="Q804" s="1"/>
      <c r="R804" s="1"/>
      <c r="S804" s="1"/>
      <c r="T804" s="1"/>
      <c r="U804" s="1"/>
      <c r="V804" s="1"/>
      <c r="W804" s="1"/>
      <c r="X804" s="1"/>
    </row>
    <row r="805" spans="1:24" ht="12.75" customHeight="1" x14ac:dyDescent="0.2">
      <c r="A805" s="1"/>
      <c r="B805" s="1"/>
      <c r="C805" s="89"/>
      <c r="D805" s="89"/>
      <c r="E805" s="93"/>
      <c r="F805" s="93"/>
      <c r="G805" s="105"/>
      <c r="H805" s="105"/>
      <c r="I805" s="1"/>
      <c r="J805" s="1"/>
      <c r="K805" s="1"/>
      <c r="L805" s="1"/>
      <c r="M805" s="1"/>
      <c r="N805" s="1"/>
      <c r="O805" s="1"/>
      <c r="P805" s="1"/>
      <c r="Q805" s="1"/>
      <c r="R805" s="1"/>
      <c r="S805" s="1"/>
      <c r="T805" s="1"/>
      <c r="U805" s="1"/>
      <c r="V805" s="1"/>
      <c r="W805" s="1"/>
      <c r="X805" s="1"/>
    </row>
    <row r="806" spans="1:24" ht="12.75" customHeight="1" x14ac:dyDescent="0.2">
      <c r="A806" s="1"/>
      <c r="B806" s="1"/>
      <c r="C806" s="89"/>
      <c r="D806" s="89"/>
      <c r="E806" s="93"/>
      <c r="F806" s="93"/>
      <c r="G806" s="105"/>
      <c r="H806" s="105"/>
      <c r="I806" s="1"/>
      <c r="J806" s="1"/>
      <c r="K806" s="1"/>
      <c r="L806" s="1"/>
      <c r="M806" s="1"/>
      <c r="N806" s="1"/>
      <c r="O806" s="1"/>
      <c r="P806" s="1"/>
      <c r="Q806" s="1"/>
      <c r="R806" s="1"/>
      <c r="S806" s="1"/>
      <c r="T806" s="1"/>
      <c r="U806" s="1"/>
      <c r="V806" s="1"/>
      <c r="W806" s="1"/>
      <c r="X806" s="1"/>
    </row>
    <row r="807" spans="1:24" ht="12.75" customHeight="1" x14ac:dyDescent="0.2">
      <c r="A807" s="1"/>
      <c r="B807" s="1"/>
      <c r="C807" s="89"/>
      <c r="D807" s="89"/>
      <c r="E807" s="93"/>
      <c r="F807" s="93"/>
      <c r="G807" s="105"/>
      <c r="H807" s="105"/>
      <c r="I807" s="1"/>
      <c r="J807" s="1"/>
      <c r="K807" s="1"/>
      <c r="L807" s="1"/>
      <c r="M807" s="1"/>
      <c r="N807" s="1"/>
      <c r="O807" s="1"/>
      <c r="P807" s="1"/>
      <c r="Q807" s="1"/>
      <c r="R807" s="1"/>
      <c r="S807" s="1"/>
      <c r="T807" s="1"/>
      <c r="U807" s="1"/>
      <c r="V807" s="1"/>
      <c r="W807" s="1"/>
      <c r="X807" s="1"/>
    </row>
    <row r="808" spans="1:24" ht="12.75" customHeight="1" x14ac:dyDescent="0.2">
      <c r="A808" s="1"/>
      <c r="B808" s="1"/>
      <c r="C808" s="89"/>
      <c r="D808" s="89"/>
      <c r="E808" s="93"/>
      <c r="F808" s="93"/>
      <c r="G808" s="105"/>
      <c r="H808" s="105"/>
      <c r="I808" s="1"/>
      <c r="J808" s="1"/>
      <c r="K808" s="1"/>
      <c r="L808" s="1"/>
      <c r="M808" s="1"/>
      <c r="N808" s="1"/>
      <c r="O808" s="1"/>
      <c r="P808" s="1"/>
      <c r="Q808" s="1"/>
      <c r="R808" s="1"/>
      <c r="S808" s="1"/>
      <c r="T808" s="1"/>
      <c r="U808" s="1"/>
      <c r="V808" s="1"/>
      <c r="W808" s="1"/>
      <c r="X808" s="1"/>
    </row>
    <row r="809" spans="1:24" ht="12.75" customHeight="1" x14ac:dyDescent="0.2">
      <c r="A809" s="1"/>
      <c r="B809" s="1"/>
      <c r="C809" s="89"/>
      <c r="D809" s="89"/>
      <c r="E809" s="93"/>
      <c r="F809" s="93"/>
      <c r="G809" s="105"/>
      <c r="H809" s="105"/>
      <c r="I809" s="1"/>
      <c r="J809" s="1"/>
      <c r="K809" s="1"/>
      <c r="L809" s="1"/>
      <c r="M809" s="1"/>
      <c r="N809" s="1"/>
      <c r="O809" s="1"/>
      <c r="P809" s="1"/>
      <c r="Q809" s="1"/>
      <c r="R809" s="1"/>
      <c r="S809" s="1"/>
      <c r="T809" s="1"/>
      <c r="U809" s="1"/>
      <c r="V809" s="1"/>
      <c r="W809" s="1"/>
      <c r="X809" s="1"/>
    </row>
    <row r="810" spans="1:24" ht="12.75" customHeight="1" x14ac:dyDescent="0.2">
      <c r="A810" s="1"/>
      <c r="B810" s="1"/>
      <c r="C810" s="89"/>
      <c r="D810" s="89"/>
      <c r="E810" s="93"/>
      <c r="F810" s="93"/>
      <c r="G810" s="105"/>
      <c r="H810" s="105"/>
      <c r="I810" s="1"/>
      <c r="J810" s="1"/>
      <c r="K810" s="1"/>
      <c r="L810" s="1"/>
      <c r="M810" s="1"/>
      <c r="N810" s="1"/>
      <c r="O810" s="1"/>
      <c r="P810" s="1"/>
      <c r="Q810" s="1"/>
      <c r="R810" s="1"/>
      <c r="S810" s="1"/>
      <c r="T810" s="1"/>
      <c r="U810" s="1"/>
      <c r="V810" s="1"/>
      <c r="W810" s="1"/>
      <c r="X810" s="1"/>
    </row>
    <row r="811" spans="1:24" ht="12.75" customHeight="1" x14ac:dyDescent="0.2">
      <c r="A811" s="1"/>
      <c r="B811" s="1"/>
      <c r="C811" s="89"/>
      <c r="D811" s="89"/>
      <c r="E811" s="93"/>
      <c r="F811" s="93"/>
      <c r="G811" s="105"/>
      <c r="H811" s="105"/>
      <c r="I811" s="1"/>
      <c r="J811" s="1"/>
      <c r="K811" s="1"/>
      <c r="L811" s="1"/>
      <c r="M811" s="1"/>
      <c r="N811" s="1"/>
      <c r="O811" s="1"/>
      <c r="P811" s="1"/>
      <c r="Q811" s="1"/>
      <c r="R811" s="1"/>
      <c r="S811" s="1"/>
      <c r="T811" s="1"/>
      <c r="U811" s="1"/>
      <c r="V811" s="1"/>
      <c r="W811" s="1"/>
      <c r="X811" s="1"/>
    </row>
    <row r="812" spans="1:24" ht="12.75" customHeight="1" x14ac:dyDescent="0.2">
      <c r="A812" s="1"/>
      <c r="B812" s="1"/>
      <c r="C812" s="89"/>
      <c r="D812" s="89"/>
      <c r="E812" s="93"/>
      <c r="F812" s="93"/>
      <c r="G812" s="105"/>
      <c r="H812" s="105"/>
      <c r="I812" s="1"/>
      <c r="J812" s="1"/>
      <c r="K812" s="1"/>
      <c r="L812" s="1"/>
      <c r="M812" s="1"/>
      <c r="N812" s="1"/>
      <c r="O812" s="1"/>
      <c r="P812" s="1"/>
      <c r="Q812" s="1"/>
      <c r="R812" s="1"/>
      <c r="S812" s="1"/>
      <c r="T812" s="1"/>
      <c r="U812" s="1"/>
      <c r="V812" s="1"/>
      <c r="W812" s="1"/>
      <c r="X812" s="1"/>
    </row>
    <row r="813" spans="1:24" ht="12.75" customHeight="1" x14ac:dyDescent="0.2">
      <c r="A813" s="1"/>
      <c r="B813" s="1"/>
      <c r="C813" s="89"/>
      <c r="D813" s="89"/>
      <c r="E813" s="93"/>
      <c r="F813" s="93"/>
      <c r="G813" s="105"/>
      <c r="H813" s="105"/>
      <c r="I813" s="1"/>
      <c r="J813" s="1"/>
      <c r="K813" s="1"/>
      <c r="L813" s="1"/>
      <c r="M813" s="1"/>
      <c r="N813" s="1"/>
      <c r="O813" s="1"/>
      <c r="P813" s="1"/>
      <c r="Q813" s="1"/>
      <c r="R813" s="1"/>
      <c r="S813" s="1"/>
      <c r="T813" s="1"/>
      <c r="U813" s="1"/>
      <c r="V813" s="1"/>
      <c r="W813" s="1"/>
      <c r="X813" s="1"/>
    </row>
    <row r="814" spans="1:24" ht="12.75" customHeight="1" x14ac:dyDescent="0.2">
      <c r="A814" s="1"/>
      <c r="B814" s="1"/>
      <c r="C814" s="89"/>
      <c r="D814" s="89"/>
      <c r="E814" s="93"/>
      <c r="F814" s="93"/>
      <c r="G814" s="105"/>
      <c r="H814" s="105"/>
      <c r="I814" s="1"/>
      <c r="J814" s="1"/>
      <c r="K814" s="1"/>
      <c r="L814" s="1"/>
      <c r="M814" s="1"/>
      <c r="N814" s="1"/>
      <c r="O814" s="1"/>
      <c r="P814" s="1"/>
      <c r="Q814" s="1"/>
      <c r="R814" s="1"/>
      <c r="S814" s="1"/>
      <c r="T814" s="1"/>
      <c r="U814" s="1"/>
      <c r="V814" s="1"/>
      <c r="W814" s="1"/>
      <c r="X814" s="1"/>
    </row>
    <row r="815" spans="1:24" ht="12.75" customHeight="1" x14ac:dyDescent="0.2">
      <c r="A815" s="1"/>
      <c r="B815" s="1"/>
      <c r="C815" s="89"/>
      <c r="D815" s="89"/>
      <c r="E815" s="93"/>
      <c r="F815" s="93"/>
      <c r="G815" s="105"/>
      <c r="H815" s="105"/>
      <c r="I815" s="1"/>
      <c r="J815" s="1"/>
      <c r="K815" s="1"/>
      <c r="L815" s="1"/>
      <c r="M815" s="1"/>
      <c r="N815" s="1"/>
      <c r="O815" s="1"/>
      <c r="P815" s="1"/>
      <c r="Q815" s="1"/>
      <c r="R815" s="1"/>
      <c r="S815" s="1"/>
      <c r="T815" s="1"/>
      <c r="U815" s="1"/>
      <c r="V815" s="1"/>
      <c r="W815" s="1"/>
      <c r="X815" s="1"/>
    </row>
    <row r="816" spans="1:24" ht="12.75" customHeight="1" x14ac:dyDescent="0.2">
      <c r="A816" s="1"/>
      <c r="B816" s="1"/>
      <c r="C816" s="89"/>
      <c r="D816" s="89"/>
      <c r="E816" s="93"/>
      <c r="F816" s="93"/>
      <c r="G816" s="105"/>
      <c r="H816" s="105"/>
      <c r="I816" s="1"/>
      <c r="J816" s="1"/>
      <c r="K816" s="1"/>
      <c r="L816" s="1"/>
      <c r="M816" s="1"/>
      <c r="N816" s="1"/>
      <c r="O816" s="1"/>
      <c r="P816" s="1"/>
      <c r="Q816" s="1"/>
      <c r="R816" s="1"/>
      <c r="S816" s="1"/>
      <c r="T816" s="1"/>
      <c r="U816" s="1"/>
      <c r="V816" s="1"/>
      <c r="W816" s="1"/>
      <c r="X816" s="1"/>
    </row>
    <row r="817" spans="1:24" ht="12.75" customHeight="1" x14ac:dyDescent="0.2">
      <c r="A817" s="1"/>
      <c r="B817" s="1"/>
      <c r="C817" s="89"/>
      <c r="D817" s="89"/>
      <c r="E817" s="93"/>
      <c r="F817" s="93"/>
      <c r="G817" s="105"/>
      <c r="H817" s="105"/>
      <c r="I817" s="1"/>
      <c r="J817" s="1"/>
      <c r="K817" s="1"/>
      <c r="L817" s="1"/>
      <c r="M817" s="1"/>
      <c r="N817" s="1"/>
      <c r="O817" s="1"/>
      <c r="P817" s="1"/>
      <c r="Q817" s="1"/>
      <c r="R817" s="1"/>
      <c r="S817" s="1"/>
      <c r="T817" s="1"/>
      <c r="U817" s="1"/>
      <c r="V817" s="1"/>
      <c r="W817" s="1"/>
      <c r="X817" s="1"/>
    </row>
    <row r="818" spans="1:24" ht="12.75" customHeight="1" x14ac:dyDescent="0.2">
      <c r="A818" s="1"/>
      <c r="B818" s="1"/>
      <c r="C818" s="89"/>
      <c r="D818" s="89"/>
      <c r="E818" s="93"/>
      <c r="F818" s="93"/>
      <c r="G818" s="105"/>
      <c r="H818" s="105"/>
      <c r="I818" s="1"/>
      <c r="J818" s="1"/>
      <c r="K818" s="1"/>
      <c r="L818" s="1"/>
      <c r="M818" s="1"/>
      <c r="N818" s="1"/>
      <c r="O818" s="1"/>
      <c r="P818" s="1"/>
      <c r="Q818" s="1"/>
      <c r="R818" s="1"/>
      <c r="S818" s="1"/>
      <c r="T818" s="1"/>
      <c r="U818" s="1"/>
      <c r="V818" s="1"/>
      <c r="W818" s="1"/>
      <c r="X818" s="1"/>
    </row>
    <row r="819" spans="1:24" ht="12.75" customHeight="1" x14ac:dyDescent="0.2">
      <c r="A819" s="1"/>
      <c r="B819" s="1"/>
      <c r="C819" s="89"/>
      <c r="D819" s="89"/>
      <c r="E819" s="93"/>
      <c r="F819" s="93"/>
      <c r="G819" s="105"/>
      <c r="H819" s="105"/>
      <c r="I819" s="1"/>
      <c r="J819" s="1"/>
      <c r="K819" s="1"/>
      <c r="L819" s="1"/>
      <c r="M819" s="1"/>
      <c r="N819" s="1"/>
      <c r="O819" s="1"/>
      <c r="P819" s="1"/>
      <c r="Q819" s="1"/>
      <c r="R819" s="1"/>
      <c r="S819" s="1"/>
      <c r="T819" s="1"/>
      <c r="U819" s="1"/>
      <c r="V819" s="1"/>
      <c r="W819" s="1"/>
      <c r="X819" s="1"/>
    </row>
    <row r="820" spans="1:24" ht="12.75" customHeight="1" x14ac:dyDescent="0.2">
      <c r="A820" s="1"/>
      <c r="B820" s="1"/>
      <c r="C820" s="89"/>
      <c r="D820" s="89"/>
      <c r="E820" s="93"/>
      <c r="F820" s="93"/>
      <c r="G820" s="105"/>
      <c r="H820" s="105"/>
      <c r="I820" s="1"/>
      <c r="J820" s="1"/>
      <c r="K820" s="1"/>
      <c r="L820" s="1"/>
      <c r="M820" s="1"/>
      <c r="N820" s="1"/>
      <c r="O820" s="1"/>
      <c r="P820" s="1"/>
      <c r="Q820" s="1"/>
      <c r="R820" s="1"/>
      <c r="S820" s="1"/>
      <c r="T820" s="1"/>
      <c r="U820" s="1"/>
      <c r="V820" s="1"/>
      <c r="W820" s="1"/>
      <c r="X820" s="1"/>
    </row>
    <row r="821" spans="1:24" ht="12.75" customHeight="1" x14ac:dyDescent="0.2">
      <c r="A821" s="1"/>
      <c r="B821" s="1"/>
      <c r="C821" s="89"/>
      <c r="D821" s="89"/>
      <c r="E821" s="93"/>
      <c r="F821" s="93"/>
      <c r="G821" s="105"/>
      <c r="H821" s="105"/>
      <c r="I821" s="1"/>
      <c r="J821" s="1"/>
      <c r="K821" s="1"/>
      <c r="L821" s="1"/>
      <c r="M821" s="1"/>
      <c r="N821" s="1"/>
      <c r="O821" s="1"/>
      <c r="P821" s="1"/>
      <c r="Q821" s="1"/>
      <c r="R821" s="1"/>
      <c r="S821" s="1"/>
      <c r="T821" s="1"/>
      <c r="U821" s="1"/>
      <c r="V821" s="1"/>
      <c r="W821" s="1"/>
      <c r="X821" s="1"/>
    </row>
    <row r="822" spans="1:24" ht="12.75" customHeight="1" x14ac:dyDescent="0.2">
      <c r="A822" s="1"/>
      <c r="B822" s="1"/>
      <c r="C822" s="89"/>
      <c r="D822" s="89"/>
      <c r="E822" s="93"/>
      <c r="F822" s="93"/>
      <c r="G822" s="105"/>
      <c r="H822" s="105"/>
      <c r="I822" s="1"/>
      <c r="J822" s="1"/>
      <c r="K822" s="1"/>
      <c r="L822" s="1"/>
      <c r="M822" s="1"/>
      <c r="N822" s="1"/>
      <c r="O822" s="1"/>
      <c r="P822" s="1"/>
      <c r="Q822" s="1"/>
      <c r="R822" s="1"/>
      <c r="S822" s="1"/>
      <c r="T822" s="1"/>
      <c r="U822" s="1"/>
      <c r="V822" s="1"/>
      <c r="W822" s="1"/>
      <c r="X822" s="1"/>
    </row>
    <row r="823" spans="1:24" ht="12.75" customHeight="1" x14ac:dyDescent="0.2">
      <c r="A823" s="1"/>
      <c r="B823" s="1"/>
      <c r="C823" s="89"/>
      <c r="D823" s="89"/>
      <c r="E823" s="93"/>
      <c r="F823" s="93"/>
      <c r="G823" s="105"/>
      <c r="H823" s="105"/>
      <c r="I823" s="1"/>
      <c r="J823" s="1"/>
      <c r="K823" s="1"/>
      <c r="L823" s="1"/>
      <c r="M823" s="1"/>
      <c r="N823" s="1"/>
      <c r="O823" s="1"/>
      <c r="P823" s="1"/>
      <c r="Q823" s="1"/>
      <c r="R823" s="1"/>
      <c r="S823" s="1"/>
      <c r="T823" s="1"/>
      <c r="U823" s="1"/>
      <c r="V823" s="1"/>
      <c r="W823" s="1"/>
      <c r="X823" s="1"/>
    </row>
    <row r="824" spans="1:24" ht="12.75" customHeight="1" x14ac:dyDescent="0.2">
      <c r="A824" s="1"/>
      <c r="B824" s="1"/>
      <c r="C824" s="89"/>
      <c r="D824" s="89"/>
      <c r="E824" s="93"/>
      <c r="F824" s="93"/>
      <c r="G824" s="105"/>
      <c r="H824" s="105"/>
      <c r="I824" s="1"/>
      <c r="J824" s="1"/>
      <c r="K824" s="1"/>
      <c r="L824" s="1"/>
      <c r="M824" s="1"/>
      <c r="N824" s="1"/>
      <c r="O824" s="1"/>
      <c r="P824" s="1"/>
      <c r="Q824" s="1"/>
      <c r="R824" s="1"/>
      <c r="S824" s="1"/>
      <c r="T824" s="1"/>
      <c r="U824" s="1"/>
      <c r="V824" s="1"/>
      <c r="W824" s="1"/>
      <c r="X824" s="1"/>
    </row>
    <row r="825" spans="1:24" ht="12.75" customHeight="1" x14ac:dyDescent="0.2">
      <c r="A825" s="1"/>
      <c r="B825" s="1"/>
      <c r="C825" s="89"/>
      <c r="D825" s="89"/>
      <c r="E825" s="93"/>
      <c r="F825" s="93"/>
      <c r="G825" s="105"/>
      <c r="H825" s="105"/>
      <c r="I825" s="1"/>
      <c r="J825" s="1"/>
      <c r="K825" s="1"/>
      <c r="L825" s="1"/>
      <c r="M825" s="1"/>
      <c r="N825" s="1"/>
      <c r="O825" s="1"/>
      <c r="P825" s="1"/>
      <c r="Q825" s="1"/>
      <c r="R825" s="1"/>
      <c r="S825" s="1"/>
      <c r="T825" s="1"/>
      <c r="U825" s="1"/>
      <c r="V825" s="1"/>
      <c r="W825" s="1"/>
      <c r="X825" s="1"/>
    </row>
    <row r="826" spans="1:24" ht="12.75" customHeight="1" x14ac:dyDescent="0.2">
      <c r="A826" s="1"/>
      <c r="B826" s="1"/>
      <c r="C826" s="89"/>
      <c r="D826" s="89"/>
      <c r="E826" s="93"/>
      <c r="F826" s="93"/>
      <c r="G826" s="105"/>
      <c r="H826" s="105"/>
      <c r="I826" s="1"/>
      <c r="J826" s="1"/>
      <c r="K826" s="1"/>
      <c r="L826" s="1"/>
      <c r="M826" s="1"/>
      <c r="N826" s="1"/>
      <c r="O826" s="1"/>
      <c r="P826" s="1"/>
      <c r="Q826" s="1"/>
      <c r="R826" s="1"/>
      <c r="S826" s="1"/>
      <c r="T826" s="1"/>
      <c r="U826" s="1"/>
      <c r="V826" s="1"/>
      <c r="W826" s="1"/>
      <c r="X826" s="1"/>
    </row>
    <row r="827" spans="1:24" ht="12.75" customHeight="1" x14ac:dyDescent="0.2">
      <c r="A827" s="1"/>
      <c r="B827" s="1"/>
      <c r="C827" s="89"/>
      <c r="D827" s="89"/>
      <c r="E827" s="93"/>
      <c r="F827" s="93"/>
      <c r="G827" s="105"/>
      <c r="H827" s="105"/>
      <c r="I827" s="1"/>
      <c r="J827" s="1"/>
      <c r="K827" s="1"/>
      <c r="L827" s="1"/>
      <c r="M827" s="1"/>
      <c r="N827" s="1"/>
      <c r="O827" s="1"/>
      <c r="P827" s="1"/>
      <c r="Q827" s="1"/>
      <c r="R827" s="1"/>
      <c r="S827" s="1"/>
      <c r="T827" s="1"/>
      <c r="U827" s="1"/>
      <c r="V827" s="1"/>
      <c r="W827" s="1"/>
      <c r="X827" s="1"/>
    </row>
    <row r="828" spans="1:24" ht="12.75" customHeight="1" x14ac:dyDescent="0.2">
      <c r="A828" s="1"/>
      <c r="B828" s="1"/>
      <c r="C828" s="89"/>
      <c r="D828" s="89"/>
      <c r="E828" s="93"/>
      <c r="F828" s="93"/>
      <c r="G828" s="105"/>
      <c r="H828" s="105"/>
      <c r="I828" s="1"/>
      <c r="J828" s="1"/>
      <c r="K828" s="1"/>
      <c r="L828" s="1"/>
      <c r="M828" s="1"/>
      <c r="N828" s="1"/>
      <c r="O828" s="1"/>
      <c r="P828" s="1"/>
      <c r="Q828" s="1"/>
      <c r="R828" s="1"/>
      <c r="S828" s="1"/>
      <c r="T828" s="1"/>
      <c r="U828" s="1"/>
      <c r="V828" s="1"/>
      <c r="W828" s="1"/>
      <c r="X828" s="1"/>
    </row>
    <row r="829" spans="1:24" ht="12.75" customHeight="1" x14ac:dyDescent="0.2">
      <c r="A829" s="1"/>
      <c r="B829" s="1"/>
      <c r="C829" s="89"/>
      <c r="D829" s="89"/>
      <c r="E829" s="93"/>
      <c r="F829" s="93"/>
      <c r="G829" s="105"/>
      <c r="H829" s="105"/>
      <c r="I829" s="1"/>
      <c r="J829" s="1"/>
      <c r="K829" s="1"/>
      <c r="L829" s="1"/>
      <c r="M829" s="1"/>
      <c r="N829" s="1"/>
      <c r="O829" s="1"/>
      <c r="P829" s="1"/>
      <c r="Q829" s="1"/>
      <c r="R829" s="1"/>
      <c r="S829" s="1"/>
      <c r="T829" s="1"/>
      <c r="U829" s="1"/>
      <c r="V829" s="1"/>
      <c r="W829" s="1"/>
      <c r="X829" s="1"/>
    </row>
    <row r="830" spans="1:24" ht="12.75" customHeight="1" x14ac:dyDescent="0.2">
      <c r="A830" s="1"/>
      <c r="B830" s="1"/>
      <c r="C830" s="89"/>
      <c r="D830" s="89"/>
      <c r="E830" s="93"/>
      <c r="F830" s="93"/>
      <c r="G830" s="105"/>
      <c r="H830" s="105"/>
      <c r="I830" s="1"/>
      <c r="J830" s="1"/>
      <c r="K830" s="1"/>
      <c r="L830" s="1"/>
      <c r="M830" s="1"/>
      <c r="N830" s="1"/>
      <c r="O830" s="1"/>
      <c r="P830" s="1"/>
      <c r="Q830" s="1"/>
      <c r="R830" s="1"/>
      <c r="S830" s="1"/>
      <c r="T830" s="1"/>
      <c r="U830" s="1"/>
      <c r="V830" s="1"/>
      <c r="W830" s="1"/>
      <c r="X830" s="1"/>
    </row>
    <row r="831" spans="1:24" ht="12.75" customHeight="1" x14ac:dyDescent="0.2">
      <c r="A831" s="1"/>
      <c r="B831" s="1"/>
      <c r="C831" s="89"/>
      <c r="D831" s="89"/>
      <c r="E831" s="93"/>
      <c r="F831" s="93"/>
      <c r="G831" s="105"/>
      <c r="H831" s="105"/>
      <c r="I831" s="1"/>
      <c r="J831" s="1"/>
      <c r="K831" s="1"/>
      <c r="L831" s="1"/>
      <c r="M831" s="1"/>
      <c r="N831" s="1"/>
      <c r="O831" s="1"/>
      <c r="P831" s="1"/>
      <c r="Q831" s="1"/>
      <c r="R831" s="1"/>
      <c r="S831" s="1"/>
      <c r="T831" s="1"/>
      <c r="U831" s="1"/>
      <c r="V831" s="1"/>
      <c r="W831" s="1"/>
      <c r="X831" s="1"/>
    </row>
    <row r="832" spans="1:24" ht="12.75" customHeight="1" x14ac:dyDescent="0.2">
      <c r="A832" s="1"/>
      <c r="B832" s="1"/>
      <c r="C832" s="89"/>
      <c r="D832" s="89"/>
      <c r="E832" s="93"/>
      <c r="F832" s="93"/>
      <c r="G832" s="105"/>
      <c r="H832" s="105"/>
      <c r="I832" s="1"/>
      <c r="J832" s="1"/>
      <c r="K832" s="1"/>
      <c r="L832" s="1"/>
      <c r="M832" s="1"/>
      <c r="N832" s="1"/>
      <c r="O832" s="1"/>
      <c r="P832" s="1"/>
      <c r="Q832" s="1"/>
      <c r="R832" s="1"/>
      <c r="S832" s="1"/>
      <c r="T832" s="1"/>
      <c r="U832" s="1"/>
      <c r="V832" s="1"/>
      <c r="W832" s="1"/>
      <c r="X832" s="1"/>
    </row>
    <row r="833" spans="1:24" ht="12.75" customHeight="1" x14ac:dyDescent="0.2">
      <c r="A833" s="1"/>
      <c r="B833" s="1"/>
      <c r="C833" s="89"/>
      <c r="D833" s="89"/>
      <c r="E833" s="93"/>
      <c r="F833" s="93"/>
      <c r="G833" s="105"/>
      <c r="H833" s="105"/>
      <c r="I833" s="1"/>
      <c r="J833" s="1"/>
      <c r="K833" s="1"/>
      <c r="L833" s="1"/>
      <c r="M833" s="1"/>
      <c r="N833" s="1"/>
      <c r="O833" s="1"/>
      <c r="P833" s="1"/>
      <c r="Q833" s="1"/>
      <c r="R833" s="1"/>
      <c r="S833" s="1"/>
      <c r="T833" s="1"/>
      <c r="U833" s="1"/>
      <c r="V833" s="1"/>
      <c r="W833" s="1"/>
      <c r="X833" s="1"/>
    </row>
    <row r="834" spans="1:24" ht="12.75" customHeight="1" x14ac:dyDescent="0.2">
      <c r="A834" s="1"/>
      <c r="B834" s="1"/>
      <c r="C834" s="89"/>
      <c r="D834" s="89"/>
      <c r="E834" s="93"/>
      <c r="F834" s="93"/>
      <c r="G834" s="105"/>
      <c r="H834" s="105"/>
      <c r="I834" s="1"/>
      <c r="J834" s="1"/>
      <c r="K834" s="1"/>
      <c r="L834" s="1"/>
      <c r="M834" s="1"/>
      <c r="N834" s="1"/>
      <c r="O834" s="1"/>
      <c r="P834" s="1"/>
      <c r="Q834" s="1"/>
      <c r="R834" s="1"/>
      <c r="S834" s="1"/>
      <c r="T834" s="1"/>
      <c r="U834" s="1"/>
      <c r="V834" s="1"/>
      <c r="W834" s="1"/>
      <c r="X834" s="1"/>
    </row>
    <row r="835" spans="1:24" ht="12.75" customHeight="1" x14ac:dyDescent="0.2">
      <c r="A835" s="1"/>
      <c r="B835" s="1"/>
      <c r="C835" s="89"/>
      <c r="D835" s="89"/>
      <c r="E835" s="93"/>
      <c r="F835" s="93"/>
      <c r="G835" s="105"/>
      <c r="H835" s="105"/>
      <c r="I835" s="1"/>
      <c r="J835" s="1"/>
      <c r="K835" s="1"/>
      <c r="L835" s="1"/>
      <c r="M835" s="1"/>
      <c r="N835" s="1"/>
      <c r="O835" s="1"/>
      <c r="P835" s="1"/>
      <c r="Q835" s="1"/>
      <c r="R835" s="1"/>
      <c r="S835" s="1"/>
      <c r="T835" s="1"/>
      <c r="U835" s="1"/>
      <c r="V835" s="1"/>
      <c r="W835" s="1"/>
      <c r="X835" s="1"/>
    </row>
    <row r="836" spans="1:24" ht="12.75" customHeight="1" x14ac:dyDescent="0.2">
      <c r="A836" s="1"/>
      <c r="B836" s="1"/>
      <c r="C836" s="89"/>
      <c r="D836" s="89"/>
      <c r="E836" s="93"/>
      <c r="F836" s="93"/>
      <c r="G836" s="105"/>
      <c r="H836" s="105"/>
      <c r="I836" s="1"/>
      <c r="J836" s="1"/>
      <c r="K836" s="1"/>
      <c r="L836" s="1"/>
      <c r="M836" s="1"/>
      <c r="N836" s="1"/>
      <c r="O836" s="1"/>
      <c r="P836" s="1"/>
      <c r="Q836" s="1"/>
      <c r="R836" s="1"/>
      <c r="S836" s="1"/>
      <c r="T836" s="1"/>
      <c r="U836" s="1"/>
      <c r="V836" s="1"/>
      <c r="W836" s="1"/>
      <c r="X836" s="1"/>
    </row>
    <row r="837" spans="1:24" ht="12.75" customHeight="1" x14ac:dyDescent="0.2">
      <c r="A837" s="1"/>
      <c r="B837" s="1"/>
      <c r="C837" s="89"/>
      <c r="D837" s="89"/>
      <c r="E837" s="93"/>
      <c r="F837" s="93"/>
      <c r="G837" s="105"/>
      <c r="H837" s="105"/>
      <c r="I837" s="1"/>
      <c r="J837" s="1"/>
      <c r="K837" s="1"/>
      <c r="L837" s="1"/>
      <c r="M837" s="1"/>
      <c r="N837" s="1"/>
      <c r="O837" s="1"/>
      <c r="P837" s="1"/>
      <c r="Q837" s="1"/>
      <c r="R837" s="1"/>
      <c r="S837" s="1"/>
      <c r="T837" s="1"/>
      <c r="U837" s="1"/>
      <c r="V837" s="1"/>
      <c r="W837" s="1"/>
      <c r="X837" s="1"/>
    </row>
    <row r="838" spans="1:24" ht="12.75" customHeight="1" x14ac:dyDescent="0.2">
      <c r="A838" s="1"/>
      <c r="B838" s="1"/>
      <c r="C838" s="89"/>
      <c r="D838" s="89"/>
      <c r="E838" s="93"/>
      <c r="F838" s="93"/>
      <c r="G838" s="105"/>
      <c r="H838" s="105"/>
      <c r="I838" s="1"/>
      <c r="J838" s="1"/>
      <c r="K838" s="1"/>
      <c r="L838" s="1"/>
      <c r="M838" s="1"/>
      <c r="N838" s="1"/>
      <c r="O838" s="1"/>
      <c r="P838" s="1"/>
      <c r="Q838" s="1"/>
      <c r="R838" s="1"/>
      <c r="S838" s="1"/>
      <c r="T838" s="1"/>
      <c r="U838" s="1"/>
      <c r="V838" s="1"/>
      <c r="W838" s="1"/>
      <c r="X838" s="1"/>
    </row>
    <row r="839" spans="1:24" ht="12.75" customHeight="1" x14ac:dyDescent="0.2">
      <c r="A839" s="1"/>
      <c r="B839" s="1"/>
      <c r="C839" s="89"/>
      <c r="D839" s="89"/>
      <c r="E839" s="93"/>
      <c r="F839" s="93"/>
      <c r="G839" s="105"/>
      <c r="H839" s="105"/>
      <c r="I839" s="1"/>
      <c r="J839" s="1"/>
      <c r="K839" s="1"/>
      <c r="L839" s="1"/>
      <c r="M839" s="1"/>
      <c r="N839" s="1"/>
      <c r="O839" s="1"/>
      <c r="P839" s="1"/>
      <c r="Q839" s="1"/>
      <c r="R839" s="1"/>
      <c r="S839" s="1"/>
      <c r="T839" s="1"/>
      <c r="U839" s="1"/>
      <c r="V839" s="1"/>
      <c r="W839" s="1"/>
      <c r="X839" s="1"/>
    </row>
    <row r="840" spans="1:24" ht="12.75" customHeight="1" x14ac:dyDescent="0.2">
      <c r="A840" s="1"/>
      <c r="B840" s="1"/>
      <c r="C840" s="89"/>
      <c r="D840" s="89"/>
      <c r="E840" s="93"/>
      <c r="F840" s="93"/>
      <c r="G840" s="105"/>
      <c r="H840" s="105"/>
      <c r="I840" s="1"/>
      <c r="J840" s="1"/>
      <c r="K840" s="1"/>
      <c r="L840" s="1"/>
      <c r="M840" s="1"/>
      <c r="N840" s="1"/>
      <c r="O840" s="1"/>
      <c r="P840" s="1"/>
      <c r="Q840" s="1"/>
      <c r="R840" s="1"/>
      <c r="S840" s="1"/>
      <c r="T840" s="1"/>
      <c r="U840" s="1"/>
      <c r="V840" s="1"/>
      <c r="W840" s="1"/>
      <c r="X840" s="1"/>
    </row>
    <row r="841" spans="1:24" ht="12.75" customHeight="1" x14ac:dyDescent="0.2">
      <c r="A841" s="1"/>
      <c r="B841" s="1"/>
      <c r="C841" s="89"/>
      <c r="D841" s="89"/>
      <c r="E841" s="93"/>
      <c r="F841" s="93"/>
      <c r="G841" s="105"/>
      <c r="H841" s="105"/>
      <c r="I841" s="1"/>
      <c r="J841" s="1"/>
      <c r="K841" s="1"/>
      <c r="L841" s="1"/>
      <c r="M841" s="1"/>
      <c r="N841" s="1"/>
      <c r="O841" s="1"/>
      <c r="P841" s="1"/>
      <c r="Q841" s="1"/>
      <c r="R841" s="1"/>
      <c r="S841" s="1"/>
      <c r="T841" s="1"/>
      <c r="U841" s="1"/>
      <c r="V841" s="1"/>
      <c r="W841" s="1"/>
      <c r="X841" s="1"/>
    </row>
    <row r="842" spans="1:24" ht="12.75" customHeight="1" x14ac:dyDescent="0.2">
      <c r="A842" s="1"/>
      <c r="B842" s="1"/>
      <c r="C842" s="89"/>
      <c r="D842" s="89"/>
      <c r="E842" s="93"/>
      <c r="F842" s="93"/>
      <c r="G842" s="105"/>
      <c r="H842" s="105"/>
      <c r="I842" s="1"/>
      <c r="J842" s="1"/>
      <c r="K842" s="1"/>
      <c r="L842" s="1"/>
      <c r="M842" s="1"/>
      <c r="N842" s="1"/>
      <c r="O842" s="1"/>
      <c r="P842" s="1"/>
      <c r="Q842" s="1"/>
      <c r="R842" s="1"/>
      <c r="S842" s="1"/>
      <c r="T842" s="1"/>
      <c r="U842" s="1"/>
      <c r="V842" s="1"/>
      <c r="W842" s="1"/>
      <c r="X842" s="1"/>
    </row>
    <row r="843" spans="1:24" ht="12.75" customHeight="1" x14ac:dyDescent="0.2">
      <c r="A843" s="1"/>
      <c r="B843" s="1"/>
      <c r="C843" s="89"/>
      <c r="D843" s="89"/>
      <c r="E843" s="93"/>
      <c r="F843" s="93"/>
      <c r="G843" s="105"/>
      <c r="H843" s="105"/>
      <c r="I843" s="1"/>
      <c r="J843" s="1"/>
      <c r="K843" s="1"/>
      <c r="L843" s="1"/>
      <c r="M843" s="1"/>
      <c r="N843" s="1"/>
      <c r="O843" s="1"/>
      <c r="P843" s="1"/>
      <c r="Q843" s="1"/>
      <c r="R843" s="1"/>
      <c r="S843" s="1"/>
      <c r="T843" s="1"/>
      <c r="U843" s="1"/>
      <c r="V843" s="1"/>
      <c r="W843" s="1"/>
      <c r="X843" s="1"/>
    </row>
    <row r="844" spans="1:24" ht="12.75" customHeight="1" x14ac:dyDescent="0.2">
      <c r="A844" s="1"/>
      <c r="B844" s="1"/>
      <c r="C844" s="89"/>
      <c r="D844" s="89"/>
      <c r="E844" s="93"/>
      <c r="F844" s="93"/>
      <c r="G844" s="105"/>
      <c r="H844" s="105"/>
      <c r="I844" s="1"/>
      <c r="J844" s="1"/>
      <c r="K844" s="1"/>
      <c r="L844" s="1"/>
      <c r="M844" s="1"/>
      <c r="N844" s="1"/>
      <c r="O844" s="1"/>
      <c r="P844" s="1"/>
      <c r="Q844" s="1"/>
      <c r="R844" s="1"/>
      <c r="S844" s="1"/>
      <c r="T844" s="1"/>
      <c r="U844" s="1"/>
      <c r="V844" s="1"/>
      <c r="W844" s="1"/>
      <c r="X844" s="1"/>
    </row>
    <row r="845" spans="1:24" ht="12.75" customHeight="1" x14ac:dyDescent="0.2">
      <c r="A845" s="1"/>
      <c r="B845" s="1"/>
      <c r="C845" s="89"/>
      <c r="D845" s="89"/>
      <c r="E845" s="93"/>
      <c r="F845" s="93"/>
      <c r="G845" s="105"/>
      <c r="H845" s="105"/>
      <c r="I845" s="1"/>
      <c r="J845" s="1"/>
      <c r="K845" s="1"/>
      <c r="L845" s="1"/>
      <c r="M845" s="1"/>
      <c r="N845" s="1"/>
      <c r="O845" s="1"/>
      <c r="P845" s="1"/>
      <c r="Q845" s="1"/>
      <c r="R845" s="1"/>
      <c r="S845" s="1"/>
      <c r="T845" s="1"/>
      <c r="U845" s="1"/>
      <c r="V845" s="1"/>
      <c r="W845" s="1"/>
      <c r="X845" s="1"/>
    </row>
    <row r="846" spans="1:24" ht="12.75" customHeight="1" x14ac:dyDescent="0.2">
      <c r="A846" s="1"/>
      <c r="B846" s="1"/>
      <c r="C846" s="89"/>
      <c r="D846" s="89"/>
      <c r="E846" s="93"/>
      <c r="F846" s="93"/>
      <c r="G846" s="105"/>
      <c r="H846" s="105"/>
      <c r="I846" s="1"/>
      <c r="J846" s="1"/>
      <c r="K846" s="1"/>
      <c r="L846" s="1"/>
      <c r="M846" s="1"/>
      <c r="N846" s="1"/>
      <c r="O846" s="1"/>
      <c r="P846" s="1"/>
      <c r="Q846" s="1"/>
      <c r="R846" s="1"/>
      <c r="S846" s="1"/>
      <c r="T846" s="1"/>
      <c r="U846" s="1"/>
      <c r="V846" s="1"/>
      <c r="W846" s="1"/>
      <c r="X846" s="1"/>
    </row>
    <row r="847" spans="1:24" ht="12.75" customHeight="1" x14ac:dyDescent="0.2">
      <c r="A847" s="1"/>
      <c r="B847" s="1"/>
      <c r="C847" s="89"/>
      <c r="D847" s="89"/>
      <c r="E847" s="93"/>
      <c r="F847" s="93"/>
      <c r="G847" s="105"/>
      <c r="H847" s="105"/>
      <c r="I847" s="1"/>
      <c r="J847" s="1"/>
      <c r="K847" s="1"/>
      <c r="L847" s="1"/>
      <c r="M847" s="1"/>
      <c r="N847" s="1"/>
      <c r="O847" s="1"/>
      <c r="P847" s="1"/>
      <c r="Q847" s="1"/>
      <c r="R847" s="1"/>
      <c r="S847" s="1"/>
      <c r="T847" s="1"/>
      <c r="U847" s="1"/>
      <c r="V847" s="1"/>
      <c r="W847" s="1"/>
      <c r="X847" s="1"/>
    </row>
    <row r="848" spans="1:24" ht="12.75" customHeight="1" x14ac:dyDescent="0.2">
      <c r="A848" s="1"/>
      <c r="B848" s="1"/>
      <c r="C848" s="89"/>
      <c r="D848" s="89"/>
      <c r="E848" s="93"/>
      <c r="F848" s="93"/>
      <c r="G848" s="105"/>
      <c r="H848" s="105"/>
      <c r="I848" s="1"/>
      <c r="J848" s="1"/>
      <c r="K848" s="1"/>
      <c r="L848" s="1"/>
      <c r="M848" s="1"/>
      <c r="N848" s="1"/>
      <c r="O848" s="1"/>
      <c r="P848" s="1"/>
      <c r="Q848" s="1"/>
      <c r="R848" s="1"/>
      <c r="S848" s="1"/>
      <c r="T848" s="1"/>
      <c r="U848" s="1"/>
      <c r="V848" s="1"/>
      <c r="W848" s="1"/>
      <c r="X848" s="1"/>
    </row>
    <row r="849" spans="1:24" ht="12.75" customHeight="1" x14ac:dyDescent="0.2">
      <c r="A849" s="1"/>
      <c r="B849" s="1"/>
      <c r="C849" s="89"/>
      <c r="D849" s="89"/>
      <c r="E849" s="93"/>
      <c r="F849" s="93"/>
      <c r="G849" s="105"/>
      <c r="H849" s="105"/>
      <c r="I849" s="1"/>
      <c r="J849" s="1"/>
      <c r="K849" s="1"/>
      <c r="L849" s="1"/>
      <c r="M849" s="1"/>
      <c r="N849" s="1"/>
      <c r="O849" s="1"/>
      <c r="P849" s="1"/>
      <c r="Q849" s="1"/>
      <c r="R849" s="1"/>
      <c r="S849" s="1"/>
      <c r="T849" s="1"/>
      <c r="U849" s="1"/>
      <c r="V849" s="1"/>
      <c r="W849" s="1"/>
      <c r="X849" s="1"/>
    </row>
    <row r="850" spans="1:24" ht="12.75" customHeight="1" x14ac:dyDescent="0.2">
      <c r="A850" s="1"/>
      <c r="B850" s="1"/>
      <c r="C850" s="89"/>
      <c r="D850" s="89"/>
      <c r="E850" s="93"/>
      <c r="F850" s="93"/>
      <c r="G850" s="105"/>
      <c r="H850" s="105"/>
      <c r="I850" s="1"/>
      <c r="J850" s="1"/>
      <c r="K850" s="1"/>
      <c r="L850" s="1"/>
      <c r="M850" s="1"/>
      <c r="N850" s="1"/>
      <c r="O850" s="1"/>
      <c r="P850" s="1"/>
      <c r="Q850" s="1"/>
      <c r="R850" s="1"/>
      <c r="S850" s="1"/>
      <c r="T850" s="1"/>
      <c r="U850" s="1"/>
      <c r="V850" s="1"/>
      <c r="W850" s="1"/>
      <c r="X850" s="1"/>
    </row>
    <row r="851" spans="1:24" ht="12.75" customHeight="1" x14ac:dyDescent="0.2">
      <c r="A851" s="1"/>
      <c r="B851" s="1"/>
      <c r="C851" s="89"/>
      <c r="D851" s="89"/>
      <c r="E851" s="93"/>
      <c r="F851" s="93"/>
      <c r="G851" s="105"/>
      <c r="H851" s="105"/>
      <c r="I851" s="1"/>
      <c r="J851" s="1"/>
      <c r="K851" s="1"/>
      <c r="L851" s="1"/>
      <c r="M851" s="1"/>
      <c r="N851" s="1"/>
      <c r="O851" s="1"/>
      <c r="P851" s="1"/>
      <c r="Q851" s="1"/>
      <c r="R851" s="1"/>
      <c r="S851" s="1"/>
      <c r="T851" s="1"/>
      <c r="U851" s="1"/>
      <c r="V851" s="1"/>
      <c r="W851" s="1"/>
      <c r="X851" s="1"/>
    </row>
    <row r="852" spans="1:24" ht="12.75" customHeight="1" x14ac:dyDescent="0.2">
      <c r="A852" s="1"/>
      <c r="B852" s="1"/>
      <c r="C852" s="89"/>
      <c r="D852" s="89"/>
      <c r="E852" s="93"/>
      <c r="F852" s="93"/>
      <c r="G852" s="105"/>
      <c r="H852" s="105"/>
      <c r="I852" s="1"/>
      <c r="J852" s="1"/>
      <c r="K852" s="1"/>
      <c r="L852" s="1"/>
      <c r="M852" s="1"/>
      <c r="N852" s="1"/>
      <c r="O852" s="1"/>
      <c r="P852" s="1"/>
      <c r="Q852" s="1"/>
      <c r="R852" s="1"/>
      <c r="S852" s="1"/>
      <c r="T852" s="1"/>
      <c r="U852" s="1"/>
      <c r="V852" s="1"/>
      <c r="W852" s="1"/>
      <c r="X852" s="1"/>
    </row>
    <row r="853" spans="1:24" ht="12.75" customHeight="1" x14ac:dyDescent="0.2">
      <c r="A853" s="1"/>
      <c r="B853" s="1"/>
      <c r="C853" s="89"/>
      <c r="D853" s="89"/>
      <c r="E853" s="93"/>
      <c r="F853" s="93"/>
      <c r="G853" s="105"/>
      <c r="H853" s="105"/>
      <c r="I853" s="1"/>
      <c r="J853" s="1"/>
      <c r="K853" s="1"/>
      <c r="L853" s="1"/>
      <c r="M853" s="1"/>
      <c r="N853" s="1"/>
      <c r="O853" s="1"/>
      <c r="P853" s="1"/>
      <c r="Q853" s="1"/>
      <c r="R853" s="1"/>
      <c r="S853" s="1"/>
      <c r="T853" s="1"/>
      <c r="U853" s="1"/>
      <c r="V853" s="1"/>
      <c r="W853" s="1"/>
      <c r="X853" s="1"/>
    </row>
    <row r="854" spans="1:24" ht="12.75" customHeight="1" x14ac:dyDescent="0.2">
      <c r="A854" s="1"/>
      <c r="B854" s="1"/>
      <c r="C854" s="89"/>
      <c r="D854" s="89"/>
      <c r="E854" s="93"/>
      <c r="F854" s="93"/>
      <c r="G854" s="105"/>
      <c r="H854" s="105"/>
      <c r="I854" s="1"/>
      <c r="J854" s="1"/>
      <c r="K854" s="1"/>
      <c r="L854" s="1"/>
      <c r="M854" s="1"/>
      <c r="N854" s="1"/>
      <c r="O854" s="1"/>
      <c r="P854" s="1"/>
      <c r="Q854" s="1"/>
      <c r="R854" s="1"/>
      <c r="S854" s="1"/>
      <c r="T854" s="1"/>
      <c r="U854" s="1"/>
      <c r="V854" s="1"/>
      <c r="W854" s="1"/>
      <c r="X854" s="1"/>
    </row>
    <row r="855" spans="1:24" ht="12.75" customHeight="1" x14ac:dyDescent="0.2">
      <c r="A855" s="1"/>
      <c r="B855" s="1"/>
      <c r="C855" s="89"/>
      <c r="D855" s="89"/>
      <c r="E855" s="93"/>
      <c r="F855" s="93"/>
      <c r="G855" s="105"/>
      <c r="H855" s="105"/>
      <c r="I855" s="1"/>
      <c r="J855" s="1"/>
      <c r="K855" s="1"/>
      <c r="L855" s="1"/>
      <c r="M855" s="1"/>
      <c r="N855" s="1"/>
      <c r="O855" s="1"/>
      <c r="P855" s="1"/>
      <c r="Q855" s="1"/>
      <c r="R855" s="1"/>
      <c r="S855" s="1"/>
      <c r="T855" s="1"/>
      <c r="U855" s="1"/>
      <c r="V855" s="1"/>
      <c r="W855" s="1"/>
      <c r="X855" s="1"/>
    </row>
    <row r="856" spans="1:24" ht="12.75" customHeight="1" x14ac:dyDescent="0.2">
      <c r="A856" s="1"/>
      <c r="B856" s="1"/>
      <c r="C856" s="89"/>
      <c r="D856" s="89"/>
      <c r="E856" s="93"/>
      <c r="F856" s="93"/>
      <c r="G856" s="105"/>
      <c r="H856" s="105"/>
      <c r="I856" s="1"/>
      <c r="J856" s="1"/>
      <c r="K856" s="1"/>
      <c r="L856" s="1"/>
      <c r="M856" s="1"/>
      <c r="N856" s="1"/>
      <c r="O856" s="1"/>
      <c r="P856" s="1"/>
      <c r="Q856" s="1"/>
      <c r="R856" s="1"/>
      <c r="S856" s="1"/>
      <c r="T856" s="1"/>
      <c r="U856" s="1"/>
      <c r="V856" s="1"/>
      <c r="W856" s="1"/>
      <c r="X856" s="1"/>
    </row>
    <row r="857" spans="1:24" ht="12.75" customHeight="1" x14ac:dyDescent="0.2">
      <c r="A857" s="1"/>
      <c r="B857" s="1"/>
      <c r="C857" s="89"/>
      <c r="D857" s="89"/>
      <c r="E857" s="93"/>
      <c r="F857" s="93"/>
      <c r="G857" s="105"/>
      <c r="H857" s="105"/>
      <c r="I857" s="1"/>
      <c r="J857" s="1"/>
      <c r="K857" s="1"/>
      <c r="L857" s="1"/>
      <c r="M857" s="1"/>
      <c r="N857" s="1"/>
      <c r="O857" s="1"/>
      <c r="P857" s="1"/>
      <c r="Q857" s="1"/>
      <c r="R857" s="1"/>
      <c r="S857" s="1"/>
      <c r="T857" s="1"/>
      <c r="U857" s="1"/>
      <c r="V857" s="1"/>
      <c r="W857" s="1"/>
      <c r="X857" s="1"/>
    </row>
    <row r="858" spans="1:24" ht="12.75" customHeight="1" x14ac:dyDescent="0.2">
      <c r="A858" s="1"/>
      <c r="B858" s="1"/>
      <c r="C858" s="89"/>
      <c r="D858" s="89"/>
      <c r="E858" s="93"/>
      <c r="F858" s="93"/>
      <c r="G858" s="105"/>
      <c r="H858" s="105"/>
      <c r="I858" s="1"/>
      <c r="J858" s="1"/>
      <c r="K858" s="1"/>
      <c r="L858" s="1"/>
      <c r="M858" s="1"/>
      <c r="N858" s="1"/>
      <c r="O858" s="1"/>
      <c r="P858" s="1"/>
      <c r="Q858" s="1"/>
      <c r="R858" s="1"/>
      <c r="S858" s="1"/>
      <c r="T858" s="1"/>
      <c r="U858" s="1"/>
      <c r="V858" s="1"/>
      <c r="W858" s="1"/>
      <c r="X858" s="1"/>
    </row>
    <row r="859" spans="1:24" ht="12.75" customHeight="1" x14ac:dyDescent="0.2">
      <c r="A859" s="1"/>
      <c r="B859" s="1"/>
      <c r="C859" s="89"/>
      <c r="D859" s="89"/>
      <c r="E859" s="93"/>
      <c r="F859" s="93"/>
      <c r="G859" s="105"/>
      <c r="H859" s="105"/>
      <c r="I859" s="1"/>
      <c r="J859" s="1"/>
      <c r="K859" s="1"/>
      <c r="L859" s="1"/>
      <c r="M859" s="1"/>
      <c r="N859" s="1"/>
      <c r="O859" s="1"/>
      <c r="P859" s="1"/>
      <c r="Q859" s="1"/>
      <c r="R859" s="1"/>
      <c r="S859" s="1"/>
      <c r="T859" s="1"/>
      <c r="U859" s="1"/>
      <c r="V859" s="1"/>
      <c r="W859" s="1"/>
      <c r="X859" s="1"/>
    </row>
    <row r="860" spans="1:24" ht="12.75" customHeight="1" x14ac:dyDescent="0.2">
      <c r="A860" s="1"/>
      <c r="B860" s="1"/>
      <c r="C860" s="89"/>
      <c r="D860" s="89"/>
      <c r="E860" s="93"/>
      <c r="F860" s="93"/>
      <c r="G860" s="105"/>
      <c r="H860" s="105"/>
      <c r="I860" s="1"/>
      <c r="J860" s="1"/>
      <c r="K860" s="1"/>
      <c r="L860" s="1"/>
      <c r="M860" s="1"/>
      <c r="N860" s="1"/>
      <c r="O860" s="1"/>
      <c r="P860" s="1"/>
      <c r="Q860" s="1"/>
      <c r="R860" s="1"/>
      <c r="S860" s="1"/>
      <c r="T860" s="1"/>
      <c r="U860" s="1"/>
      <c r="V860" s="1"/>
      <c r="W860" s="1"/>
      <c r="X860" s="1"/>
    </row>
    <row r="861" spans="1:24" ht="12.75" customHeight="1" x14ac:dyDescent="0.2">
      <c r="A861" s="1"/>
      <c r="B861" s="1"/>
      <c r="C861" s="89"/>
      <c r="D861" s="89"/>
      <c r="E861" s="93"/>
      <c r="F861" s="93"/>
      <c r="G861" s="105"/>
      <c r="H861" s="105"/>
      <c r="I861" s="1"/>
      <c r="J861" s="1"/>
      <c r="K861" s="1"/>
      <c r="L861" s="1"/>
      <c r="M861" s="1"/>
      <c r="N861" s="1"/>
      <c r="O861" s="1"/>
      <c r="P861" s="1"/>
      <c r="Q861" s="1"/>
      <c r="R861" s="1"/>
      <c r="S861" s="1"/>
      <c r="T861" s="1"/>
      <c r="U861" s="1"/>
      <c r="V861" s="1"/>
      <c r="W861" s="1"/>
      <c r="X861" s="1"/>
    </row>
    <row r="862" spans="1:24" ht="12.75" customHeight="1" x14ac:dyDescent="0.2">
      <c r="A862" s="1"/>
      <c r="B862" s="1"/>
      <c r="C862" s="89"/>
      <c r="D862" s="89"/>
      <c r="E862" s="93"/>
      <c r="F862" s="93"/>
      <c r="G862" s="105"/>
      <c r="H862" s="105"/>
      <c r="I862" s="1"/>
      <c r="J862" s="1"/>
      <c r="K862" s="1"/>
      <c r="L862" s="1"/>
      <c r="M862" s="1"/>
      <c r="N862" s="1"/>
      <c r="O862" s="1"/>
      <c r="P862" s="1"/>
      <c r="Q862" s="1"/>
      <c r="R862" s="1"/>
      <c r="S862" s="1"/>
      <c r="T862" s="1"/>
      <c r="U862" s="1"/>
      <c r="V862" s="1"/>
      <c r="W862" s="1"/>
      <c r="X862" s="1"/>
    </row>
    <row r="863" spans="1:24" ht="12.75" customHeight="1" x14ac:dyDescent="0.2">
      <c r="A863" s="1"/>
      <c r="B863" s="1"/>
      <c r="C863" s="89"/>
      <c r="D863" s="89"/>
      <c r="E863" s="93"/>
      <c r="F863" s="93"/>
      <c r="G863" s="105"/>
      <c r="H863" s="105"/>
      <c r="I863" s="1"/>
      <c r="J863" s="1"/>
      <c r="K863" s="1"/>
      <c r="L863" s="1"/>
      <c r="M863" s="1"/>
      <c r="N863" s="1"/>
      <c r="O863" s="1"/>
      <c r="P863" s="1"/>
      <c r="Q863" s="1"/>
      <c r="R863" s="1"/>
      <c r="S863" s="1"/>
      <c r="T863" s="1"/>
      <c r="U863" s="1"/>
      <c r="V863" s="1"/>
      <c r="W863" s="1"/>
      <c r="X863" s="1"/>
    </row>
    <row r="864" spans="1:24" ht="12.75" customHeight="1" x14ac:dyDescent="0.2">
      <c r="A864" s="1"/>
      <c r="B864" s="1"/>
      <c r="C864" s="89"/>
      <c r="D864" s="89"/>
      <c r="E864" s="93"/>
      <c r="F864" s="93"/>
      <c r="G864" s="105"/>
      <c r="H864" s="105"/>
      <c r="I864" s="1"/>
      <c r="J864" s="1"/>
      <c r="K864" s="1"/>
      <c r="L864" s="1"/>
      <c r="M864" s="1"/>
      <c r="N864" s="1"/>
      <c r="O864" s="1"/>
      <c r="P864" s="1"/>
      <c r="Q864" s="1"/>
      <c r="R864" s="1"/>
      <c r="S864" s="1"/>
      <c r="T864" s="1"/>
      <c r="U864" s="1"/>
      <c r="V864" s="1"/>
      <c r="W864" s="1"/>
      <c r="X864" s="1"/>
    </row>
    <row r="865" spans="1:24" ht="12.75" customHeight="1" x14ac:dyDescent="0.2">
      <c r="A865" s="1"/>
      <c r="B865" s="1"/>
      <c r="C865" s="89"/>
      <c r="D865" s="89"/>
      <c r="E865" s="93"/>
      <c r="F865" s="93"/>
      <c r="G865" s="105"/>
      <c r="H865" s="105"/>
      <c r="I865" s="1"/>
      <c r="J865" s="1"/>
      <c r="K865" s="1"/>
      <c r="L865" s="1"/>
      <c r="M865" s="1"/>
      <c r="N865" s="1"/>
      <c r="O865" s="1"/>
      <c r="P865" s="1"/>
      <c r="Q865" s="1"/>
      <c r="R865" s="1"/>
      <c r="S865" s="1"/>
      <c r="T865" s="1"/>
      <c r="U865" s="1"/>
      <c r="V865" s="1"/>
      <c r="W865" s="1"/>
      <c r="X865" s="1"/>
    </row>
    <row r="866" spans="1:24" ht="12.75" customHeight="1" x14ac:dyDescent="0.2">
      <c r="A866" s="1"/>
      <c r="B866" s="1"/>
      <c r="C866" s="89"/>
      <c r="D866" s="89"/>
      <c r="E866" s="93"/>
      <c r="F866" s="93"/>
      <c r="G866" s="105"/>
      <c r="H866" s="105"/>
      <c r="I866" s="1"/>
      <c r="J866" s="1"/>
      <c r="K866" s="1"/>
      <c r="L866" s="1"/>
      <c r="M866" s="1"/>
      <c r="N866" s="1"/>
      <c r="O866" s="1"/>
      <c r="P866" s="1"/>
      <c r="Q866" s="1"/>
      <c r="R866" s="1"/>
      <c r="S866" s="1"/>
      <c r="T866" s="1"/>
      <c r="U866" s="1"/>
      <c r="V866" s="1"/>
      <c r="W866" s="1"/>
      <c r="X866" s="1"/>
    </row>
    <row r="867" spans="1:24" ht="12.75" customHeight="1" x14ac:dyDescent="0.2">
      <c r="A867" s="1"/>
      <c r="B867" s="1"/>
      <c r="C867" s="89"/>
      <c r="D867" s="89"/>
      <c r="E867" s="93"/>
      <c r="F867" s="93"/>
      <c r="G867" s="105"/>
      <c r="H867" s="105"/>
      <c r="I867" s="1"/>
      <c r="J867" s="1"/>
      <c r="K867" s="1"/>
      <c r="L867" s="1"/>
      <c r="M867" s="1"/>
      <c r="N867" s="1"/>
      <c r="O867" s="1"/>
      <c r="P867" s="1"/>
      <c r="Q867" s="1"/>
      <c r="R867" s="1"/>
      <c r="S867" s="1"/>
      <c r="T867" s="1"/>
      <c r="U867" s="1"/>
      <c r="V867" s="1"/>
      <c r="W867" s="1"/>
      <c r="X867" s="1"/>
    </row>
    <row r="868" spans="1:24" ht="12.75" customHeight="1" x14ac:dyDescent="0.2">
      <c r="A868" s="1"/>
      <c r="B868" s="1"/>
      <c r="C868" s="89"/>
      <c r="D868" s="89"/>
      <c r="E868" s="93"/>
      <c r="F868" s="93"/>
      <c r="G868" s="105"/>
      <c r="H868" s="105"/>
      <c r="I868" s="1"/>
      <c r="J868" s="1"/>
      <c r="K868" s="1"/>
      <c r="L868" s="1"/>
      <c r="M868" s="1"/>
      <c r="N868" s="1"/>
      <c r="O868" s="1"/>
      <c r="P868" s="1"/>
      <c r="Q868" s="1"/>
      <c r="R868" s="1"/>
      <c r="S868" s="1"/>
      <c r="T868" s="1"/>
      <c r="U868" s="1"/>
      <c r="V868" s="1"/>
      <c r="W868" s="1"/>
      <c r="X868" s="1"/>
    </row>
    <row r="869" spans="1:24" ht="12.75" customHeight="1" x14ac:dyDescent="0.2">
      <c r="A869" s="1"/>
      <c r="B869" s="1"/>
      <c r="C869" s="89"/>
      <c r="D869" s="89"/>
      <c r="E869" s="93"/>
      <c r="F869" s="93"/>
      <c r="G869" s="105"/>
      <c r="H869" s="105"/>
      <c r="I869" s="1"/>
      <c r="J869" s="1"/>
      <c r="K869" s="1"/>
      <c r="L869" s="1"/>
      <c r="M869" s="1"/>
      <c r="N869" s="1"/>
      <c r="O869" s="1"/>
      <c r="P869" s="1"/>
      <c r="Q869" s="1"/>
      <c r="R869" s="1"/>
      <c r="S869" s="1"/>
      <c r="T869" s="1"/>
      <c r="U869" s="1"/>
      <c r="V869" s="1"/>
      <c r="W869" s="1"/>
      <c r="X869" s="1"/>
    </row>
    <row r="870" spans="1:24" ht="12.75" customHeight="1" x14ac:dyDescent="0.2">
      <c r="A870" s="1"/>
      <c r="B870" s="1"/>
      <c r="C870" s="89"/>
      <c r="D870" s="89"/>
      <c r="E870" s="93"/>
      <c r="F870" s="93"/>
      <c r="G870" s="105"/>
      <c r="H870" s="105"/>
      <c r="I870" s="1"/>
      <c r="J870" s="1"/>
      <c r="K870" s="1"/>
      <c r="L870" s="1"/>
      <c r="M870" s="1"/>
      <c r="N870" s="1"/>
      <c r="O870" s="1"/>
      <c r="P870" s="1"/>
      <c r="Q870" s="1"/>
      <c r="R870" s="1"/>
      <c r="S870" s="1"/>
      <c r="T870" s="1"/>
      <c r="U870" s="1"/>
      <c r="V870" s="1"/>
      <c r="W870" s="1"/>
      <c r="X870" s="1"/>
    </row>
    <row r="871" spans="1:24" ht="12.75" customHeight="1" x14ac:dyDescent="0.2">
      <c r="A871" s="1"/>
      <c r="B871" s="1"/>
      <c r="C871" s="89"/>
      <c r="D871" s="89"/>
      <c r="E871" s="93"/>
      <c r="F871" s="93"/>
      <c r="G871" s="105"/>
      <c r="H871" s="105"/>
      <c r="I871" s="1"/>
      <c r="J871" s="1"/>
      <c r="K871" s="1"/>
      <c r="L871" s="1"/>
      <c r="M871" s="1"/>
      <c r="N871" s="1"/>
      <c r="O871" s="1"/>
      <c r="P871" s="1"/>
      <c r="Q871" s="1"/>
      <c r="R871" s="1"/>
      <c r="S871" s="1"/>
      <c r="T871" s="1"/>
      <c r="U871" s="1"/>
      <c r="V871" s="1"/>
      <c r="W871" s="1"/>
      <c r="X871" s="1"/>
    </row>
    <row r="872" spans="1:24" ht="12.75" customHeight="1" x14ac:dyDescent="0.2">
      <c r="A872" s="1"/>
      <c r="B872" s="1"/>
      <c r="C872" s="89"/>
      <c r="D872" s="89"/>
      <c r="E872" s="93"/>
      <c r="F872" s="93"/>
      <c r="G872" s="105"/>
      <c r="H872" s="105"/>
      <c r="I872" s="1"/>
      <c r="J872" s="1"/>
      <c r="K872" s="1"/>
      <c r="L872" s="1"/>
      <c r="M872" s="1"/>
      <c r="N872" s="1"/>
      <c r="O872" s="1"/>
      <c r="P872" s="1"/>
      <c r="Q872" s="1"/>
      <c r="R872" s="1"/>
      <c r="S872" s="1"/>
      <c r="T872" s="1"/>
      <c r="U872" s="1"/>
      <c r="V872" s="1"/>
      <c r="W872" s="1"/>
      <c r="X872" s="1"/>
    </row>
    <row r="873" spans="1:24" ht="12.75" customHeight="1" x14ac:dyDescent="0.2">
      <c r="A873" s="1"/>
      <c r="B873" s="1"/>
      <c r="C873" s="89"/>
      <c r="D873" s="89"/>
      <c r="E873" s="93"/>
      <c r="F873" s="93"/>
      <c r="G873" s="105"/>
      <c r="H873" s="105"/>
      <c r="I873" s="1"/>
      <c r="J873" s="1"/>
      <c r="K873" s="1"/>
      <c r="L873" s="1"/>
      <c r="M873" s="1"/>
      <c r="N873" s="1"/>
      <c r="O873" s="1"/>
      <c r="P873" s="1"/>
      <c r="Q873" s="1"/>
      <c r="R873" s="1"/>
      <c r="S873" s="1"/>
      <c r="T873" s="1"/>
      <c r="U873" s="1"/>
      <c r="V873" s="1"/>
      <c r="W873" s="1"/>
      <c r="X873" s="1"/>
    </row>
    <row r="874" spans="1:24" ht="12.75" customHeight="1" x14ac:dyDescent="0.2">
      <c r="A874" s="1"/>
      <c r="B874" s="1"/>
      <c r="C874" s="89"/>
      <c r="D874" s="89"/>
      <c r="E874" s="93"/>
      <c r="F874" s="93"/>
      <c r="G874" s="105"/>
      <c r="H874" s="105"/>
      <c r="I874" s="1"/>
      <c r="J874" s="1"/>
      <c r="K874" s="1"/>
      <c r="L874" s="1"/>
      <c r="M874" s="1"/>
      <c r="N874" s="1"/>
      <c r="O874" s="1"/>
      <c r="P874" s="1"/>
      <c r="Q874" s="1"/>
      <c r="R874" s="1"/>
      <c r="S874" s="1"/>
      <c r="T874" s="1"/>
      <c r="U874" s="1"/>
      <c r="V874" s="1"/>
      <c r="W874" s="1"/>
      <c r="X874" s="1"/>
    </row>
    <row r="875" spans="1:24" ht="12.75" customHeight="1" x14ac:dyDescent="0.2">
      <c r="A875" s="1"/>
      <c r="B875" s="1"/>
      <c r="C875" s="89"/>
      <c r="D875" s="89"/>
      <c r="E875" s="93"/>
      <c r="F875" s="93"/>
      <c r="G875" s="105"/>
      <c r="H875" s="105"/>
      <c r="I875" s="1"/>
      <c r="J875" s="1"/>
      <c r="K875" s="1"/>
      <c r="L875" s="1"/>
      <c r="M875" s="1"/>
      <c r="N875" s="1"/>
      <c r="O875" s="1"/>
      <c r="P875" s="1"/>
      <c r="Q875" s="1"/>
      <c r="R875" s="1"/>
      <c r="S875" s="1"/>
      <c r="T875" s="1"/>
      <c r="U875" s="1"/>
      <c r="V875" s="1"/>
      <c r="W875" s="1"/>
      <c r="X875" s="1"/>
    </row>
    <row r="876" spans="1:24" ht="12.75" customHeight="1" x14ac:dyDescent="0.2">
      <c r="A876" s="1"/>
      <c r="B876" s="1"/>
      <c r="C876" s="89"/>
      <c r="D876" s="89"/>
      <c r="E876" s="93"/>
      <c r="F876" s="93"/>
      <c r="G876" s="105"/>
      <c r="H876" s="105"/>
      <c r="I876" s="1"/>
      <c r="J876" s="1"/>
      <c r="K876" s="1"/>
      <c r="L876" s="1"/>
      <c r="M876" s="1"/>
      <c r="N876" s="1"/>
      <c r="O876" s="1"/>
      <c r="P876" s="1"/>
      <c r="Q876" s="1"/>
      <c r="R876" s="1"/>
      <c r="S876" s="1"/>
      <c r="T876" s="1"/>
      <c r="U876" s="1"/>
      <c r="V876" s="1"/>
      <c r="W876" s="1"/>
      <c r="X876" s="1"/>
    </row>
    <row r="877" spans="1:24" ht="12.75" customHeight="1" x14ac:dyDescent="0.2">
      <c r="A877" s="1"/>
      <c r="B877" s="1"/>
      <c r="C877" s="89"/>
      <c r="D877" s="89"/>
      <c r="E877" s="93"/>
      <c r="F877" s="93"/>
      <c r="G877" s="105"/>
      <c r="H877" s="105"/>
      <c r="I877" s="1"/>
      <c r="J877" s="1"/>
      <c r="K877" s="1"/>
      <c r="L877" s="1"/>
      <c r="M877" s="1"/>
      <c r="N877" s="1"/>
      <c r="O877" s="1"/>
      <c r="P877" s="1"/>
      <c r="Q877" s="1"/>
      <c r="R877" s="1"/>
      <c r="S877" s="1"/>
      <c r="T877" s="1"/>
      <c r="U877" s="1"/>
      <c r="V877" s="1"/>
      <c r="W877" s="1"/>
      <c r="X877" s="1"/>
    </row>
    <row r="878" spans="1:24" ht="12.75" customHeight="1" x14ac:dyDescent="0.2">
      <c r="A878" s="1"/>
      <c r="B878" s="1"/>
      <c r="C878" s="89"/>
      <c r="D878" s="89"/>
      <c r="E878" s="93"/>
      <c r="F878" s="93"/>
      <c r="G878" s="105"/>
      <c r="H878" s="105"/>
      <c r="I878" s="1"/>
      <c r="J878" s="1"/>
      <c r="K878" s="1"/>
      <c r="L878" s="1"/>
      <c r="M878" s="1"/>
      <c r="N878" s="1"/>
      <c r="O878" s="1"/>
      <c r="P878" s="1"/>
      <c r="Q878" s="1"/>
      <c r="R878" s="1"/>
      <c r="S878" s="1"/>
      <c r="T878" s="1"/>
      <c r="U878" s="1"/>
      <c r="V878" s="1"/>
      <c r="W878" s="1"/>
      <c r="X878" s="1"/>
    </row>
    <row r="879" spans="1:24" ht="12.75" customHeight="1" x14ac:dyDescent="0.2">
      <c r="A879" s="1"/>
      <c r="B879" s="1"/>
      <c r="C879" s="89"/>
      <c r="D879" s="89"/>
      <c r="E879" s="93"/>
      <c r="F879" s="93"/>
      <c r="G879" s="105"/>
      <c r="H879" s="105"/>
      <c r="I879" s="1"/>
      <c r="J879" s="1"/>
      <c r="K879" s="1"/>
      <c r="L879" s="1"/>
      <c r="M879" s="1"/>
      <c r="N879" s="1"/>
      <c r="O879" s="1"/>
      <c r="P879" s="1"/>
      <c r="Q879" s="1"/>
      <c r="R879" s="1"/>
      <c r="S879" s="1"/>
      <c r="T879" s="1"/>
      <c r="U879" s="1"/>
      <c r="V879" s="1"/>
      <c r="W879" s="1"/>
      <c r="X879" s="1"/>
    </row>
    <row r="880" spans="1:24" ht="12.75" customHeight="1" x14ac:dyDescent="0.2">
      <c r="A880" s="1"/>
      <c r="B880" s="1"/>
      <c r="C880" s="89"/>
      <c r="D880" s="89"/>
      <c r="E880" s="93"/>
      <c r="F880" s="93"/>
      <c r="G880" s="105"/>
      <c r="H880" s="105"/>
      <c r="I880" s="1"/>
      <c r="J880" s="1"/>
      <c r="K880" s="1"/>
      <c r="L880" s="1"/>
      <c r="M880" s="1"/>
      <c r="N880" s="1"/>
      <c r="O880" s="1"/>
      <c r="P880" s="1"/>
      <c r="Q880" s="1"/>
      <c r="R880" s="1"/>
      <c r="S880" s="1"/>
      <c r="T880" s="1"/>
      <c r="U880" s="1"/>
      <c r="V880" s="1"/>
      <c r="W880" s="1"/>
      <c r="X880" s="1"/>
    </row>
    <row r="881" spans="1:24" ht="12.75" customHeight="1" x14ac:dyDescent="0.2">
      <c r="A881" s="1"/>
      <c r="B881" s="1"/>
      <c r="C881" s="89"/>
      <c r="D881" s="89"/>
      <c r="E881" s="93"/>
      <c r="F881" s="93"/>
      <c r="G881" s="105"/>
      <c r="H881" s="105"/>
      <c r="I881" s="1"/>
      <c r="J881" s="1"/>
      <c r="K881" s="1"/>
      <c r="L881" s="1"/>
      <c r="M881" s="1"/>
      <c r="N881" s="1"/>
      <c r="O881" s="1"/>
      <c r="P881" s="1"/>
      <c r="Q881" s="1"/>
      <c r="R881" s="1"/>
      <c r="S881" s="1"/>
      <c r="T881" s="1"/>
      <c r="U881" s="1"/>
      <c r="V881" s="1"/>
      <c r="W881" s="1"/>
      <c r="X881" s="1"/>
    </row>
    <row r="882" spans="1:24" ht="12.75" customHeight="1" x14ac:dyDescent="0.2">
      <c r="A882" s="1"/>
      <c r="B882" s="1"/>
      <c r="C882" s="89"/>
      <c r="D882" s="89"/>
      <c r="E882" s="93"/>
      <c r="F882" s="93"/>
      <c r="G882" s="105"/>
      <c r="H882" s="105"/>
      <c r="I882" s="1"/>
      <c r="J882" s="1"/>
      <c r="K882" s="1"/>
      <c r="L882" s="1"/>
      <c r="M882" s="1"/>
      <c r="N882" s="1"/>
      <c r="O882" s="1"/>
      <c r="P882" s="1"/>
      <c r="Q882" s="1"/>
      <c r="R882" s="1"/>
      <c r="S882" s="1"/>
      <c r="T882" s="1"/>
      <c r="U882" s="1"/>
      <c r="V882" s="1"/>
      <c r="W882" s="1"/>
      <c r="X882" s="1"/>
    </row>
    <row r="883" spans="1:24" ht="12.75" customHeight="1" x14ac:dyDescent="0.2">
      <c r="A883" s="1"/>
      <c r="B883" s="1"/>
      <c r="C883" s="89"/>
      <c r="D883" s="89"/>
      <c r="E883" s="93"/>
      <c r="F883" s="93"/>
      <c r="G883" s="105"/>
      <c r="H883" s="105"/>
      <c r="I883" s="1"/>
      <c r="J883" s="1"/>
      <c r="K883" s="1"/>
      <c r="L883" s="1"/>
      <c r="M883" s="1"/>
      <c r="N883" s="1"/>
      <c r="O883" s="1"/>
      <c r="P883" s="1"/>
      <c r="Q883" s="1"/>
      <c r="R883" s="1"/>
      <c r="S883" s="1"/>
      <c r="T883" s="1"/>
      <c r="U883" s="1"/>
      <c r="V883" s="1"/>
      <c r="W883" s="1"/>
      <c r="X883" s="1"/>
    </row>
    <row r="884" spans="1:24" ht="12.75" customHeight="1" x14ac:dyDescent="0.2">
      <c r="A884" s="1"/>
      <c r="B884" s="1"/>
      <c r="C884" s="89"/>
      <c r="D884" s="89"/>
      <c r="E884" s="93"/>
      <c r="F884" s="93"/>
      <c r="G884" s="105"/>
      <c r="H884" s="105"/>
      <c r="I884" s="1"/>
      <c r="J884" s="1"/>
      <c r="K884" s="1"/>
      <c r="L884" s="1"/>
      <c r="M884" s="1"/>
      <c r="N884" s="1"/>
      <c r="O884" s="1"/>
      <c r="P884" s="1"/>
      <c r="Q884" s="1"/>
      <c r="R884" s="1"/>
      <c r="S884" s="1"/>
      <c r="T884" s="1"/>
      <c r="U884" s="1"/>
      <c r="V884" s="1"/>
      <c r="W884" s="1"/>
      <c r="X884" s="1"/>
    </row>
    <row r="885" spans="1:24" ht="12.75" customHeight="1" x14ac:dyDescent="0.2">
      <c r="A885" s="1"/>
      <c r="B885" s="1"/>
      <c r="C885" s="89"/>
      <c r="D885" s="89"/>
      <c r="E885" s="93"/>
      <c r="F885" s="93"/>
      <c r="G885" s="105"/>
      <c r="H885" s="105"/>
      <c r="I885" s="1"/>
      <c r="J885" s="1"/>
      <c r="K885" s="1"/>
      <c r="L885" s="1"/>
      <c r="M885" s="1"/>
      <c r="N885" s="1"/>
      <c r="O885" s="1"/>
      <c r="P885" s="1"/>
      <c r="Q885" s="1"/>
      <c r="R885" s="1"/>
      <c r="S885" s="1"/>
      <c r="T885" s="1"/>
      <c r="U885" s="1"/>
      <c r="V885" s="1"/>
      <c r="W885" s="1"/>
      <c r="X885" s="1"/>
    </row>
    <row r="886" spans="1:24" ht="12.75" customHeight="1" x14ac:dyDescent="0.2">
      <c r="A886" s="1"/>
      <c r="B886" s="1"/>
      <c r="C886" s="89"/>
      <c r="D886" s="89"/>
      <c r="E886" s="93"/>
      <c r="F886" s="93"/>
      <c r="G886" s="105"/>
      <c r="H886" s="105"/>
      <c r="I886" s="1"/>
      <c r="J886" s="1"/>
      <c r="K886" s="1"/>
      <c r="L886" s="1"/>
      <c r="M886" s="1"/>
      <c r="N886" s="1"/>
      <c r="O886" s="1"/>
      <c r="P886" s="1"/>
      <c r="Q886" s="1"/>
      <c r="R886" s="1"/>
      <c r="S886" s="1"/>
      <c r="T886" s="1"/>
      <c r="U886" s="1"/>
      <c r="V886" s="1"/>
      <c r="W886" s="1"/>
      <c r="X886" s="1"/>
    </row>
    <row r="887" spans="1:24" ht="12.75" customHeight="1" x14ac:dyDescent="0.2">
      <c r="A887" s="1"/>
      <c r="B887" s="1"/>
      <c r="C887" s="89"/>
      <c r="D887" s="89"/>
      <c r="E887" s="93"/>
      <c r="F887" s="93"/>
      <c r="G887" s="105"/>
      <c r="H887" s="105"/>
      <c r="I887" s="1"/>
      <c r="J887" s="1"/>
      <c r="K887" s="1"/>
      <c r="L887" s="1"/>
      <c r="M887" s="1"/>
      <c r="N887" s="1"/>
      <c r="O887" s="1"/>
      <c r="P887" s="1"/>
      <c r="Q887" s="1"/>
      <c r="R887" s="1"/>
      <c r="S887" s="1"/>
      <c r="T887" s="1"/>
      <c r="U887" s="1"/>
      <c r="V887" s="1"/>
      <c r="W887" s="1"/>
      <c r="X887" s="1"/>
    </row>
    <row r="888" spans="1:24" ht="12.75" customHeight="1" x14ac:dyDescent="0.2">
      <c r="A888" s="1"/>
      <c r="B888" s="1"/>
      <c r="C888" s="89"/>
      <c r="D888" s="89"/>
      <c r="E888" s="93"/>
      <c r="F888" s="93"/>
      <c r="G888" s="105"/>
      <c r="H888" s="105"/>
      <c r="I888" s="1"/>
      <c r="J888" s="1"/>
      <c r="K888" s="1"/>
      <c r="L888" s="1"/>
      <c r="M888" s="1"/>
      <c r="N888" s="1"/>
      <c r="O888" s="1"/>
      <c r="P888" s="1"/>
      <c r="Q888" s="1"/>
      <c r="R888" s="1"/>
      <c r="S888" s="1"/>
      <c r="T888" s="1"/>
      <c r="U888" s="1"/>
      <c r="V888" s="1"/>
      <c r="W888" s="1"/>
      <c r="X888" s="1"/>
    </row>
    <row r="889" spans="1:24" ht="12.75" customHeight="1" x14ac:dyDescent="0.2">
      <c r="A889" s="1"/>
      <c r="B889" s="1"/>
      <c r="C889" s="89"/>
      <c r="D889" s="89"/>
      <c r="E889" s="93"/>
      <c r="F889" s="93"/>
      <c r="G889" s="105"/>
      <c r="H889" s="105"/>
      <c r="I889" s="1"/>
      <c r="J889" s="1"/>
      <c r="K889" s="1"/>
      <c r="L889" s="1"/>
      <c r="M889" s="1"/>
      <c r="N889" s="1"/>
      <c r="O889" s="1"/>
      <c r="P889" s="1"/>
      <c r="Q889" s="1"/>
      <c r="R889" s="1"/>
      <c r="S889" s="1"/>
      <c r="T889" s="1"/>
      <c r="U889" s="1"/>
      <c r="V889" s="1"/>
      <c r="W889" s="1"/>
      <c r="X889" s="1"/>
    </row>
    <row r="890" spans="1:24" ht="12.75" customHeight="1" x14ac:dyDescent="0.2">
      <c r="A890" s="1"/>
      <c r="B890" s="1"/>
      <c r="C890" s="89"/>
      <c r="D890" s="89"/>
      <c r="E890" s="93"/>
      <c r="F890" s="93"/>
      <c r="G890" s="105"/>
      <c r="H890" s="105"/>
      <c r="I890" s="1"/>
      <c r="J890" s="1"/>
      <c r="K890" s="1"/>
      <c r="L890" s="1"/>
      <c r="M890" s="1"/>
      <c r="N890" s="1"/>
      <c r="O890" s="1"/>
      <c r="P890" s="1"/>
      <c r="Q890" s="1"/>
      <c r="R890" s="1"/>
      <c r="S890" s="1"/>
      <c r="T890" s="1"/>
      <c r="U890" s="1"/>
      <c r="V890" s="1"/>
      <c r="W890" s="1"/>
      <c r="X890" s="1"/>
    </row>
    <row r="891" spans="1:24" ht="12.75" customHeight="1" x14ac:dyDescent="0.2">
      <c r="A891" s="1"/>
      <c r="B891" s="1"/>
      <c r="C891" s="89"/>
      <c r="D891" s="89"/>
      <c r="E891" s="93"/>
      <c r="F891" s="93"/>
      <c r="G891" s="105"/>
      <c r="H891" s="105"/>
      <c r="I891" s="1"/>
      <c r="J891" s="1"/>
      <c r="K891" s="1"/>
      <c r="L891" s="1"/>
      <c r="M891" s="1"/>
      <c r="N891" s="1"/>
      <c r="O891" s="1"/>
      <c r="P891" s="1"/>
      <c r="Q891" s="1"/>
      <c r="R891" s="1"/>
      <c r="S891" s="1"/>
      <c r="T891" s="1"/>
      <c r="U891" s="1"/>
      <c r="V891" s="1"/>
      <c r="W891" s="1"/>
      <c r="X891" s="1"/>
    </row>
    <row r="892" spans="1:24" ht="12.75" customHeight="1" x14ac:dyDescent="0.2">
      <c r="A892" s="1"/>
      <c r="B892" s="1"/>
      <c r="C892" s="89"/>
      <c r="D892" s="89"/>
      <c r="E892" s="93"/>
      <c r="F892" s="93"/>
      <c r="G892" s="105"/>
      <c r="H892" s="105"/>
      <c r="I892" s="1"/>
      <c r="J892" s="1"/>
      <c r="K892" s="1"/>
      <c r="L892" s="1"/>
      <c r="M892" s="1"/>
      <c r="N892" s="1"/>
      <c r="O892" s="1"/>
      <c r="P892" s="1"/>
      <c r="Q892" s="1"/>
      <c r="R892" s="1"/>
      <c r="S892" s="1"/>
      <c r="T892" s="1"/>
      <c r="U892" s="1"/>
      <c r="V892" s="1"/>
      <c r="W892" s="1"/>
      <c r="X892" s="1"/>
    </row>
    <row r="893" spans="1:24" ht="12.75" customHeight="1" x14ac:dyDescent="0.2">
      <c r="A893" s="1"/>
      <c r="B893" s="1"/>
      <c r="C893" s="89"/>
      <c r="D893" s="89"/>
      <c r="E893" s="93"/>
      <c r="F893" s="93"/>
      <c r="G893" s="105"/>
      <c r="H893" s="105"/>
      <c r="I893" s="1"/>
      <c r="J893" s="1"/>
      <c r="K893" s="1"/>
      <c r="L893" s="1"/>
      <c r="M893" s="1"/>
      <c r="N893" s="1"/>
      <c r="O893" s="1"/>
      <c r="P893" s="1"/>
      <c r="Q893" s="1"/>
      <c r="R893" s="1"/>
      <c r="S893" s="1"/>
      <c r="T893" s="1"/>
      <c r="U893" s="1"/>
      <c r="V893" s="1"/>
      <c r="W893" s="1"/>
      <c r="X893" s="1"/>
    </row>
    <row r="894" spans="1:24" ht="12.75" customHeight="1" x14ac:dyDescent="0.2">
      <c r="A894" s="1"/>
      <c r="B894" s="1"/>
      <c r="C894" s="89"/>
      <c r="D894" s="89"/>
      <c r="E894" s="93"/>
      <c r="F894" s="93"/>
      <c r="G894" s="105"/>
      <c r="H894" s="105"/>
      <c r="I894" s="1"/>
      <c r="J894" s="1"/>
      <c r="K894" s="1"/>
      <c r="L894" s="1"/>
      <c r="M894" s="1"/>
      <c r="N894" s="1"/>
      <c r="O894" s="1"/>
      <c r="P894" s="1"/>
      <c r="Q894" s="1"/>
      <c r="R894" s="1"/>
      <c r="S894" s="1"/>
      <c r="T894" s="1"/>
      <c r="U894" s="1"/>
      <c r="V894" s="1"/>
      <c r="W894" s="1"/>
      <c r="X894" s="1"/>
    </row>
    <row r="895" spans="1:24" ht="12.75" customHeight="1" x14ac:dyDescent="0.2">
      <c r="A895" s="1"/>
      <c r="B895" s="1"/>
      <c r="C895" s="89"/>
      <c r="D895" s="89"/>
      <c r="E895" s="93"/>
      <c r="F895" s="93"/>
      <c r="G895" s="105"/>
      <c r="H895" s="105"/>
      <c r="I895" s="1"/>
      <c r="J895" s="1"/>
      <c r="K895" s="1"/>
      <c r="L895" s="1"/>
      <c r="M895" s="1"/>
      <c r="N895" s="1"/>
      <c r="O895" s="1"/>
      <c r="P895" s="1"/>
      <c r="Q895" s="1"/>
      <c r="R895" s="1"/>
      <c r="S895" s="1"/>
      <c r="T895" s="1"/>
      <c r="U895" s="1"/>
      <c r="V895" s="1"/>
      <c r="W895" s="1"/>
      <c r="X895" s="1"/>
    </row>
    <row r="896" spans="1:24" ht="12.75" customHeight="1" x14ac:dyDescent="0.2">
      <c r="A896" s="1"/>
      <c r="B896" s="1"/>
      <c r="C896" s="89"/>
      <c r="D896" s="89"/>
      <c r="E896" s="93"/>
      <c r="F896" s="93"/>
      <c r="G896" s="105"/>
      <c r="H896" s="105"/>
      <c r="I896" s="1"/>
      <c r="J896" s="1"/>
      <c r="K896" s="1"/>
      <c r="L896" s="1"/>
      <c r="M896" s="1"/>
      <c r="N896" s="1"/>
      <c r="O896" s="1"/>
      <c r="P896" s="1"/>
      <c r="Q896" s="1"/>
      <c r="R896" s="1"/>
      <c r="S896" s="1"/>
      <c r="T896" s="1"/>
      <c r="U896" s="1"/>
      <c r="V896" s="1"/>
      <c r="W896" s="1"/>
      <c r="X896" s="1"/>
    </row>
    <row r="897" spans="1:24" ht="12.75" customHeight="1" x14ac:dyDescent="0.2">
      <c r="A897" s="1"/>
      <c r="B897" s="1"/>
      <c r="C897" s="89"/>
      <c r="D897" s="89"/>
      <c r="E897" s="93"/>
      <c r="F897" s="93"/>
      <c r="G897" s="105"/>
      <c r="H897" s="105"/>
      <c r="I897" s="1"/>
      <c r="J897" s="1"/>
      <c r="K897" s="1"/>
      <c r="L897" s="1"/>
      <c r="M897" s="1"/>
      <c r="N897" s="1"/>
      <c r="O897" s="1"/>
      <c r="P897" s="1"/>
      <c r="Q897" s="1"/>
      <c r="R897" s="1"/>
      <c r="S897" s="1"/>
      <c r="T897" s="1"/>
      <c r="U897" s="1"/>
      <c r="V897" s="1"/>
      <c r="W897" s="1"/>
      <c r="X897" s="1"/>
    </row>
    <row r="898" spans="1:24" ht="12.75" customHeight="1" x14ac:dyDescent="0.2">
      <c r="A898" s="1"/>
      <c r="B898" s="1"/>
      <c r="C898" s="89"/>
      <c r="D898" s="89"/>
      <c r="E898" s="93"/>
      <c r="F898" s="93"/>
      <c r="G898" s="105"/>
      <c r="H898" s="105"/>
      <c r="I898" s="1"/>
      <c r="J898" s="1"/>
      <c r="K898" s="1"/>
      <c r="L898" s="1"/>
      <c r="M898" s="1"/>
      <c r="N898" s="1"/>
      <c r="O898" s="1"/>
      <c r="P898" s="1"/>
      <c r="Q898" s="1"/>
      <c r="R898" s="1"/>
      <c r="S898" s="1"/>
      <c r="T898" s="1"/>
      <c r="U898" s="1"/>
      <c r="V898" s="1"/>
      <c r="W898" s="1"/>
      <c r="X898" s="1"/>
    </row>
    <row r="899" spans="1:24" ht="12.75" customHeight="1" x14ac:dyDescent="0.2">
      <c r="A899" s="1"/>
      <c r="B899" s="1"/>
      <c r="C899" s="89"/>
      <c r="D899" s="89"/>
      <c r="E899" s="93"/>
      <c r="F899" s="93"/>
      <c r="G899" s="105"/>
      <c r="H899" s="105"/>
      <c r="I899" s="1"/>
      <c r="J899" s="1"/>
      <c r="K899" s="1"/>
      <c r="L899" s="1"/>
      <c r="M899" s="1"/>
      <c r="N899" s="1"/>
      <c r="O899" s="1"/>
      <c r="P899" s="1"/>
      <c r="Q899" s="1"/>
      <c r="R899" s="1"/>
      <c r="S899" s="1"/>
      <c r="T899" s="1"/>
      <c r="U899" s="1"/>
      <c r="V899" s="1"/>
      <c r="W899" s="1"/>
      <c r="X899" s="1"/>
    </row>
    <row r="900" spans="1:24" ht="12.75" customHeight="1" x14ac:dyDescent="0.2">
      <c r="A900" s="1"/>
      <c r="B900" s="1"/>
      <c r="C900" s="89"/>
      <c r="D900" s="89"/>
      <c r="E900" s="93"/>
      <c r="F900" s="93"/>
      <c r="G900" s="105"/>
      <c r="H900" s="105"/>
      <c r="I900" s="1"/>
      <c r="J900" s="1"/>
      <c r="K900" s="1"/>
      <c r="L900" s="1"/>
      <c r="M900" s="1"/>
      <c r="N900" s="1"/>
      <c r="O900" s="1"/>
      <c r="P900" s="1"/>
      <c r="Q900" s="1"/>
      <c r="R900" s="1"/>
      <c r="S900" s="1"/>
      <c r="T900" s="1"/>
      <c r="U900" s="1"/>
      <c r="V900" s="1"/>
      <c r="W900" s="1"/>
      <c r="X900" s="1"/>
    </row>
    <row r="901" spans="1:24" ht="12.75" customHeight="1" x14ac:dyDescent="0.2">
      <c r="A901" s="1"/>
      <c r="B901" s="1"/>
      <c r="C901" s="89"/>
      <c r="D901" s="89"/>
      <c r="E901" s="93"/>
      <c r="F901" s="93"/>
      <c r="G901" s="105"/>
      <c r="H901" s="105"/>
      <c r="I901" s="1"/>
      <c r="J901" s="1"/>
      <c r="K901" s="1"/>
      <c r="L901" s="1"/>
      <c r="M901" s="1"/>
      <c r="N901" s="1"/>
      <c r="O901" s="1"/>
      <c r="P901" s="1"/>
      <c r="Q901" s="1"/>
      <c r="R901" s="1"/>
      <c r="S901" s="1"/>
      <c r="T901" s="1"/>
      <c r="U901" s="1"/>
      <c r="V901" s="1"/>
      <c r="W901" s="1"/>
      <c r="X901" s="1"/>
    </row>
    <row r="902" spans="1:24" ht="12.75" customHeight="1" x14ac:dyDescent="0.2">
      <c r="A902" s="1"/>
      <c r="B902" s="1"/>
      <c r="C902" s="89"/>
      <c r="D902" s="89"/>
      <c r="E902" s="93"/>
      <c r="F902" s="93"/>
      <c r="G902" s="105"/>
      <c r="H902" s="105"/>
      <c r="I902" s="1"/>
      <c r="J902" s="1"/>
      <c r="K902" s="1"/>
      <c r="L902" s="1"/>
      <c r="M902" s="1"/>
      <c r="N902" s="1"/>
      <c r="O902" s="1"/>
      <c r="P902" s="1"/>
      <c r="Q902" s="1"/>
      <c r="R902" s="1"/>
      <c r="S902" s="1"/>
      <c r="T902" s="1"/>
      <c r="U902" s="1"/>
      <c r="V902" s="1"/>
      <c r="W902" s="1"/>
      <c r="X902" s="1"/>
    </row>
    <row r="903" spans="1:24" ht="12.75" customHeight="1" x14ac:dyDescent="0.2">
      <c r="A903" s="1"/>
      <c r="B903" s="1"/>
      <c r="C903" s="89"/>
      <c r="D903" s="89"/>
      <c r="E903" s="93"/>
      <c r="F903" s="93"/>
      <c r="G903" s="105"/>
      <c r="H903" s="105"/>
      <c r="I903" s="1"/>
      <c r="J903" s="1"/>
      <c r="K903" s="1"/>
      <c r="L903" s="1"/>
      <c r="M903" s="1"/>
      <c r="N903" s="1"/>
      <c r="O903" s="1"/>
      <c r="P903" s="1"/>
      <c r="Q903" s="1"/>
      <c r="R903" s="1"/>
      <c r="S903" s="1"/>
      <c r="T903" s="1"/>
      <c r="U903" s="1"/>
      <c r="V903" s="1"/>
      <c r="W903" s="1"/>
      <c r="X903" s="1"/>
    </row>
    <row r="904" spans="1:24" ht="12.75" customHeight="1" x14ac:dyDescent="0.2">
      <c r="A904" s="1"/>
      <c r="B904" s="1"/>
      <c r="C904" s="89"/>
      <c r="D904" s="89"/>
      <c r="E904" s="93"/>
      <c r="F904" s="93"/>
      <c r="G904" s="105"/>
      <c r="H904" s="105"/>
      <c r="I904" s="1"/>
      <c r="J904" s="1"/>
      <c r="K904" s="1"/>
      <c r="L904" s="1"/>
      <c r="M904" s="1"/>
      <c r="N904" s="1"/>
      <c r="O904" s="1"/>
      <c r="P904" s="1"/>
      <c r="Q904" s="1"/>
      <c r="R904" s="1"/>
      <c r="S904" s="1"/>
      <c r="T904" s="1"/>
      <c r="U904" s="1"/>
      <c r="V904" s="1"/>
      <c r="W904" s="1"/>
      <c r="X904" s="1"/>
    </row>
    <row r="905" spans="1:24" ht="12.75" customHeight="1" x14ac:dyDescent="0.2">
      <c r="A905" s="1"/>
      <c r="B905" s="1"/>
      <c r="C905" s="89"/>
      <c r="D905" s="89"/>
      <c r="E905" s="93"/>
      <c r="F905" s="93"/>
      <c r="G905" s="105"/>
      <c r="H905" s="105"/>
      <c r="I905" s="1"/>
      <c r="J905" s="1"/>
      <c r="K905" s="1"/>
      <c r="L905" s="1"/>
      <c r="M905" s="1"/>
      <c r="N905" s="1"/>
      <c r="O905" s="1"/>
      <c r="P905" s="1"/>
      <c r="Q905" s="1"/>
      <c r="R905" s="1"/>
      <c r="S905" s="1"/>
      <c r="T905" s="1"/>
      <c r="U905" s="1"/>
      <c r="V905" s="1"/>
      <c r="W905" s="1"/>
      <c r="X905" s="1"/>
    </row>
    <row r="906" spans="1:24" ht="12.75" customHeight="1" x14ac:dyDescent="0.2">
      <c r="A906" s="1"/>
      <c r="B906" s="1"/>
      <c r="C906" s="89"/>
      <c r="D906" s="89"/>
      <c r="E906" s="93"/>
      <c r="F906" s="93"/>
      <c r="G906" s="105"/>
      <c r="H906" s="105"/>
      <c r="I906" s="1"/>
      <c r="J906" s="1"/>
      <c r="K906" s="1"/>
      <c r="L906" s="1"/>
      <c r="M906" s="1"/>
      <c r="N906" s="1"/>
      <c r="O906" s="1"/>
      <c r="P906" s="1"/>
      <c r="Q906" s="1"/>
      <c r="R906" s="1"/>
      <c r="S906" s="1"/>
      <c r="T906" s="1"/>
      <c r="U906" s="1"/>
      <c r="V906" s="1"/>
      <c r="W906" s="1"/>
      <c r="X906" s="1"/>
    </row>
    <row r="907" spans="1:24" ht="12.75" customHeight="1" x14ac:dyDescent="0.2">
      <c r="A907" s="1"/>
      <c r="B907" s="1"/>
      <c r="C907" s="89"/>
      <c r="D907" s="89"/>
      <c r="E907" s="93"/>
      <c r="F907" s="93"/>
      <c r="G907" s="105"/>
      <c r="H907" s="105"/>
      <c r="I907" s="1"/>
      <c r="J907" s="1"/>
      <c r="K907" s="1"/>
      <c r="L907" s="1"/>
      <c r="M907" s="1"/>
      <c r="N907" s="1"/>
      <c r="O907" s="1"/>
      <c r="P907" s="1"/>
      <c r="Q907" s="1"/>
      <c r="R907" s="1"/>
      <c r="S907" s="1"/>
      <c r="T907" s="1"/>
      <c r="U907" s="1"/>
      <c r="V907" s="1"/>
      <c r="W907" s="1"/>
      <c r="X907" s="1"/>
    </row>
    <row r="908" spans="1:24" ht="12.75" customHeight="1" x14ac:dyDescent="0.2">
      <c r="A908" s="1"/>
      <c r="B908" s="1"/>
      <c r="C908" s="89"/>
      <c r="D908" s="89"/>
      <c r="E908" s="93"/>
      <c r="F908" s="93"/>
      <c r="G908" s="105"/>
      <c r="H908" s="105"/>
      <c r="I908" s="1"/>
      <c r="J908" s="1"/>
      <c r="K908" s="1"/>
      <c r="L908" s="1"/>
      <c r="M908" s="1"/>
      <c r="N908" s="1"/>
      <c r="O908" s="1"/>
      <c r="P908" s="1"/>
      <c r="Q908" s="1"/>
      <c r="R908" s="1"/>
      <c r="S908" s="1"/>
      <c r="T908" s="1"/>
      <c r="U908" s="1"/>
      <c r="V908" s="1"/>
      <c r="W908" s="1"/>
      <c r="X908" s="1"/>
    </row>
    <row r="909" spans="1:24" ht="12.75" customHeight="1" x14ac:dyDescent="0.2">
      <c r="A909" s="1"/>
      <c r="B909" s="1"/>
      <c r="C909" s="89"/>
      <c r="D909" s="89"/>
      <c r="E909" s="93"/>
      <c r="F909" s="93"/>
      <c r="G909" s="105"/>
      <c r="H909" s="105"/>
      <c r="I909" s="1"/>
      <c r="J909" s="1"/>
      <c r="K909" s="1"/>
      <c r="L909" s="1"/>
      <c r="M909" s="1"/>
      <c r="N909" s="1"/>
      <c r="O909" s="1"/>
      <c r="P909" s="1"/>
      <c r="Q909" s="1"/>
      <c r="R909" s="1"/>
      <c r="S909" s="1"/>
      <c r="T909" s="1"/>
      <c r="U909" s="1"/>
      <c r="V909" s="1"/>
      <c r="W909" s="1"/>
      <c r="X909" s="1"/>
    </row>
    <row r="910" spans="1:24" ht="12.75" customHeight="1" x14ac:dyDescent="0.2">
      <c r="A910" s="1"/>
      <c r="B910" s="1"/>
      <c r="C910" s="89"/>
      <c r="D910" s="89"/>
      <c r="E910" s="93"/>
      <c r="F910" s="93"/>
      <c r="G910" s="105"/>
      <c r="H910" s="105"/>
      <c r="I910" s="1"/>
      <c r="J910" s="1"/>
      <c r="K910" s="1"/>
      <c r="L910" s="1"/>
      <c r="M910" s="1"/>
      <c r="N910" s="1"/>
      <c r="O910" s="1"/>
      <c r="P910" s="1"/>
      <c r="Q910" s="1"/>
      <c r="R910" s="1"/>
      <c r="S910" s="1"/>
      <c r="T910" s="1"/>
      <c r="U910" s="1"/>
      <c r="V910" s="1"/>
      <c r="W910" s="1"/>
      <c r="X910" s="1"/>
    </row>
    <row r="911" spans="1:24" ht="12.75" customHeight="1" x14ac:dyDescent="0.2">
      <c r="A911" s="1"/>
      <c r="B911" s="1"/>
      <c r="C911" s="89"/>
      <c r="D911" s="89"/>
      <c r="E911" s="93"/>
      <c r="F911" s="93"/>
      <c r="G911" s="105"/>
      <c r="H911" s="105"/>
      <c r="I911" s="1"/>
      <c r="J911" s="1"/>
      <c r="K911" s="1"/>
      <c r="L911" s="1"/>
      <c r="M911" s="1"/>
      <c r="N911" s="1"/>
      <c r="O911" s="1"/>
      <c r="P911" s="1"/>
      <c r="Q911" s="1"/>
      <c r="R911" s="1"/>
      <c r="S911" s="1"/>
      <c r="T911" s="1"/>
      <c r="U911" s="1"/>
      <c r="V911" s="1"/>
      <c r="W911" s="1"/>
      <c r="X911" s="1"/>
    </row>
    <row r="912" spans="1:24" ht="12.75" customHeight="1" x14ac:dyDescent="0.2">
      <c r="A912" s="1"/>
      <c r="B912" s="1"/>
      <c r="C912" s="89"/>
      <c r="D912" s="89"/>
      <c r="E912" s="93"/>
      <c r="F912" s="93"/>
      <c r="G912" s="105"/>
      <c r="H912" s="105"/>
      <c r="I912" s="1"/>
      <c r="J912" s="1"/>
      <c r="K912" s="1"/>
      <c r="L912" s="1"/>
      <c r="M912" s="1"/>
      <c r="N912" s="1"/>
      <c r="O912" s="1"/>
      <c r="P912" s="1"/>
      <c r="Q912" s="1"/>
      <c r="R912" s="1"/>
      <c r="S912" s="1"/>
      <c r="T912" s="1"/>
      <c r="U912" s="1"/>
      <c r="V912" s="1"/>
      <c r="W912" s="1"/>
      <c r="X912" s="1"/>
    </row>
    <row r="913" spans="1:24" ht="12.75" customHeight="1" x14ac:dyDescent="0.2">
      <c r="A913" s="1"/>
      <c r="B913" s="1"/>
      <c r="C913" s="89"/>
      <c r="D913" s="89"/>
      <c r="E913" s="93"/>
      <c r="F913" s="93"/>
      <c r="G913" s="105"/>
      <c r="H913" s="105"/>
      <c r="I913" s="1"/>
      <c r="J913" s="1"/>
      <c r="K913" s="1"/>
      <c r="L913" s="1"/>
      <c r="M913" s="1"/>
      <c r="N913" s="1"/>
      <c r="O913" s="1"/>
      <c r="P913" s="1"/>
      <c r="Q913" s="1"/>
      <c r="R913" s="1"/>
      <c r="S913" s="1"/>
      <c r="T913" s="1"/>
      <c r="U913" s="1"/>
      <c r="V913" s="1"/>
      <c r="W913" s="1"/>
      <c r="X913" s="1"/>
    </row>
    <row r="914" spans="1:24" ht="12.75" customHeight="1" x14ac:dyDescent="0.2">
      <c r="A914" s="1"/>
      <c r="B914" s="1"/>
      <c r="C914" s="89"/>
      <c r="D914" s="89"/>
      <c r="E914" s="93"/>
      <c r="F914" s="93"/>
      <c r="G914" s="105"/>
      <c r="H914" s="105"/>
      <c r="I914" s="1"/>
      <c r="J914" s="1"/>
      <c r="K914" s="1"/>
      <c r="L914" s="1"/>
      <c r="M914" s="1"/>
      <c r="N914" s="1"/>
      <c r="O914" s="1"/>
      <c r="P914" s="1"/>
      <c r="Q914" s="1"/>
      <c r="R914" s="1"/>
      <c r="S914" s="1"/>
      <c r="T914" s="1"/>
      <c r="U914" s="1"/>
      <c r="V914" s="1"/>
      <c r="W914" s="1"/>
      <c r="X914" s="1"/>
    </row>
    <row r="915" spans="1:24" ht="12.75" customHeight="1" x14ac:dyDescent="0.2">
      <c r="A915" s="1"/>
      <c r="B915" s="1"/>
      <c r="C915" s="89"/>
      <c r="D915" s="89"/>
      <c r="E915" s="93"/>
      <c r="F915" s="93"/>
      <c r="G915" s="105"/>
      <c r="H915" s="105"/>
      <c r="I915" s="1"/>
      <c r="J915" s="1"/>
      <c r="K915" s="1"/>
      <c r="L915" s="1"/>
      <c r="M915" s="1"/>
      <c r="N915" s="1"/>
      <c r="O915" s="1"/>
      <c r="P915" s="1"/>
      <c r="Q915" s="1"/>
      <c r="R915" s="1"/>
      <c r="S915" s="1"/>
      <c r="T915" s="1"/>
      <c r="U915" s="1"/>
      <c r="V915" s="1"/>
      <c r="W915" s="1"/>
      <c r="X915" s="1"/>
    </row>
    <row r="916" spans="1:24" ht="12.75" customHeight="1" x14ac:dyDescent="0.2">
      <c r="A916" s="1"/>
      <c r="B916" s="1"/>
      <c r="C916" s="89"/>
      <c r="D916" s="89"/>
      <c r="E916" s="93"/>
      <c r="F916" s="93"/>
      <c r="G916" s="105"/>
      <c r="H916" s="105"/>
      <c r="I916" s="1"/>
      <c r="J916" s="1"/>
      <c r="K916" s="1"/>
      <c r="L916" s="1"/>
      <c r="M916" s="1"/>
      <c r="N916" s="1"/>
      <c r="O916" s="1"/>
      <c r="P916" s="1"/>
      <c r="Q916" s="1"/>
      <c r="R916" s="1"/>
      <c r="S916" s="1"/>
      <c r="T916" s="1"/>
      <c r="U916" s="1"/>
      <c r="V916" s="1"/>
      <c r="W916" s="1"/>
      <c r="X916" s="1"/>
    </row>
    <row r="917" spans="1:24" ht="12.75" customHeight="1" x14ac:dyDescent="0.2">
      <c r="A917" s="1"/>
      <c r="B917" s="1"/>
      <c r="C917" s="89"/>
      <c r="D917" s="89"/>
      <c r="E917" s="93"/>
      <c r="F917" s="93"/>
      <c r="G917" s="105"/>
      <c r="H917" s="105"/>
      <c r="I917" s="1"/>
      <c r="J917" s="1"/>
      <c r="K917" s="1"/>
      <c r="L917" s="1"/>
      <c r="M917" s="1"/>
      <c r="N917" s="1"/>
      <c r="O917" s="1"/>
      <c r="P917" s="1"/>
      <c r="Q917" s="1"/>
      <c r="R917" s="1"/>
      <c r="S917" s="1"/>
      <c r="T917" s="1"/>
      <c r="U917" s="1"/>
      <c r="V917" s="1"/>
      <c r="W917" s="1"/>
      <c r="X917" s="1"/>
    </row>
    <row r="918" spans="1:24" ht="12.75" customHeight="1" x14ac:dyDescent="0.2">
      <c r="A918" s="1"/>
      <c r="B918" s="1"/>
      <c r="C918" s="89"/>
      <c r="D918" s="89"/>
      <c r="E918" s="93"/>
      <c r="F918" s="93"/>
      <c r="G918" s="105"/>
      <c r="H918" s="105"/>
      <c r="I918" s="1"/>
      <c r="J918" s="1"/>
      <c r="K918" s="1"/>
      <c r="L918" s="1"/>
      <c r="M918" s="1"/>
      <c r="N918" s="1"/>
      <c r="O918" s="1"/>
      <c r="P918" s="1"/>
      <c r="Q918" s="1"/>
      <c r="R918" s="1"/>
      <c r="S918" s="1"/>
      <c r="T918" s="1"/>
      <c r="U918" s="1"/>
      <c r="V918" s="1"/>
      <c r="W918" s="1"/>
      <c r="X918" s="1"/>
    </row>
    <row r="919" spans="1:24" ht="12.75" customHeight="1" x14ac:dyDescent="0.2">
      <c r="A919" s="1"/>
      <c r="B919" s="1"/>
      <c r="C919" s="89"/>
      <c r="D919" s="89"/>
      <c r="E919" s="93"/>
      <c r="F919" s="93"/>
      <c r="G919" s="105"/>
      <c r="H919" s="105"/>
      <c r="I919" s="1"/>
      <c r="J919" s="1"/>
      <c r="K919" s="1"/>
      <c r="L919" s="1"/>
      <c r="M919" s="1"/>
      <c r="N919" s="1"/>
      <c r="O919" s="1"/>
      <c r="P919" s="1"/>
      <c r="Q919" s="1"/>
      <c r="R919" s="1"/>
      <c r="S919" s="1"/>
      <c r="T919" s="1"/>
      <c r="U919" s="1"/>
      <c r="V919" s="1"/>
      <c r="W919" s="1"/>
      <c r="X919" s="1"/>
    </row>
    <row r="920" spans="1:24" ht="12.75" customHeight="1" x14ac:dyDescent="0.2">
      <c r="A920" s="1"/>
      <c r="B920" s="1"/>
      <c r="C920" s="89"/>
      <c r="D920" s="89"/>
      <c r="E920" s="93"/>
      <c r="F920" s="93"/>
      <c r="G920" s="105"/>
      <c r="H920" s="105"/>
      <c r="I920" s="1"/>
      <c r="J920" s="1"/>
      <c r="K920" s="1"/>
      <c r="L920" s="1"/>
      <c r="M920" s="1"/>
      <c r="N920" s="1"/>
      <c r="O920" s="1"/>
      <c r="P920" s="1"/>
      <c r="Q920" s="1"/>
      <c r="R920" s="1"/>
      <c r="S920" s="1"/>
      <c r="T920" s="1"/>
      <c r="U920" s="1"/>
      <c r="V920" s="1"/>
      <c r="W920" s="1"/>
      <c r="X920" s="1"/>
    </row>
    <row r="921" spans="1:24" ht="12.75" customHeight="1" x14ac:dyDescent="0.2">
      <c r="A921" s="1"/>
      <c r="B921" s="1"/>
      <c r="C921" s="89"/>
      <c r="D921" s="89"/>
      <c r="E921" s="93"/>
      <c r="F921" s="93"/>
      <c r="G921" s="105"/>
      <c r="H921" s="105"/>
      <c r="I921" s="1"/>
      <c r="J921" s="1"/>
      <c r="K921" s="1"/>
      <c r="L921" s="1"/>
      <c r="M921" s="1"/>
      <c r="N921" s="1"/>
      <c r="O921" s="1"/>
      <c r="P921" s="1"/>
      <c r="Q921" s="1"/>
      <c r="R921" s="1"/>
      <c r="S921" s="1"/>
      <c r="T921" s="1"/>
      <c r="U921" s="1"/>
      <c r="V921" s="1"/>
      <c r="W921" s="1"/>
      <c r="X921" s="1"/>
    </row>
    <row r="922" spans="1:24" ht="12.75" customHeight="1" x14ac:dyDescent="0.2">
      <c r="A922" s="1"/>
      <c r="B922" s="1"/>
      <c r="C922" s="89"/>
      <c r="D922" s="89"/>
      <c r="E922" s="93"/>
      <c r="F922" s="93"/>
      <c r="G922" s="105"/>
      <c r="H922" s="105"/>
      <c r="I922" s="1"/>
      <c r="J922" s="1"/>
      <c r="K922" s="1"/>
      <c r="L922" s="1"/>
      <c r="M922" s="1"/>
      <c r="N922" s="1"/>
      <c r="O922" s="1"/>
      <c r="P922" s="1"/>
      <c r="Q922" s="1"/>
      <c r="R922" s="1"/>
      <c r="S922" s="1"/>
      <c r="T922" s="1"/>
      <c r="U922" s="1"/>
      <c r="V922" s="1"/>
      <c r="W922" s="1"/>
      <c r="X922" s="1"/>
    </row>
    <row r="923" spans="1:24" ht="12.75" customHeight="1" x14ac:dyDescent="0.2">
      <c r="A923" s="1"/>
      <c r="B923" s="1"/>
      <c r="C923" s="89"/>
      <c r="D923" s="89"/>
      <c r="E923" s="93"/>
      <c r="F923" s="93"/>
      <c r="G923" s="105"/>
      <c r="H923" s="105"/>
      <c r="I923" s="1"/>
      <c r="J923" s="1"/>
      <c r="K923" s="1"/>
      <c r="L923" s="1"/>
      <c r="M923" s="1"/>
      <c r="N923" s="1"/>
      <c r="O923" s="1"/>
      <c r="P923" s="1"/>
      <c r="Q923" s="1"/>
      <c r="R923" s="1"/>
      <c r="S923" s="1"/>
      <c r="T923" s="1"/>
      <c r="U923" s="1"/>
      <c r="V923" s="1"/>
      <c r="W923" s="1"/>
      <c r="X923" s="1"/>
    </row>
    <row r="924" spans="1:24" ht="12.75" customHeight="1" x14ac:dyDescent="0.2">
      <c r="A924" s="1"/>
      <c r="B924" s="1"/>
      <c r="C924" s="89"/>
      <c r="D924" s="89"/>
      <c r="E924" s="93"/>
      <c r="F924" s="93"/>
      <c r="G924" s="105"/>
      <c r="H924" s="105"/>
      <c r="I924" s="1"/>
      <c r="J924" s="1"/>
      <c r="K924" s="1"/>
      <c r="L924" s="1"/>
      <c r="M924" s="1"/>
      <c r="N924" s="1"/>
      <c r="O924" s="1"/>
      <c r="P924" s="1"/>
      <c r="Q924" s="1"/>
      <c r="R924" s="1"/>
      <c r="S924" s="1"/>
      <c r="T924" s="1"/>
      <c r="U924" s="1"/>
      <c r="V924" s="1"/>
      <c r="W924" s="1"/>
      <c r="X924" s="1"/>
    </row>
    <row r="925" spans="1:24" ht="12.75" customHeight="1" x14ac:dyDescent="0.2">
      <c r="A925" s="1"/>
      <c r="B925" s="1"/>
      <c r="C925" s="89"/>
      <c r="D925" s="89"/>
      <c r="E925" s="93"/>
      <c r="F925" s="93"/>
      <c r="G925" s="105"/>
      <c r="H925" s="105"/>
      <c r="I925" s="1"/>
      <c r="J925" s="1"/>
      <c r="K925" s="1"/>
      <c r="L925" s="1"/>
      <c r="M925" s="1"/>
      <c r="N925" s="1"/>
      <c r="O925" s="1"/>
      <c r="P925" s="1"/>
      <c r="Q925" s="1"/>
      <c r="R925" s="1"/>
      <c r="S925" s="1"/>
      <c r="T925" s="1"/>
      <c r="U925" s="1"/>
      <c r="V925" s="1"/>
      <c r="W925" s="1"/>
      <c r="X925" s="1"/>
    </row>
    <row r="926" spans="1:24" ht="12.75" customHeight="1" x14ac:dyDescent="0.2">
      <c r="A926" s="1"/>
      <c r="B926" s="1"/>
      <c r="C926" s="89"/>
      <c r="D926" s="89"/>
      <c r="E926" s="93"/>
      <c r="F926" s="93"/>
      <c r="G926" s="105"/>
      <c r="H926" s="105"/>
      <c r="I926" s="1"/>
      <c r="J926" s="1"/>
      <c r="K926" s="1"/>
      <c r="L926" s="1"/>
      <c r="M926" s="1"/>
      <c r="N926" s="1"/>
      <c r="O926" s="1"/>
      <c r="P926" s="1"/>
      <c r="Q926" s="1"/>
      <c r="R926" s="1"/>
      <c r="S926" s="1"/>
      <c r="T926" s="1"/>
      <c r="U926" s="1"/>
      <c r="V926" s="1"/>
      <c r="W926" s="1"/>
      <c r="X926" s="1"/>
    </row>
    <row r="927" spans="1:24" ht="12.75" customHeight="1" x14ac:dyDescent="0.2">
      <c r="A927" s="1"/>
      <c r="B927" s="1"/>
      <c r="C927" s="89"/>
      <c r="D927" s="89"/>
      <c r="E927" s="93"/>
      <c r="F927" s="93"/>
      <c r="G927" s="105"/>
      <c r="H927" s="105"/>
      <c r="I927" s="1"/>
      <c r="J927" s="1"/>
      <c r="K927" s="1"/>
      <c r="L927" s="1"/>
      <c r="M927" s="1"/>
      <c r="N927" s="1"/>
      <c r="O927" s="1"/>
      <c r="P927" s="1"/>
      <c r="Q927" s="1"/>
      <c r="R927" s="1"/>
      <c r="S927" s="1"/>
      <c r="T927" s="1"/>
      <c r="U927" s="1"/>
      <c r="V927" s="1"/>
      <c r="W927" s="1"/>
      <c r="X927" s="1"/>
    </row>
    <row r="928" spans="1:24" ht="12.75" customHeight="1" x14ac:dyDescent="0.2">
      <c r="A928" s="1"/>
      <c r="B928" s="1"/>
      <c r="C928" s="89"/>
      <c r="D928" s="89"/>
      <c r="E928" s="93"/>
      <c r="F928" s="93"/>
      <c r="G928" s="105"/>
      <c r="H928" s="105"/>
      <c r="I928" s="1"/>
      <c r="J928" s="1"/>
      <c r="K928" s="1"/>
      <c r="L928" s="1"/>
      <c r="M928" s="1"/>
      <c r="N928" s="1"/>
      <c r="O928" s="1"/>
      <c r="P928" s="1"/>
      <c r="Q928" s="1"/>
      <c r="R928" s="1"/>
      <c r="S928" s="1"/>
      <c r="T928" s="1"/>
      <c r="U928" s="1"/>
      <c r="V928" s="1"/>
      <c r="W928" s="1"/>
      <c r="X928" s="1"/>
    </row>
    <row r="929" spans="1:24" ht="12.75" customHeight="1" x14ac:dyDescent="0.2">
      <c r="A929" s="1"/>
      <c r="B929" s="1"/>
      <c r="C929" s="89"/>
      <c r="D929" s="89"/>
      <c r="E929" s="93"/>
      <c r="F929" s="93"/>
      <c r="G929" s="105"/>
      <c r="H929" s="105"/>
      <c r="I929" s="1"/>
      <c r="J929" s="1"/>
      <c r="K929" s="1"/>
      <c r="L929" s="1"/>
      <c r="M929" s="1"/>
      <c r="N929" s="1"/>
      <c r="O929" s="1"/>
      <c r="P929" s="1"/>
      <c r="Q929" s="1"/>
      <c r="R929" s="1"/>
      <c r="S929" s="1"/>
      <c r="T929" s="1"/>
      <c r="U929" s="1"/>
      <c r="V929" s="1"/>
      <c r="W929" s="1"/>
      <c r="X929" s="1"/>
    </row>
    <row r="930" spans="1:24" ht="12.75" customHeight="1" x14ac:dyDescent="0.2">
      <c r="A930" s="1"/>
      <c r="B930" s="1"/>
      <c r="C930" s="89"/>
      <c r="D930" s="89"/>
      <c r="E930" s="93"/>
      <c r="F930" s="93"/>
      <c r="G930" s="105"/>
      <c r="H930" s="105"/>
      <c r="I930" s="1"/>
      <c r="J930" s="1"/>
      <c r="K930" s="1"/>
      <c r="L930" s="1"/>
      <c r="M930" s="1"/>
      <c r="N930" s="1"/>
      <c r="O930" s="1"/>
      <c r="P930" s="1"/>
      <c r="Q930" s="1"/>
      <c r="R930" s="1"/>
      <c r="S930" s="1"/>
      <c r="T930" s="1"/>
      <c r="U930" s="1"/>
      <c r="V930" s="1"/>
      <c r="W930" s="1"/>
      <c r="X930" s="1"/>
    </row>
    <row r="931" spans="1:24" ht="12.75" customHeight="1" x14ac:dyDescent="0.2">
      <c r="A931" s="1"/>
      <c r="B931" s="1"/>
      <c r="C931" s="89"/>
      <c r="D931" s="89"/>
      <c r="E931" s="93"/>
      <c r="F931" s="93"/>
      <c r="G931" s="105"/>
      <c r="H931" s="105"/>
      <c r="I931" s="1"/>
      <c r="J931" s="1"/>
      <c r="K931" s="1"/>
      <c r="L931" s="1"/>
      <c r="M931" s="1"/>
      <c r="N931" s="1"/>
      <c r="O931" s="1"/>
      <c r="P931" s="1"/>
      <c r="Q931" s="1"/>
      <c r="R931" s="1"/>
      <c r="S931" s="1"/>
      <c r="T931" s="1"/>
      <c r="U931" s="1"/>
      <c r="V931" s="1"/>
      <c r="W931" s="1"/>
      <c r="X931" s="1"/>
    </row>
    <row r="932" spans="1:24" ht="12.75" customHeight="1" x14ac:dyDescent="0.2">
      <c r="A932" s="1"/>
      <c r="B932" s="1"/>
      <c r="C932" s="89"/>
      <c r="D932" s="89"/>
      <c r="E932" s="93"/>
      <c r="F932" s="93"/>
      <c r="G932" s="105"/>
      <c r="H932" s="105"/>
      <c r="I932" s="1"/>
      <c r="J932" s="1"/>
      <c r="K932" s="1"/>
      <c r="L932" s="1"/>
      <c r="M932" s="1"/>
      <c r="N932" s="1"/>
      <c r="O932" s="1"/>
      <c r="P932" s="1"/>
      <c r="Q932" s="1"/>
      <c r="R932" s="1"/>
      <c r="S932" s="1"/>
      <c r="T932" s="1"/>
      <c r="U932" s="1"/>
      <c r="V932" s="1"/>
      <c r="W932" s="1"/>
      <c r="X932" s="1"/>
    </row>
    <row r="933" spans="1:24" ht="12.75" customHeight="1" x14ac:dyDescent="0.2">
      <c r="A933" s="1"/>
      <c r="B933" s="1"/>
      <c r="C933" s="89"/>
      <c r="D933" s="89"/>
      <c r="E933" s="93"/>
      <c r="F933" s="93"/>
      <c r="G933" s="105"/>
      <c r="H933" s="105"/>
      <c r="I933" s="1"/>
      <c r="J933" s="1"/>
      <c r="K933" s="1"/>
      <c r="L933" s="1"/>
      <c r="M933" s="1"/>
      <c r="N933" s="1"/>
      <c r="O933" s="1"/>
      <c r="P933" s="1"/>
      <c r="Q933" s="1"/>
      <c r="R933" s="1"/>
      <c r="S933" s="1"/>
      <c r="T933" s="1"/>
      <c r="U933" s="1"/>
      <c r="V933" s="1"/>
      <c r="W933" s="1"/>
      <c r="X933" s="1"/>
    </row>
    <row r="934" spans="1:24" ht="12.75" customHeight="1" x14ac:dyDescent="0.2">
      <c r="A934" s="1"/>
      <c r="B934" s="1"/>
      <c r="C934" s="89"/>
      <c r="D934" s="89"/>
      <c r="E934" s="93"/>
      <c r="F934" s="93"/>
      <c r="G934" s="105"/>
      <c r="H934" s="105"/>
      <c r="I934" s="1"/>
      <c r="J934" s="1"/>
      <c r="K934" s="1"/>
      <c r="L934" s="1"/>
      <c r="M934" s="1"/>
      <c r="N934" s="1"/>
      <c r="O934" s="1"/>
      <c r="P934" s="1"/>
      <c r="Q934" s="1"/>
      <c r="R934" s="1"/>
      <c r="S934" s="1"/>
      <c r="T934" s="1"/>
      <c r="U934" s="1"/>
      <c r="V934" s="1"/>
      <c r="W934" s="1"/>
      <c r="X934" s="1"/>
    </row>
    <row r="935" spans="1:24" ht="12.75" customHeight="1" x14ac:dyDescent="0.2">
      <c r="A935" s="1"/>
      <c r="B935" s="1"/>
      <c r="C935" s="89"/>
      <c r="D935" s="89"/>
      <c r="E935" s="93"/>
      <c r="F935" s="93"/>
      <c r="G935" s="105"/>
      <c r="H935" s="105"/>
      <c r="I935" s="1"/>
      <c r="J935" s="1"/>
      <c r="K935" s="1"/>
      <c r="L935" s="1"/>
      <c r="M935" s="1"/>
      <c r="N935" s="1"/>
      <c r="O935" s="1"/>
      <c r="P935" s="1"/>
      <c r="Q935" s="1"/>
      <c r="R935" s="1"/>
      <c r="S935" s="1"/>
      <c r="T935" s="1"/>
      <c r="U935" s="1"/>
      <c r="V935" s="1"/>
      <c r="W935" s="1"/>
      <c r="X935" s="1"/>
    </row>
    <row r="936" spans="1:24" ht="12.75" customHeight="1" x14ac:dyDescent="0.2">
      <c r="A936" s="1"/>
      <c r="B936" s="1"/>
      <c r="C936" s="89"/>
      <c r="D936" s="89"/>
      <c r="E936" s="93"/>
      <c r="F936" s="93"/>
      <c r="G936" s="105"/>
      <c r="H936" s="105"/>
      <c r="I936" s="1"/>
      <c r="J936" s="1"/>
      <c r="K936" s="1"/>
      <c r="L936" s="1"/>
      <c r="M936" s="1"/>
      <c r="N936" s="1"/>
      <c r="O936" s="1"/>
      <c r="P936" s="1"/>
      <c r="Q936" s="1"/>
      <c r="R936" s="1"/>
      <c r="S936" s="1"/>
      <c r="T936" s="1"/>
      <c r="U936" s="1"/>
      <c r="V936" s="1"/>
      <c r="W936" s="1"/>
      <c r="X936" s="1"/>
    </row>
    <row r="937" spans="1:24" ht="12.75" customHeight="1" x14ac:dyDescent="0.2">
      <c r="A937" s="1"/>
      <c r="B937" s="1"/>
      <c r="C937" s="89"/>
      <c r="D937" s="89"/>
      <c r="E937" s="93"/>
      <c r="F937" s="93"/>
      <c r="G937" s="105"/>
      <c r="H937" s="105"/>
      <c r="I937" s="1"/>
      <c r="J937" s="1"/>
      <c r="K937" s="1"/>
      <c r="L937" s="1"/>
      <c r="M937" s="1"/>
      <c r="N937" s="1"/>
      <c r="O937" s="1"/>
      <c r="P937" s="1"/>
      <c r="Q937" s="1"/>
      <c r="R937" s="1"/>
      <c r="S937" s="1"/>
      <c r="T937" s="1"/>
      <c r="U937" s="1"/>
      <c r="V937" s="1"/>
      <c r="W937" s="1"/>
      <c r="X937" s="1"/>
    </row>
    <row r="938" spans="1:24" ht="12.75" customHeight="1" x14ac:dyDescent="0.2">
      <c r="A938" s="1"/>
      <c r="B938" s="1"/>
      <c r="C938" s="89"/>
      <c r="D938" s="89"/>
      <c r="E938" s="93"/>
      <c r="F938" s="93"/>
      <c r="G938" s="105"/>
      <c r="H938" s="105"/>
      <c r="I938" s="1"/>
      <c r="J938" s="1"/>
      <c r="K938" s="1"/>
      <c r="L938" s="1"/>
      <c r="M938" s="1"/>
      <c r="N938" s="1"/>
      <c r="O938" s="1"/>
      <c r="P938" s="1"/>
      <c r="Q938" s="1"/>
      <c r="R938" s="1"/>
      <c r="S938" s="1"/>
      <c r="T938" s="1"/>
      <c r="U938" s="1"/>
      <c r="V938" s="1"/>
      <c r="W938" s="1"/>
      <c r="X938" s="1"/>
    </row>
    <row r="939" spans="1:24" ht="12.75" customHeight="1" x14ac:dyDescent="0.2">
      <c r="A939" s="1"/>
      <c r="B939" s="1"/>
      <c r="C939" s="89"/>
      <c r="D939" s="89"/>
      <c r="E939" s="93"/>
      <c r="F939" s="93"/>
      <c r="G939" s="105"/>
      <c r="H939" s="105"/>
      <c r="I939" s="1"/>
      <c r="J939" s="1"/>
      <c r="K939" s="1"/>
      <c r="L939" s="1"/>
      <c r="M939" s="1"/>
      <c r="N939" s="1"/>
      <c r="O939" s="1"/>
      <c r="P939" s="1"/>
      <c r="Q939" s="1"/>
      <c r="R939" s="1"/>
      <c r="S939" s="1"/>
      <c r="T939" s="1"/>
      <c r="U939" s="1"/>
      <c r="V939" s="1"/>
      <c r="W939" s="1"/>
      <c r="X939" s="1"/>
    </row>
    <row r="940" spans="1:24" ht="12.75" customHeight="1" x14ac:dyDescent="0.2">
      <c r="A940" s="1"/>
      <c r="B940" s="1"/>
      <c r="C940" s="89"/>
      <c r="D940" s="89"/>
      <c r="E940" s="93"/>
      <c r="F940" s="93"/>
      <c r="G940" s="105"/>
      <c r="H940" s="105"/>
      <c r="I940" s="1"/>
      <c r="J940" s="1"/>
      <c r="K940" s="1"/>
      <c r="L940" s="1"/>
      <c r="M940" s="1"/>
      <c r="N940" s="1"/>
      <c r="O940" s="1"/>
      <c r="P940" s="1"/>
      <c r="Q940" s="1"/>
      <c r="R940" s="1"/>
      <c r="S940" s="1"/>
      <c r="T940" s="1"/>
      <c r="U940" s="1"/>
      <c r="V940" s="1"/>
      <c r="W940" s="1"/>
      <c r="X940" s="1"/>
    </row>
    <row r="941" spans="1:24" ht="12.75" customHeight="1" x14ac:dyDescent="0.2">
      <c r="A941" s="1"/>
      <c r="B941" s="1"/>
      <c r="C941" s="89"/>
      <c r="D941" s="89"/>
      <c r="E941" s="93"/>
      <c r="F941" s="93"/>
      <c r="G941" s="105"/>
      <c r="H941" s="105"/>
      <c r="I941" s="1"/>
      <c r="J941" s="1"/>
      <c r="K941" s="1"/>
      <c r="L941" s="1"/>
      <c r="M941" s="1"/>
      <c r="N941" s="1"/>
      <c r="O941" s="1"/>
      <c r="P941" s="1"/>
      <c r="Q941" s="1"/>
      <c r="R941" s="1"/>
      <c r="S941" s="1"/>
      <c r="T941" s="1"/>
      <c r="U941" s="1"/>
      <c r="V941" s="1"/>
      <c r="W941" s="1"/>
      <c r="X941" s="1"/>
    </row>
    <row r="942" spans="1:24" ht="12.75" customHeight="1" x14ac:dyDescent="0.2">
      <c r="A942" s="1"/>
      <c r="B942" s="1"/>
      <c r="C942" s="89"/>
      <c r="D942" s="89"/>
      <c r="E942" s="93"/>
      <c r="F942" s="93"/>
      <c r="G942" s="105"/>
      <c r="H942" s="105"/>
      <c r="I942" s="1"/>
      <c r="J942" s="1"/>
      <c r="K942" s="1"/>
      <c r="L942" s="1"/>
      <c r="M942" s="1"/>
      <c r="N942" s="1"/>
      <c r="O942" s="1"/>
      <c r="P942" s="1"/>
      <c r="Q942" s="1"/>
      <c r="R942" s="1"/>
      <c r="S942" s="1"/>
      <c r="T942" s="1"/>
      <c r="U942" s="1"/>
      <c r="V942" s="1"/>
      <c r="W942" s="1"/>
      <c r="X942" s="1"/>
    </row>
    <row r="943" spans="1:24" ht="12.75" customHeight="1" x14ac:dyDescent="0.2">
      <c r="A943" s="1"/>
      <c r="B943" s="1"/>
      <c r="C943" s="89"/>
      <c r="D943" s="89"/>
      <c r="E943" s="93"/>
      <c r="F943" s="93"/>
      <c r="G943" s="105"/>
      <c r="H943" s="105"/>
      <c r="I943" s="1"/>
      <c r="J943" s="1"/>
      <c r="K943" s="1"/>
      <c r="L943" s="1"/>
      <c r="M943" s="1"/>
      <c r="N943" s="1"/>
      <c r="O943" s="1"/>
      <c r="P943" s="1"/>
      <c r="Q943" s="1"/>
      <c r="R943" s="1"/>
      <c r="S943" s="1"/>
      <c r="T943" s="1"/>
      <c r="U943" s="1"/>
      <c r="V943" s="1"/>
      <c r="W943" s="1"/>
      <c r="X943" s="1"/>
    </row>
    <row r="944" spans="1:24" ht="12.75" customHeight="1" x14ac:dyDescent="0.2">
      <c r="A944" s="1"/>
      <c r="B944" s="1"/>
      <c r="C944" s="89"/>
      <c r="D944" s="89"/>
      <c r="E944" s="93"/>
      <c r="F944" s="93"/>
      <c r="G944" s="105"/>
      <c r="H944" s="105"/>
      <c r="I944" s="1"/>
      <c r="J944" s="1"/>
      <c r="K944" s="1"/>
      <c r="L944" s="1"/>
      <c r="M944" s="1"/>
      <c r="N944" s="1"/>
      <c r="O944" s="1"/>
      <c r="P944" s="1"/>
      <c r="Q944" s="1"/>
      <c r="R944" s="1"/>
      <c r="S944" s="1"/>
      <c r="T944" s="1"/>
      <c r="U944" s="1"/>
      <c r="V944" s="1"/>
      <c r="W944" s="1"/>
      <c r="X944" s="1"/>
    </row>
    <row r="945" spans="1:24" ht="12.75" customHeight="1" x14ac:dyDescent="0.2">
      <c r="A945" s="1"/>
      <c r="B945" s="1"/>
      <c r="C945" s="89"/>
      <c r="D945" s="89"/>
      <c r="E945" s="93"/>
      <c r="F945" s="93"/>
      <c r="G945" s="105"/>
      <c r="H945" s="105"/>
      <c r="I945" s="1"/>
      <c r="J945" s="1"/>
      <c r="K945" s="1"/>
      <c r="L945" s="1"/>
      <c r="M945" s="1"/>
      <c r="N945" s="1"/>
      <c r="O945" s="1"/>
      <c r="P945" s="1"/>
      <c r="Q945" s="1"/>
      <c r="R945" s="1"/>
      <c r="S945" s="1"/>
      <c r="T945" s="1"/>
      <c r="U945" s="1"/>
      <c r="V945" s="1"/>
      <c r="W945" s="1"/>
      <c r="X945" s="1"/>
    </row>
    <row r="946" spans="1:24" ht="12.75" customHeight="1" x14ac:dyDescent="0.2">
      <c r="A946" s="1"/>
      <c r="B946" s="1"/>
      <c r="C946" s="89"/>
      <c r="D946" s="89"/>
      <c r="E946" s="93"/>
      <c r="F946" s="93"/>
      <c r="G946" s="105"/>
      <c r="H946" s="105"/>
      <c r="I946" s="1"/>
      <c r="J946" s="1"/>
      <c r="K946" s="1"/>
      <c r="L946" s="1"/>
      <c r="M946" s="1"/>
      <c r="N946" s="1"/>
      <c r="O946" s="1"/>
      <c r="P946" s="1"/>
      <c r="Q946" s="1"/>
      <c r="R946" s="1"/>
      <c r="S946" s="1"/>
      <c r="T946" s="1"/>
      <c r="U946" s="1"/>
      <c r="V946" s="1"/>
      <c r="W946" s="1"/>
      <c r="X946" s="1"/>
    </row>
    <row r="947" spans="1:24" ht="12.75" customHeight="1" x14ac:dyDescent="0.2">
      <c r="A947" s="1"/>
      <c r="B947" s="1"/>
      <c r="C947" s="89"/>
      <c r="D947" s="89"/>
      <c r="E947" s="93"/>
      <c r="F947" s="93"/>
      <c r="G947" s="105"/>
      <c r="H947" s="105"/>
      <c r="I947" s="1"/>
      <c r="J947" s="1"/>
      <c r="K947" s="1"/>
      <c r="L947" s="1"/>
      <c r="M947" s="1"/>
      <c r="N947" s="1"/>
      <c r="O947" s="1"/>
      <c r="P947" s="1"/>
      <c r="Q947" s="1"/>
      <c r="R947" s="1"/>
      <c r="S947" s="1"/>
      <c r="T947" s="1"/>
      <c r="U947" s="1"/>
      <c r="V947" s="1"/>
      <c r="W947" s="1"/>
      <c r="X947" s="1"/>
    </row>
    <row r="948" spans="1:24" ht="12.75" customHeight="1" x14ac:dyDescent="0.2">
      <c r="A948" s="1"/>
      <c r="B948" s="1"/>
      <c r="C948" s="89"/>
      <c r="D948" s="89"/>
      <c r="E948" s="93"/>
      <c r="F948" s="93"/>
      <c r="G948" s="105"/>
      <c r="H948" s="105"/>
      <c r="I948" s="1"/>
      <c r="J948" s="1"/>
      <c r="K948" s="1"/>
      <c r="L948" s="1"/>
      <c r="M948" s="1"/>
      <c r="N948" s="1"/>
      <c r="O948" s="1"/>
      <c r="P948" s="1"/>
      <c r="Q948" s="1"/>
      <c r="R948" s="1"/>
      <c r="S948" s="1"/>
      <c r="T948" s="1"/>
      <c r="U948" s="1"/>
      <c r="V948" s="1"/>
      <c r="W948" s="1"/>
      <c r="X948" s="1"/>
    </row>
    <row r="949" spans="1:24" ht="12.75" customHeight="1" x14ac:dyDescent="0.2">
      <c r="A949" s="1"/>
      <c r="B949" s="1"/>
      <c r="C949" s="89"/>
      <c r="D949" s="89"/>
      <c r="E949" s="93"/>
      <c r="F949" s="93"/>
      <c r="G949" s="105"/>
      <c r="H949" s="105"/>
      <c r="I949" s="1"/>
      <c r="J949" s="1"/>
      <c r="K949" s="1"/>
      <c r="L949" s="1"/>
      <c r="M949" s="1"/>
      <c r="N949" s="1"/>
      <c r="O949" s="1"/>
      <c r="P949" s="1"/>
      <c r="Q949" s="1"/>
      <c r="R949" s="1"/>
      <c r="S949" s="1"/>
      <c r="T949" s="1"/>
      <c r="U949" s="1"/>
      <c r="V949" s="1"/>
      <c r="W949" s="1"/>
      <c r="X949" s="1"/>
    </row>
    <row r="950" spans="1:24" ht="12.75" customHeight="1" x14ac:dyDescent="0.2">
      <c r="A950" s="1"/>
      <c r="B950" s="1"/>
      <c r="C950" s="89"/>
      <c r="D950" s="89"/>
      <c r="E950" s="93"/>
      <c r="F950" s="93"/>
      <c r="G950" s="105"/>
      <c r="H950" s="105"/>
      <c r="I950" s="1"/>
      <c r="J950" s="1"/>
      <c r="K950" s="1"/>
      <c r="L950" s="1"/>
      <c r="M950" s="1"/>
      <c r="N950" s="1"/>
      <c r="O950" s="1"/>
      <c r="P950" s="1"/>
      <c r="Q950" s="1"/>
      <c r="R950" s="1"/>
      <c r="S950" s="1"/>
      <c r="T950" s="1"/>
      <c r="U950" s="1"/>
      <c r="V950" s="1"/>
      <c r="W950" s="1"/>
      <c r="X950" s="1"/>
    </row>
    <row r="951" spans="1:24" ht="12.75" customHeight="1" x14ac:dyDescent="0.2">
      <c r="A951" s="1"/>
      <c r="B951" s="1"/>
      <c r="C951" s="89"/>
      <c r="D951" s="89"/>
      <c r="E951" s="93"/>
      <c r="F951" s="93"/>
      <c r="G951" s="105"/>
      <c r="H951" s="105"/>
      <c r="I951" s="1"/>
      <c r="J951" s="1"/>
      <c r="K951" s="1"/>
      <c r="L951" s="1"/>
      <c r="M951" s="1"/>
      <c r="N951" s="1"/>
      <c r="O951" s="1"/>
      <c r="P951" s="1"/>
      <c r="Q951" s="1"/>
      <c r="R951" s="1"/>
      <c r="S951" s="1"/>
      <c r="T951" s="1"/>
      <c r="U951" s="1"/>
      <c r="V951" s="1"/>
      <c r="W951" s="1"/>
      <c r="X951" s="1"/>
    </row>
    <row r="952" spans="1:24" ht="12.75" customHeight="1" x14ac:dyDescent="0.2">
      <c r="A952" s="1"/>
      <c r="B952" s="1"/>
      <c r="C952" s="89"/>
      <c r="D952" s="89"/>
      <c r="E952" s="93"/>
      <c r="F952" s="93"/>
      <c r="G952" s="105"/>
      <c r="H952" s="105"/>
      <c r="I952" s="1"/>
      <c r="J952" s="1"/>
      <c r="K952" s="1"/>
      <c r="L952" s="1"/>
      <c r="M952" s="1"/>
      <c r="N952" s="1"/>
      <c r="O952" s="1"/>
      <c r="P952" s="1"/>
      <c r="Q952" s="1"/>
      <c r="R952" s="1"/>
      <c r="S952" s="1"/>
      <c r="T952" s="1"/>
      <c r="U952" s="1"/>
      <c r="V952" s="1"/>
      <c r="W952" s="1"/>
      <c r="X952" s="1"/>
    </row>
    <row r="953" spans="1:24" ht="12.75" customHeight="1" x14ac:dyDescent="0.2">
      <c r="A953" s="1"/>
      <c r="B953" s="1"/>
      <c r="C953" s="89"/>
      <c r="D953" s="89"/>
      <c r="E953" s="93"/>
      <c r="F953" s="93"/>
      <c r="G953" s="105"/>
      <c r="H953" s="105"/>
      <c r="I953" s="1"/>
      <c r="J953" s="1"/>
      <c r="K953" s="1"/>
      <c r="L953" s="1"/>
      <c r="M953" s="1"/>
      <c r="N953" s="1"/>
      <c r="O953" s="1"/>
      <c r="P953" s="1"/>
      <c r="Q953" s="1"/>
      <c r="R953" s="1"/>
      <c r="S953" s="1"/>
      <c r="T953" s="1"/>
      <c r="U953" s="1"/>
      <c r="V953" s="1"/>
      <c r="W953" s="1"/>
      <c r="X953" s="1"/>
    </row>
    <row r="954" spans="1:24" ht="12.75" customHeight="1" x14ac:dyDescent="0.2">
      <c r="A954" s="1"/>
      <c r="B954" s="1"/>
      <c r="C954" s="89"/>
      <c r="D954" s="89"/>
      <c r="E954" s="93"/>
      <c r="F954" s="93"/>
      <c r="G954" s="105"/>
      <c r="H954" s="105"/>
      <c r="I954" s="1"/>
      <c r="J954" s="1"/>
      <c r="K954" s="1"/>
      <c r="L954" s="1"/>
      <c r="M954" s="1"/>
      <c r="N954" s="1"/>
      <c r="O954" s="1"/>
      <c r="P954" s="1"/>
      <c r="Q954" s="1"/>
      <c r="R954" s="1"/>
      <c r="S954" s="1"/>
      <c r="T954" s="1"/>
      <c r="U954" s="1"/>
      <c r="V954" s="1"/>
      <c r="W954" s="1"/>
      <c r="X954" s="1"/>
    </row>
    <row r="955" spans="1:24" ht="12.75" customHeight="1" x14ac:dyDescent="0.2">
      <c r="A955" s="1"/>
      <c r="B955" s="1"/>
      <c r="C955" s="89"/>
      <c r="D955" s="89"/>
      <c r="E955" s="93"/>
      <c r="F955" s="93"/>
      <c r="G955" s="105"/>
      <c r="H955" s="105"/>
      <c r="I955" s="1"/>
      <c r="J955" s="1"/>
      <c r="K955" s="1"/>
      <c r="L955" s="1"/>
      <c r="M955" s="1"/>
      <c r="N955" s="1"/>
      <c r="O955" s="1"/>
      <c r="P955" s="1"/>
      <c r="Q955" s="1"/>
      <c r="R955" s="1"/>
      <c r="S955" s="1"/>
      <c r="T955" s="1"/>
      <c r="U955" s="1"/>
      <c r="V955" s="1"/>
      <c r="W955" s="1"/>
      <c r="X955" s="1"/>
    </row>
    <row r="956" spans="1:24" ht="12.75" customHeight="1" x14ac:dyDescent="0.2">
      <c r="A956" s="1"/>
      <c r="B956" s="1"/>
      <c r="C956" s="89"/>
      <c r="D956" s="89"/>
      <c r="E956" s="93"/>
      <c r="F956" s="93"/>
      <c r="G956" s="105"/>
      <c r="H956" s="105"/>
      <c r="I956" s="1"/>
      <c r="J956" s="1"/>
      <c r="K956" s="1"/>
      <c r="L956" s="1"/>
      <c r="M956" s="1"/>
      <c r="N956" s="1"/>
      <c r="O956" s="1"/>
      <c r="P956" s="1"/>
      <c r="Q956" s="1"/>
      <c r="R956" s="1"/>
      <c r="S956" s="1"/>
      <c r="T956" s="1"/>
      <c r="U956" s="1"/>
      <c r="V956" s="1"/>
      <c r="W956" s="1"/>
      <c r="X956" s="1"/>
    </row>
    <row r="957" spans="1:24" ht="12.75" customHeight="1" x14ac:dyDescent="0.2">
      <c r="A957" s="1"/>
      <c r="B957" s="1"/>
      <c r="C957" s="89"/>
      <c r="D957" s="89"/>
      <c r="E957" s="93"/>
      <c r="F957" s="93"/>
      <c r="G957" s="105"/>
      <c r="H957" s="105"/>
      <c r="I957" s="1"/>
      <c r="J957" s="1"/>
      <c r="K957" s="1"/>
      <c r="L957" s="1"/>
      <c r="M957" s="1"/>
      <c r="N957" s="1"/>
      <c r="O957" s="1"/>
      <c r="P957" s="1"/>
      <c r="Q957" s="1"/>
      <c r="R957" s="1"/>
      <c r="S957" s="1"/>
      <c r="T957" s="1"/>
      <c r="U957" s="1"/>
      <c r="V957" s="1"/>
      <c r="W957" s="1"/>
      <c r="X957" s="1"/>
    </row>
    <row r="958" spans="1:24" ht="12.75" customHeight="1" x14ac:dyDescent="0.2">
      <c r="A958" s="1"/>
      <c r="B958" s="1"/>
      <c r="C958" s="89"/>
      <c r="D958" s="89"/>
      <c r="E958" s="93"/>
      <c r="F958" s="93"/>
      <c r="G958" s="105"/>
      <c r="H958" s="105"/>
      <c r="I958" s="1"/>
      <c r="J958" s="1"/>
      <c r="K958" s="1"/>
      <c r="L958" s="1"/>
      <c r="M958" s="1"/>
      <c r="N958" s="1"/>
      <c r="O958" s="1"/>
      <c r="P958" s="1"/>
      <c r="Q958" s="1"/>
      <c r="R958" s="1"/>
      <c r="S958" s="1"/>
      <c r="T958" s="1"/>
      <c r="U958" s="1"/>
      <c r="V958" s="1"/>
      <c r="W958" s="1"/>
      <c r="X958" s="1"/>
    </row>
    <row r="959" spans="1:24" ht="12.75" customHeight="1" x14ac:dyDescent="0.2">
      <c r="A959" s="1"/>
      <c r="B959" s="1"/>
      <c r="C959" s="89"/>
      <c r="D959" s="89"/>
      <c r="E959" s="93"/>
      <c r="F959" s="93"/>
      <c r="G959" s="105"/>
      <c r="H959" s="105"/>
      <c r="I959" s="1"/>
      <c r="J959" s="1"/>
      <c r="K959" s="1"/>
      <c r="L959" s="1"/>
      <c r="M959" s="1"/>
      <c r="N959" s="1"/>
      <c r="O959" s="1"/>
      <c r="P959" s="1"/>
      <c r="Q959" s="1"/>
      <c r="R959" s="1"/>
      <c r="S959" s="1"/>
      <c r="T959" s="1"/>
      <c r="U959" s="1"/>
      <c r="V959" s="1"/>
      <c r="W959" s="1"/>
      <c r="X959" s="1"/>
    </row>
    <row r="960" spans="1:24" ht="12.75" customHeight="1" x14ac:dyDescent="0.2">
      <c r="A960" s="1"/>
      <c r="B960" s="1"/>
      <c r="C960" s="89"/>
      <c r="D960" s="89"/>
      <c r="E960" s="93"/>
      <c r="F960" s="93"/>
      <c r="G960" s="105"/>
      <c r="H960" s="105"/>
      <c r="I960" s="1"/>
      <c r="J960" s="1"/>
      <c r="K960" s="1"/>
      <c r="L960" s="1"/>
      <c r="M960" s="1"/>
      <c r="N960" s="1"/>
      <c r="O960" s="1"/>
      <c r="P960" s="1"/>
      <c r="Q960" s="1"/>
      <c r="R960" s="1"/>
      <c r="S960" s="1"/>
      <c r="T960" s="1"/>
      <c r="U960" s="1"/>
      <c r="V960" s="1"/>
      <c r="W960" s="1"/>
      <c r="X960" s="1"/>
    </row>
    <row r="961" spans="1:24" ht="12.75" customHeight="1" x14ac:dyDescent="0.2">
      <c r="A961" s="1"/>
      <c r="B961" s="1"/>
      <c r="C961" s="89"/>
      <c r="D961" s="89"/>
      <c r="E961" s="93"/>
      <c r="F961" s="93"/>
      <c r="G961" s="105"/>
      <c r="H961" s="105"/>
      <c r="I961" s="1"/>
      <c r="J961" s="1"/>
      <c r="K961" s="1"/>
      <c r="L961" s="1"/>
      <c r="M961" s="1"/>
      <c r="N961" s="1"/>
      <c r="O961" s="1"/>
      <c r="P961" s="1"/>
      <c r="Q961" s="1"/>
      <c r="R961" s="1"/>
      <c r="S961" s="1"/>
      <c r="T961" s="1"/>
      <c r="U961" s="1"/>
      <c r="V961" s="1"/>
      <c r="W961" s="1"/>
      <c r="X961" s="1"/>
    </row>
    <row r="962" spans="1:24" ht="12.75" customHeight="1" x14ac:dyDescent="0.2">
      <c r="A962" s="1"/>
      <c r="B962" s="1"/>
      <c r="C962" s="89"/>
      <c r="D962" s="89"/>
      <c r="E962" s="93"/>
      <c r="F962" s="93"/>
      <c r="G962" s="105"/>
      <c r="H962" s="105"/>
      <c r="I962" s="1"/>
      <c r="J962" s="1"/>
      <c r="K962" s="1"/>
      <c r="L962" s="1"/>
      <c r="M962" s="1"/>
      <c r="N962" s="1"/>
      <c r="O962" s="1"/>
      <c r="P962" s="1"/>
      <c r="Q962" s="1"/>
      <c r="R962" s="1"/>
      <c r="S962" s="1"/>
      <c r="T962" s="1"/>
      <c r="U962" s="1"/>
      <c r="V962" s="1"/>
      <c r="W962" s="1"/>
      <c r="X962" s="1"/>
    </row>
    <row r="963" spans="1:24" ht="12.75" customHeight="1" x14ac:dyDescent="0.2">
      <c r="A963" s="1"/>
      <c r="B963" s="1"/>
      <c r="C963" s="89"/>
      <c r="D963" s="89"/>
      <c r="E963" s="93"/>
      <c r="F963" s="93"/>
      <c r="G963" s="105"/>
      <c r="H963" s="105"/>
      <c r="I963" s="1"/>
      <c r="J963" s="1"/>
      <c r="K963" s="1"/>
      <c r="L963" s="1"/>
      <c r="M963" s="1"/>
      <c r="N963" s="1"/>
      <c r="O963" s="1"/>
      <c r="P963" s="1"/>
      <c r="Q963" s="1"/>
      <c r="R963" s="1"/>
      <c r="S963" s="1"/>
      <c r="T963" s="1"/>
      <c r="U963" s="1"/>
      <c r="V963" s="1"/>
      <c r="W963" s="1"/>
      <c r="X963" s="1"/>
    </row>
    <row r="964" spans="1:24" ht="12.75" customHeight="1" x14ac:dyDescent="0.2">
      <c r="A964" s="1"/>
      <c r="B964" s="1"/>
      <c r="C964" s="89"/>
      <c r="D964" s="89"/>
      <c r="E964" s="93"/>
      <c r="F964" s="93"/>
      <c r="G964" s="105"/>
      <c r="H964" s="105"/>
      <c r="I964" s="1"/>
      <c r="J964" s="1"/>
      <c r="K964" s="1"/>
      <c r="L964" s="1"/>
      <c r="M964" s="1"/>
      <c r="N964" s="1"/>
      <c r="O964" s="1"/>
      <c r="P964" s="1"/>
      <c r="Q964" s="1"/>
      <c r="R964" s="1"/>
      <c r="S964" s="1"/>
      <c r="T964" s="1"/>
      <c r="U964" s="1"/>
      <c r="V964" s="1"/>
      <c r="W964" s="1"/>
      <c r="X964" s="1"/>
    </row>
    <row r="965" spans="1:24" ht="12.75" customHeight="1" x14ac:dyDescent="0.2">
      <c r="A965" s="1"/>
      <c r="B965" s="1"/>
      <c r="C965" s="89"/>
      <c r="D965" s="89"/>
      <c r="E965" s="93"/>
      <c r="F965" s="93"/>
      <c r="G965" s="105"/>
      <c r="H965" s="105"/>
      <c r="I965" s="1"/>
      <c r="J965" s="1"/>
      <c r="K965" s="1"/>
      <c r="L965" s="1"/>
      <c r="M965" s="1"/>
      <c r="N965" s="1"/>
      <c r="O965" s="1"/>
      <c r="P965" s="1"/>
      <c r="Q965" s="1"/>
      <c r="R965" s="1"/>
      <c r="S965" s="1"/>
      <c r="T965" s="1"/>
      <c r="U965" s="1"/>
      <c r="V965" s="1"/>
      <c r="W965" s="1"/>
      <c r="X965" s="1"/>
    </row>
    <row r="966" spans="1:24" ht="12.75" customHeight="1" x14ac:dyDescent="0.2">
      <c r="A966" s="1"/>
      <c r="B966" s="1"/>
      <c r="C966" s="89"/>
      <c r="D966" s="89"/>
      <c r="E966" s="93"/>
      <c r="F966" s="93"/>
      <c r="G966" s="105"/>
      <c r="H966" s="105"/>
      <c r="I966" s="1"/>
      <c r="J966" s="1"/>
      <c r="K966" s="1"/>
      <c r="L966" s="1"/>
      <c r="M966" s="1"/>
      <c r="N966" s="1"/>
      <c r="O966" s="1"/>
      <c r="P966" s="1"/>
      <c r="Q966" s="1"/>
      <c r="R966" s="1"/>
      <c r="S966" s="1"/>
      <c r="T966" s="1"/>
      <c r="U966" s="1"/>
      <c r="V966" s="1"/>
      <c r="W966" s="1"/>
      <c r="X966" s="1"/>
    </row>
    <row r="967" spans="1:24" ht="12.75" customHeight="1" x14ac:dyDescent="0.2">
      <c r="A967" s="1"/>
      <c r="B967" s="1"/>
      <c r="C967" s="89"/>
      <c r="D967" s="89"/>
      <c r="E967" s="93"/>
      <c r="F967" s="93"/>
      <c r="G967" s="105"/>
      <c r="H967" s="105"/>
      <c r="I967" s="1"/>
      <c r="J967" s="1"/>
      <c r="K967" s="1"/>
      <c r="L967" s="1"/>
      <c r="M967" s="1"/>
      <c r="N967" s="1"/>
      <c r="O967" s="1"/>
      <c r="P967" s="1"/>
      <c r="Q967" s="1"/>
      <c r="R967" s="1"/>
      <c r="S967" s="1"/>
      <c r="T967" s="1"/>
      <c r="U967" s="1"/>
      <c r="V967" s="1"/>
      <c r="W967" s="1"/>
      <c r="X967" s="1"/>
    </row>
    <row r="968" spans="1:24" ht="12.75" customHeight="1" x14ac:dyDescent="0.2">
      <c r="A968" s="1"/>
      <c r="B968" s="1"/>
      <c r="C968" s="89"/>
      <c r="D968" s="89"/>
      <c r="E968" s="93"/>
      <c r="F968" s="93"/>
      <c r="G968" s="105"/>
      <c r="H968" s="105"/>
      <c r="I968" s="1"/>
      <c r="J968" s="1"/>
      <c r="K968" s="1"/>
      <c r="L968" s="1"/>
      <c r="M968" s="1"/>
      <c r="N968" s="1"/>
      <c r="O968" s="1"/>
      <c r="P968" s="1"/>
      <c r="Q968" s="1"/>
      <c r="R968" s="1"/>
      <c r="S968" s="1"/>
      <c r="T968" s="1"/>
      <c r="U968" s="1"/>
      <c r="V968" s="1"/>
      <c r="W968" s="1"/>
      <c r="X968" s="1"/>
    </row>
    <row r="969" spans="1:24" ht="12.75" customHeight="1" x14ac:dyDescent="0.2">
      <c r="A969" s="1"/>
      <c r="B969" s="1"/>
      <c r="C969" s="89"/>
      <c r="D969" s="89"/>
      <c r="E969" s="93"/>
      <c r="F969" s="93"/>
      <c r="G969" s="105"/>
      <c r="H969" s="105"/>
      <c r="I969" s="1"/>
      <c r="J969" s="1"/>
      <c r="K969" s="1"/>
      <c r="L969" s="1"/>
      <c r="M969" s="1"/>
      <c r="N969" s="1"/>
      <c r="O969" s="1"/>
      <c r="P969" s="1"/>
      <c r="Q969" s="1"/>
      <c r="R969" s="1"/>
      <c r="S969" s="1"/>
      <c r="T969" s="1"/>
      <c r="U969" s="1"/>
      <c r="V969" s="1"/>
      <c r="W969" s="1"/>
      <c r="X969" s="1"/>
    </row>
    <row r="970" spans="1:24" ht="12.75" customHeight="1" x14ac:dyDescent="0.2">
      <c r="A970" s="1"/>
      <c r="B970" s="1"/>
      <c r="C970" s="89"/>
      <c r="D970" s="89"/>
      <c r="E970" s="93"/>
      <c r="F970" s="93"/>
      <c r="G970" s="105"/>
      <c r="H970" s="105"/>
      <c r="I970" s="1"/>
      <c r="J970" s="1"/>
      <c r="K970" s="1"/>
      <c r="L970" s="1"/>
      <c r="M970" s="1"/>
      <c r="N970" s="1"/>
      <c r="O970" s="1"/>
      <c r="P970" s="1"/>
      <c r="Q970" s="1"/>
      <c r="R970" s="1"/>
      <c r="S970" s="1"/>
      <c r="T970" s="1"/>
      <c r="U970" s="1"/>
      <c r="V970" s="1"/>
      <c r="W970" s="1"/>
      <c r="X970" s="1"/>
    </row>
    <row r="971" spans="1:24" ht="12.75" customHeight="1" x14ac:dyDescent="0.2">
      <c r="A971" s="1"/>
      <c r="B971" s="1"/>
      <c r="C971" s="89"/>
      <c r="D971" s="89"/>
      <c r="E971" s="93"/>
      <c r="F971" s="93"/>
      <c r="G971" s="105"/>
      <c r="H971" s="105"/>
      <c r="I971" s="1"/>
      <c r="J971" s="1"/>
      <c r="K971" s="1"/>
      <c r="L971" s="1"/>
      <c r="M971" s="1"/>
      <c r="N971" s="1"/>
      <c r="O971" s="1"/>
      <c r="P971" s="1"/>
      <c r="Q971" s="1"/>
      <c r="R971" s="1"/>
      <c r="S971" s="1"/>
      <c r="T971" s="1"/>
      <c r="U971" s="1"/>
      <c r="V971" s="1"/>
      <c r="W971" s="1"/>
      <c r="X971" s="1"/>
    </row>
    <row r="972" spans="1:24" ht="12.75" customHeight="1" x14ac:dyDescent="0.2">
      <c r="A972" s="1"/>
      <c r="B972" s="1"/>
      <c r="C972" s="89"/>
      <c r="D972" s="89"/>
      <c r="E972" s="93"/>
      <c r="F972" s="93"/>
      <c r="G972" s="105"/>
      <c r="H972" s="105"/>
      <c r="I972" s="1"/>
      <c r="J972" s="1"/>
      <c r="K972" s="1"/>
      <c r="L972" s="1"/>
      <c r="M972" s="1"/>
      <c r="N972" s="1"/>
      <c r="O972" s="1"/>
      <c r="P972" s="1"/>
      <c r="Q972" s="1"/>
      <c r="R972" s="1"/>
      <c r="S972" s="1"/>
      <c r="T972" s="1"/>
      <c r="U972" s="1"/>
      <c r="V972" s="1"/>
      <c r="W972" s="1"/>
      <c r="X972" s="1"/>
    </row>
    <row r="973" spans="1:24" ht="12.75" customHeight="1" x14ac:dyDescent="0.2">
      <c r="A973" s="1"/>
      <c r="B973" s="1"/>
      <c r="C973" s="89"/>
      <c r="D973" s="89"/>
      <c r="E973" s="93"/>
      <c r="F973" s="93"/>
      <c r="G973" s="105"/>
      <c r="H973" s="105"/>
      <c r="I973" s="1"/>
      <c r="J973" s="1"/>
      <c r="K973" s="1"/>
      <c r="L973" s="1"/>
      <c r="M973" s="1"/>
      <c r="N973" s="1"/>
      <c r="O973" s="1"/>
      <c r="P973" s="1"/>
      <c r="Q973" s="1"/>
      <c r="R973" s="1"/>
      <c r="S973" s="1"/>
      <c r="T973" s="1"/>
      <c r="U973" s="1"/>
      <c r="V973" s="1"/>
      <c r="W973" s="1"/>
      <c r="X973" s="1"/>
    </row>
    <row r="974" spans="1:24" ht="12.75" customHeight="1" x14ac:dyDescent="0.2">
      <c r="A974" s="1"/>
      <c r="B974" s="1"/>
      <c r="C974" s="89"/>
      <c r="D974" s="89"/>
      <c r="E974" s="93"/>
      <c r="F974" s="93"/>
      <c r="G974" s="105"/>
      <c r="H974" s="105"/>
      <c r="I974" s="1"/>
      <c r="J974" s="1"/>
      <c r="K974" s="1"/>
      <c r="L974" s="1"/>
      <c r="M974" s="1"/>
      <c r="N974" s="1"/>
      <c r="O974" s="1"/>
      <c r="P974" s="1"/>
      <c r="Q974" s="1"/>
      <c r="R974" s="1"/>
      <c r="S974" s="1"/>
      <c r="T974" s="1"/>
      <c r="U974" s="1"/>
      <c r="V974" s="1"/>
      <c r="W974" s="1"/>
      <c r="X974" s="1"/>
    </row>
    <row r="975" spans="1:24" ht="12.75" customHeight="1" x14ac:dyDescent="0.2">
      <c r="A975" s="1"/>
      <c r="B975" s="1"/>
      <c r="C975" s="89"/>
      <c r="D975" s="89"/>
      <c r="E975" s="93"/>
      <c r="F975" s="93"/>
      <c r="G975" s="105"/>
      <c r="H975" s="105"/>
      <c r="I975" s="1"/>
      <c r="J975" s="1"/>
      <c r="K975" s="1"/>
      <c r="L975" s="1"/>
      <c r="M975" s="1"/>
      <c r="N975" s="1"/>
      <c r="O975" s="1"/>
      <c r="P975" s="1"/>
      <c r="Q975" s="1"/>
      <c r="R975" s="1"/>
      <c r="S975" s="1"/>
      <c r="T975" s="1"/>
      <c r="U975" s="1"/>
      <c r="V975" s="1"/>
      <c r="W975" s="1"/>
      <c r="X975" s="1"/>
    </row>
    <row r="976" spans="1:24" ht="12.75" customHeight="1" x14ac:dyDescent="0.2">
      <c r="A976" s="1"/>
      <c r="B976" s="1"/>
      <c r="C976" s="89"/>
      <c r="D976" s="89"/>
      <c r="E976" s="93"/>
      <c r="F976" s="93"/>
      <c r="G976" s="105"/>
      <c r="H976" s="105"/>
      <c r="I976" s="1"/>
      <c r="J976" s="1"/>
      <c r="K976" s="1"/>
      <c r="L976" s="1"/>
      <c r="M976" s="1"/>
      <c r="N976" s="1"/>
      <c r="O976" s="1"/>
      <c r="P976" s="1"/>
      <c r="Q976" s="1"/>
      <c r="R976" s="1"/>
      <c r="S976" s="1"/>
      <c r="T976" s="1"/>
      <c r="U976" s="1"/>
      <c r="V976" s="1"/>
      <c r="W976" s="1"/>
      <c r="X976" s="1"/>
    </row>
    <row r="977" spans="1:24" ht="12.75" customHeight="1" x14ac:dyDescent="0.2">
      <c r="A977" s="1"/>
      <c r="B977" s="1"/>
      <c r="C977" s="89"/>
      <c r="D977" s="89"/>
      <c r="E977" s="93"/>
      <c r="F977" s="93"/>
      <c r="G977" s="105"/>
      <c r="H977" s="105"/>
      <c r="I977" s="1"/>
      <c r="J977" s="1"/>
      <c r="K977" s="1"/>
      <c r="L977" s="1"/>
      <c r="M977" s="1"/>
      <c r="N977" s="1"/>
      <c r="O977" s="1"/>
      <c r="P977" s="1"/>
      <c r="Q977" s="1"/>
      <c r="R977" s="1"/>
      <c r="S977" s="1"/>
      <c r="T977" s="1"/>
      <c r="U977" s="1"/>
      <c r="V977" s="1"/>
      <c r="W977" s="1"/>
      <c r="X977" s="1"/>
    </row>
    <row r="978" spans="1:24" ht="12.75" customHeight="1" x14ac:dyDescent="0.2">
      <c r="A978" s="1"/>
      <c r="B978" s="1"/>
      <c r="C978" s="89"/>
      <c r="D978" s="89"/>
      <c r="E978" s="93"/>
      <c r="F978" s="93"/>
      <c r="G978" s="105"/>
      <c r="H978" s="105"/>
      <c r="I978" s="1"/>
      <c r="J978" s="1"/>
      <c r="K978" s="1"/>
      <c r="L978" s="1"/>
      <c r="M978" s="1"/>
      <c r="N978" s="1"/>
      <c r="O978" s="1"/>
      <c r="P978" s="1"/>
      <c r="Q978" s="1"/>
      <c r="R978" s="1"/>
      <c r="S978" s="1"/>
      <c r="T978" s="1"/>
      <c r="U978" s="1"/>
      <c r="V978" s="1"/>
      <c r="W978" s="1"/>
      <c r="X978" s="1"/>
    </row>
    <row r="979" spans="1:24" ht="12.75" customHeight="1" x14ac:dyDescent="0.2">
      <c r="A979" s="1"/>
      <c r="B979" s="1"/>
      <c r="C979" s="89"/>
      <c r="D979" s="89"/>
      <c r="E979" s="93"/>
      <c r="F979" s="93"/>
      <c r="G979" s="105"/>
      <c r="H979" s="105"/>
      <c r="I979" s="1"/>
      <c r="J979" s="1"/>
      <c r="K979" s="1"/>
      <c r="L979" s="1"/>
      <c r="M979" s="1"/>
      <c r="N979" s="1"/>
      <c r="O979" s="1"/>
      <c r="P979" s="1"/>
      <c r="Q979" s="1"/>
      <c r="R979" s="1"/>
      <c r="S979" s="1"/>
      <c r="T979" s="1"/>
      <c r="U979" s="1"/>
      <c r="V979" s="1"/>
      <c r="W979" s="1"/>
      <c r="X979" s="1"/>
    </row>
    <row r="980" spans="1:24" ht="12.75" customHeight="1" x14ac:dyDescent="0.2">
      <c r="A980" s="1"/>
      <c r="B980" s="1"/>
      <c r="C980" s="89"/>
      <c r="D980" s="89"/>
      <c r="E980" s="93"/>
      <c r="F980" s="93"/>
      <c r="G980" s="105"/>
      <c r="H980" s="105"/>
      <c r="I980" s="1"/>
      <c r="J980" s="1"/>
      <c r="K980" s="1"/>
      <c r="L980" s="1"/>
      <c r="M980" s="1"/>
      <c r="N980" s="1"/>
      <c r="O980" s="1"/>
      <c r="P980" s="1"/>
      <c r="Q980" s="1"/>
      <c r="R980" s="1"/>
      <c r="S980" s="1"/>
      <c r="T980" s="1"/>
      <c r="U980" s="1"/>
      <c r="V980" s="1"/>
      <c r="W980" s="1"/>
      <c r="X980" s="1"/>
    </row>
    <row r="981" spans="1:24" ht="12.75" customHeight="1" x14ac:dyDescent="0.2">
      <c r="A981" s="1"/>
      <c r="B981" s="1"/>
      <c r="C981" s="89"/>
      <c r="D981" s="89"/>
      <c r="E981" s="93"/>
      <c r="F981" s="93"/>
      <c r="G981" s="105"/>
      <c r="H981" s="105"/>
      <c r="I981" s="1"/>
      <c r="J981" s="1"/>
      <c r="K981" s="1"/>
      <c r="L981" s="1"/>
      <c r="M981" s="1"/>
      <c r="N981" s="1"/>
      <c r="O981" s="1"/>
      <c r="P981" s="1"/>
      <c r="Q981" s="1"/>
      <c r="R981" s="1"/>
      <c r="S981" s="1"/>
      <c r="T981" s="1"/>
      <c r="U981" s="1"/>
      <c r="V981" s="1"/>
      <c r="W981" s="1"/>
      <c r="X981" s="1"/>
    </row>
    <row r="982" spans="1:24" ht="12.75" customHeight="1" x14ac:dyDescent="0.2">
      <c r="A982" s="1"/>
      <c r="B982" s="1"/>
      <c r="C982" s="89"/>
      <c r="D982" s="89"/>
      <c r="E982" s="93"/>
      <c r="F982" s="93"/>
      <c r="G982" s="105"/>
      <c r="H982" s="105"/>
      <c r="I982" s="1"/>
      <c r="J982" s="1"/>
      <c r="K982" s="1"/>
      <c r="L982" s="1"/>
      <c r="M982" s="1"/>
      <c r="N982" s="1"/>
      <c r="O982" s="1"/>
      <c r="P982" s="1"/>
      <c r="Q982" s="1"/>
      <c r="R982" s="1"/>
      <c r="S982" s="1"/>
      <c r="T982" s="1"/>
      <c r="U982" s="1"/>
      <c r="V982" s="1"/>
      <c r="W982" s="1"/>
      <c r="X982" s="1"/>
    </row>
    <row r="983" spans="1:24" ht="12.75" customHeight="1" x14ac:dyDescent="0.2">
      <c r="A983" s="1"/>
      <c r="B983" s="1"/>
      <c r="C983" s="89"/>
      <c r="D983" s="89"/>
      <c r="E983" s="93"/>
      <c r="F983" s="93"/>
      <c r="G983" s="105"/>
      <c r="H983" s="105"/>
      <c r="I983" s="1"/>
      <c r="J983" s="1"/>
      <c r="K983" s="1"/>
      <c r="L983" s="1"/>
      <c r="M983" s="1"/>
      <c r="N983" s="1"/>
      <c r="O983" s="1"/>
      <c r="P983" s="1"/>
      <c r="Q983" s="1"/>
      <c r="R983" s="1"/>
      <c r="S983" s="1"/>
      <c r="T983" s="1"/>
      <c r="U983" s="1"/>
      <c r="V983" s="1"/>
      <c r="W983" s="1"/>
      <c r="X983" s="1"/>
    </row>
    <row r="984" spans="1:24" ht="12.75" customHeight="1" x14ac:dyDescent="0.2">
      <c r="A984" s="1"/>
      <c r="B984" s="1"/>
      <c r="C984" s="89"/>
      <c r="D984" s="89"/>
      <c r="E984" s="93"/>
      <c r="F984" s="93"/>
      <c r="G984" s="105"/>
      <c r="H984" s="105"/>
      <c r="I984" s="1"/>
      <c r="J984" s="1"/>
      <c r="K984" s="1"/>
      <c r="L984" s="1"/>
      <c r="M984" s="1"/>
      <c r="N984" s="1"/>
      <c r="O984" s="1"/>
      <c r="P984" s="1"/>
      <c r="Q984" s="1"/>
      <c r="R984" s="1"/>
      <c r="S984" s="1"/>
      <c r="T984" s="1"/>
      <c r="U984" s="1"/>
      <c r="V984" s="1"/>
      <c r="W984" s="1"/>
      <c r="X984" s="1"/>
    </row>
    <row r="985" spans="1:24" ht="12.75" customHeight="1" x14ac:dyDescent="0.2">
      <c r="A985" s="1"/>
      <c r="B985" s="1"/>
      <c r="C985" s="89"/>
      <c r="D985" s="89"/>
      <c r="E985" s="93"/>
      <c r="F985" s="93"/>
      <c r="G985" s="105"/>
      <c r="H985" s="105"/>
      <c r="I985" s="1"/>
      <c r="J985" s="1"/>
      <c r="K985" s="1"/>
      <c r="L985" s="1"/>
      <c r="M985" s="1"/>
      <c r="N985" s="1"/>
      <c r="O985" s="1"/>
      <c r="P985" s="1"/>
      <c r="Q985" s="1"/>
      <c r="R985" s="1"/>
      <c r="S985" s="1"/>
      <c r="T985" s="1"/>
      <c r="U985" s="1"/>
      <c r="V985" s="1"/>
      <c r="W985" s="1"/>
      <c r="X985" s="1"/>
    </row>
    <row r="986" spans="1:24" ht="12.75" customHeight="1" x14ac:dyDescent="0.2">
      <c r="A986" s="1"/>
      <c r="B986" s="1"/>
      <c r="C986" s="89"/>
      <c r="D986" s="89"/>
      <c r="E986" s="93"/>
      <c r="F986" s="93"/>
      <c r="G986" s="105"/>
      <c r="H986" s="105"/>
      <c r="I986" s="1"/>
      <c r="J986" s="1"/>
      <c r="K986" s="1"/>
      <c r="L986" s="1"/>
      <c r="M986" s="1"/>
      <c r="N986" s="1"/>
      <c r="O986" s="1"/>
      <c r="P986" s="1"/>
      <c r="Q986" s="1"/>
      <c r="R986" s="1"/>
      <c r="S986" s="1"/>
      <c r="T986" s="1"/>
      <c r="U986" s="1"/>
      <c r="V986" s="1"/>
      <c r="W986" s="1"/>
      <c r="X986" s="1"/>
    </row>
    <row r="987" spans="1:24" ht="12.75" customHeight="1" x14ac:dyDescent="0.2">
      <c r="A987" s="1"/>
      <c r="B987" s="1"/>
      <c r="C987" s="89"/>
      <c r="D987" s="89"/>
      <c r="E987" s="93"/>
      <c r="F987" s="93"/>
      <c r="G987" s="105"/>
      <c r="H987" s="105"/>
      <c r="I987" s="1"/>
      <c r="J987" s="1"/>
      <c r="K987" s="1"/>
      <c r="L987" s="1"/>
      <c r="M987" s="1"/>
      <c r="N987" s="1"/>
      <c r="O987" s="1"/>
      <c r="P987" s="1"/>
      <c r="Q987" s="1"/>
      <c r="R987" s="1"/>
      <c r="S987" s="1"/>
      <c r="T987" s="1"/>
      <c r="U987" s="1"/>
      <c r="V987" s="1"/>
      <c r="W987" s="1"/>
      <c r="X987" s="1"/>
    </row>
    <row r="988" spans="1:24" ht="12.75" customHeight="1" x14ac:dyDescent="0.2">
      <c r="A988" s="1"/>
      <c r="B988" s="1"/>
      <c r="C988" s="89"/>
      <c r="D988" s="89"/>
      <c r="E988" s="93"/>
      <c r="F988" s="93"/>
      <c r="G988" s="105"/>
      <c r="H988" s="105"/>
      <c r="I988" s="1"/>
      <c r="J988" s="1"/>
      <c r="K988" s="1"/>
      <c r="L988" s="1"/>
      <c r="M988" s="1"/>
      <c r="N988" s="1"/>
      <c r="O988" s="1"/>
      <c r="P988" s="1"/>
      <c r="Q988" s="1"/>
      <c r="R988" s="1"/>
      <c r="S988" s="1"/>
      <c r="T988" s="1"/>
      <c r="U988" s="1"/>
      <c r="V988" s="1"/>
      <c r="W988" s="1"/>
      <c r="X988" s="1"/>
    </row>
    <row r="989" spans="1:24" ht="12.75" customHeight="1" x14ac:dyDescent="0.2">
      <c r="A989" s="1"/>
      <c r="B989" s="1"/>
      <c r="C989" s="89"/>
      <c r="D989" s="89"/>
      <c r="E989" s="93"/>
      <c r="F989" s="93"/>
      <c r="G989" s="105"/>
      <c r="H989" s="105"/>
      <c r="I989" s="1"/>
      <c r="J989" s="1"/>
      <c r="K989" s="1"/>
      <c r="L989" s="1"/>
      <c r="M989" s="1"/>
      <c r="N989" s="1"/>
      <c r="O989" s="1"/>
      <c r="P989" s="1"/>
      <c r="Q989" s="1"/>
      <c r="R989" s="1"/>
      <c r="S989" s="1"/>
      <c r="T989" s="1"/>
      <c r="U989" s="1"/>
      <c r="V989" s="1"/>
      <c r="W989" s="1"/>
      <c r="X989" s="1"/>
    </row>
    <row r="990" spans="1:24" ht="12.75" customHeight="1" x14ac:dyDescent="0.2">
      <c r="A990" s="1"/>
      <c r="B990" s="1"/>
      <c r="C990" s="89"/>
      <c r="D990" s="89"/>
      <c r="E990" s="93"/>
      <c r="F990" s="93"/>
      <c r="G990" s="105"/>
      <c r="H990" s="105"/>
      <c r="I990" s="1"/>
      <c r="J990" s="1"/>
      <c r="K990" s="1"/>
      <c r="L990" s="1"/>
      <c r="M990" s="1"/>
      <c r="N990" s="1"/>
      <c r="O990" s="1"/>
      <c r="P990" s="1"/>
      <c r="Q990" s="1"/>
      <c r="R990" s="1"/>
      <c r="S990" s="1"/>
      <c r="T990" s="1"/>
      <c r="U990" s="1"/>
      <c r="V990" s="1"/>
      <c r="W990" s="1"/>
      <c r="X990" s="1"/>
    </row>
    <row r="991" spans="1:24" ht="12.75" customHeight="1" x14ac:dyDescent="0.2">
      <c r="A991" s="1"/>
      <c r="B991" s="1"/>
      <c r="C991" s="89"/>
      <c r="D991" s="89"/>
      <c r="E991" s="93"/>
      <c r="F991" s="93"/>
      <c r="G991" s="105"/>
      <c r="H991" s="105"/>
      <c r="I991" s="1"/>
      <c r="J991" s="1"/>
      <c r="K991" s="1"/>
      <c r="L991" s="1"/>
      <c r="M991" s="1"/>
      <c r="N991" s="1"/>
      <c r="O991" s="1"/>
      <c r="P991" s="1"/>
      <c r="Q991" s="1"/>
      <c r="R991" s="1"/>
      <c r="S991" s="1"/>
      <c r="T991" s="1"/>
      <c r="U991" s="1"/>
      <c r="V991" s="1"/>
      <c r="W991" s="1"/>
      <c r="X991" s="1"/>
    </row>
    <row r="992" spans="1:24" ht="12.75" customHeight="1" x14ac:dyDescent="0.2">
      <c r="A992" s="1"/>
      <c r="B992" s="1"/>
      <c r="C992" s="89"/>
      <c r="D992" s="89"/>
      <c r="E992" s="93"/>
      <c r="F992" s="93"/>
      <c r="G992" s="105"/>
      <c r="H992" s="105"/>
      <c r="I992" s="1"/>
      <c r="J992" s="1"/>
      <c r="K992" s="1"/>
      <c r="L992" s="1"/>
      <c r="M992" s="1"/>
      <c r="N992" s="1"/>
      <c r="O992" s="1"/>
      <c r="P992" s="1"/>
      <c r="Q992" s="1"/>
      <c r="R992" s="1"/>
      <c r="S992" s="1"/>
      <c r="T992" s="1"/>
      <c r="U992" s="1"/>
      <c r="V992" s="1"/>
      <c r="W992" s="1"/>
      <c r="X992" s="1"/>
    </row>
    <row r="993" spans="1:24" ht="12.75" customHeight="1" x14ac:dyDescent="0.2">
      <c r="A993" s="1"/>
      <c r="B993" s="1"/>
      <c r="C993" s="89"/>
      <c r="D993" s="89"/>
      <c r="E993" s="93"/>
      <c r="F993" s="93"/>
      <c r="G993" s="105"/>
      <c r="H993" s="105"/>
      <c r="I993" s="1"/>
      <c r="J993" s="1"/>
      <c r="K993" s="1"/>
      <c r="L993" s="1"/>
      <c r="M993" s="1"/>
      <c r="N993" s="1"/>
      <c r="O993" s="1"/>
      <c r="P993" s="1"/>
      <c r="Q993" s="1"/>
      <c r="R993" s="1"/>
      <c r="S993" s="1"/>
      <c r="T993" s="1"/>
      <c r="U993" s="1"/>
      <c r="V993" s="1"/>
      <c r="W993" s="1"/>
      <c r="X993" s="1"/>
    </row>
    <row r="994" spans="1:24" ht="12.75" customHeight="1" x14ac:dyDescent="0.2">
      <c r="A994" s="1"/>
      <c r="B994" s="1"/>
      <c r="C994" s="89"/>
      <c r="D994" s="89"/>
      <c r="E994" s="93"/>
      <c r="F994" s="93"/>
      <c r="G994" s="105"/>
      <c r="H994" s="105"/>
      <c r="I994" s="1"/>
      <c r="J994" s="1"/>
      <c r="K994" s="1"/>
      <c r="L994" s="1"/>
      <c r="M994" s="1"/>
      <c r="N994" s="1"/>
      <c r="O994" s="1"/>
      <c r="P994" s="1"/>
      <c r="Q994" s="1"/>
      <c r="R994" s="1"/>
      <c r="S994" s="1"/>
      <c r="T994" s="1"/>
      <c r="U994" s="1"/>
      <c r="V994" s="1"/>
      <c r="W994" s="1"/>
      <c r="X994" s="1"/>
    </row>
  </sheetData>
  <mergeCells count="13">
    <mergeCell ref="C3:D3"/>
    <mergeCell ref="E3:F3"/>
    <mergeCell ref="G3:H3"/>
    <mergeCell ref="A1:N1"/>
    <mergeCell ref="A3:B3"/>
    <mergeCell ref="A2:B2"/>
    <mergeCell ref="C2:D2"/>
    <mergeCell ref="E2:F2"/>
    <mergeCell ref="G2:H2"/>
    <mergeCell ref="I2:N2"/>
    <mergeCell ref="K3:L3"/>
    <mergeCell ref="M3:N3"/>
    <mergeCell ref="I3:J3"/>
  </mergeCells>
  <pageMargins left="0.75" right="0.75" top="1" bottom="1" header="0.3" footer="0.3"/>
  <pageSetup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4" topLeftCell="B5" activePane="bottomRight" state="frozen"/>
      <selection pane="topRight" activeCell="B1" sqref="B1"/>
      <selection pane="bottomLeft" activeCell="A5" sqref="A5"/>
      <selection pane="bottomRight" activeCell="H23" sqref="H23"/>
    </sheetView>
  </sheetViews>
  <sheetFormatPr defaultColWidth="17.28515625" defaultRowHeight="15" customHeight="1" x14ac:dyDescent="0.2"/>
  <cols>
    <col min="1" max="1" width="6.140625" customWidth="1"/>
    <col min="2" max="2" width="8.5703125" customWidth="1"/>
    <col min="3" max="3" width="9.5703125" customWidth="1"/>
    <col min="4" max="4" width="10.7109375" customWidth="1"/>
    <col min="5" max="5" width="10.42578125" customWidth="1"/>
    <col min="6" max="6" width="10.85546875" customWidth="1"/>
    <col min="7" max="7" width="8.5703125" customWidth="1"/>
    <col min="8" max="9" width="9" customWidth="1"/>
    <col min="10" max="10" width="12.5703125" customWidth="1"/>
    <col min="11" max="11" width="12" customWidth="1"/>
    <col min="12" max="12" width="14.85546875" customWidth="1"/>
    <col min="13" max="22" width="11.42578125" customWidth="1"/>
    <col min="23" max="26" width="10" customWidth="1"/>
  </cols>
  <sheetData>
    <row r="1" spans="1:26" ht="12.75" customHeight="1" x14ac:dyDescent="0.2">
      <c r="A1" s="172" t="s">
        <v>223</v>
      </c>
      <c r="B1" s="162"/>
      <c r="C1" s="162"/>
      <c r="D1" s="162"/>
      <c r="E1" s="162"/>
      <c r="F1" s="162"/>
      <c r="G1" s="162"/>
      <c r="H1" s="162"/>
      <c r="I1" s="162"/>
      <c r="J1" s="162"/>
      <c r="K1" s="162"/>
      <c r="L1" s="160"/>
      <c r="M1" s="1"/>
      <c r="N1" s="1"/>
      <c r="O1" s="1"/>
      <c r="P1" s="1"/>
      <c r="Q1" s="1"/>
      <c r="R1" s="1"/>
      <c r="S1" s="1"/>
      <c r="T1" s="1"/>
      <c r="U1" s="1"/>
      <c r="V1" s="1"/>
      <c r="W1" s="1"/>
      <c r="X1" s="1"/>
      <c r="Y1" s="1"/>
      <c r="Z1" s="1"/>
    </row>
    <row r="2" spans="1:26" ht="12" customHeight="1" x14ac:dyDescent="0.2">
      <c r="A2" s="154" t="s">
        <v>103</v>
      </c>
      <c r="B2" s="160"/>
      <c r="C2" s="173" t="s">
        <v>478</v>
      </c>
      <c r="D2" s="167"/>
      <c r="E2" s="171" t="s">
        <v>479</v>
      </c>
      <c r="F2" s="164"/>
      <c r="G2" s="172"/>
      <c r="H2" s="162"/>
      <c r="I2" s="162"/>
      <c r="J2" s="162"/>
      <c r="K2" s="162"/>
      <c r="L2" s="160"/>
      <c r="M2" s="1"/>
      <c r="N2" s="1"/>
      <c r="O2" s="1"/>
      <c r="P2" s="1"/>
      <c r="Q2" s="1"/>
      <c r="R2" s="1"/>
      <c r="S2" s="1"/>
      <c r="T2" s="1"/>
      <c r="U2" s="1"/>
      <c r="V2" s="1"/>
      <c r="W2" s="1"/>
      <c r="X2" s="1"/>
      <c r="Y2" s="1"/>
      <c r="Z2" s="1"/>
    </row>
    <row r="3" spans="1:26" ht="12" customHeight="1" x14ac:dyDescent="0.2">
      <c r="A3" s="154" t="s">
        <v>101</v>
      </c>
      <c r="B3" s="160"/>
      <c r="C3" s="152" t="s">
        <v>40</v>
      </c>
      <c r="D3" s="167"/>
      <c r="E3" s="148" t="s">
        <v>43</v>
      </c>
      <c r="F3" s="164"/>
      <c r="G3" s="147" t="s">
        <v>107</v>
      </c>
      <c r="H3" s="160"/>
      <c r="I3" s="147" t="s">
        <v>30</v>
      </c>
      <c r="J3" s="160"/>
      <c r="K3" s="147" t="s">
        <v>108</v>
      </c>
      <c r="L3" s="160"/>
      <c r="M3" s="1"/>
      <c r="N3" s="1"/>
      <c r="O3" s="1"/>
      <c r="P3" s="1"/>
      <c r="Q3" s="1"/>
      <c r="R3" s="1"/>
      <c r="S3" s="1"/>
      <c r="T3" s="1"/>
      <c r="U3" s="1"/>
      <c r="V3" s="1"/>
      <c r="W3" s="1"/>
      <c r="X3" s="1"/>
      <c r="Y3" s="1"/>
      <c r="Z3" s="1"/>
    </row>
    <row r="4" spans="1:26" ht="12" customHeight="1" x14ac:dyDescent="0.2">
      <c r="A4" s="12"/>
      <c r="B4" s="12">
        <f>+B13+B14+B25+B26+B33+B34</f>
        <v>8883</v>
      </c>
      <c r="C4" s="78">
        <f>SUM(C13,C25,C33,C34)</f>
        <v>2212</v>
      </c>
      <c r="D4" s="79">
        <f>IF((I4=0),"",(C4/I4))</f>
        <v>0.49441215914170766</v>
      </c>
      <c r="E4" s="63">
        <f>SUM(E13,E25,E33,E34)</f>
        <v>2166</v>
      </c>
      <c r="F4" s="64">
        <f>IF((I4=0),"",(E4/I4))</f>
        <v>0.48413053196244971</v>
      </c>
      <c r="G4" s="12">
        <f>SUM(G13,G25,G33,G34)</f>
        <v>96</v>
      </c>
      <c r="H4" s="13">
        <f>IF((I4=0),"",(G4/I4))</f>
        <v>2.1457308895842648E-2</v>
      </c>
      <c r="I4" s="12">
        <f>+I13+I25+I33</f>
        <v>4474</v>
      </c>
      <c r="J4" s="13">
        <f>IF((B4=0),"",(I4/B4))</f>
        <v>0.50365867387143981</v>
      </c>
      <c r="K4" s="12">
        <f>+K13+K25+K33</f>
        <v>4369</v>
      </c>
      <c r="L4" s="13">
        <f>IF((B4=0),"",(K4/B4))</f>
        <v>0.49183834290217271</v>
      </c>
      <c r="M4" s="1"/>
      <c r="N4" s="1"/>
      <c r="O4" s="1"/>
      <c r="P4" s="1"/>
      <c r="Q4" s="1"/>
      <c r="R4" s="1"/>
      <c r="S4" s="1"/>
      <c r="T4" s="1"/>
      <c r="U4" s="1"/>
      <c r="V4" s="1"/>
      <c r="W4" s="1"/>
      <c r="X4" s="1"/>
      <c r="Y4" s="1"/>
      <c r="Z4" s="1"/>
    </row>
    <row r="5" spans="1:26" ht="12" customHeight="1" x14ac:dyDescent="0.2">
      <c r="A5" s="14" t="s">
        <v>224</v>
      </c>
      <c r="B5" s="32" t="s">
        <v>225</v>
      </c>
      <c r="C5" s="86"/>
      <c r="D5" s="86"/>
      <c r="E5" s="90"/>
      <c r="F5" s="90"/>
      <c r="G5" s="16"/>
      <c r="H5" s="16"/>
      <c r="I5" s="16"/>
      <c r="J5" s="16"/>
      <c r="K5" s="16"/>
      <c r="L5" s="16"/>
      <c r="M5" s="1"/>
      <c r="N5" s="1"/>
      <c r="O5" s="1"/>
      <c r="P5" s="1"/>
      <c r="Q5" s="1"/>
      <c r="R5" s="1"/>
      <c r="S5" s="1"/>
      <c r="T5" s="1"/>
      <c r="U5" s="1"/>
      <c r="V5" s="1"/>
      <c r="W5" s="1"/>
      <c r="X5" s="1"/>
      <c r="Y5" s="1"/>
      <c r="Z5" s="1"/>
    </row>
    <row r="6" spans="1:26" ht="12" customHeight="1" x14ac:dyDescent="0.2">
      <c r="A6" s="15" t="s">
        <v>111</v>
      </c>
      <c r="B6" s="15">
        <v>429</v>
      </c>
      <c r="C6" s="81">
        <v>102</v>
      </c>
      <c r="D6" s="82">
        <f t="shared" ref="D6:D13" si="0">IF((I6=0),"",(C6/I6))</f>
        <v>0.55737704918032782</v>
      </c>
      <c r="E6" s="66">
        <v>76</v>
      </c>
      <c r="F6" s="67">
        <f t="shared" ref="F6:F13" si="1">IF((I6=0),"",(E6/I6))</f>
        <v>0.41530054644808745</v>
      </c>
      <c r="G6" s="15">
        <v>5</v>
      </c>
      <c r="H6" s="17">
        <f t="shared" ref="H6:H13" si="2">IF((I6=0),"",(G6/I6))</f>
        <v>2.7322404371584699E-2</v>
      </c>
      <c r="I6" s="15">
        <f t="shared" ref="I6:I12" si="3">SUM(C6,E6,G6)</f>
        <v>183</v>
      </c>
      <c r="J6" s="17">
        <f t="shared" ref="J6:J13" si="4">IF((B6=0),"",(I6/B6))</f>
        <v>0.42657342657342656</v>
      </c>
      <c r="K6" s="15">
        <f>B6-I6</f>
        <v>246</v>
      </c>
      <c r="L6" s="17">
        <f t="shared" ref="L6:L13" si="5">IF((B6=0),"",(K6/B6))</f>
        <v>0.57342657342657344</v>
      </c>
      <c r="M6" s="1"/>
      <c r="N6" s="1"/>
      <c r="O6" s="1"/>
      <c r="P6" s="1"/>
      <c r="Q6" s="1"/>
      <c r="R6" s="1"/>
      <c r="S6" s="1"/>
      <c r="T6" s="1"/>
      <c r="U6" s="1"/>
      <c r="V6" s="1"/>
      <c r="W6" s="1"/>
      <c r="X6" s="1"/>
      <c r="Y6" s="1"/>
      <c r="Z6" s="1"/>
    </row>
    <row r="7" spans="1:26" ht="12" customHeight="1" x14ac:dyDescent="0.2">
      <c r="A7" s="15" t="s">
        <v>112</v>
      </c>
      <c r="B7" s="15">
        <v>438</v>
      </c>
      <c r="C7" s="81">
        <v>108</v>
      </c>
      <c r="D7" s="82">
        <f t="shared" si="0"/>
        <v>0.55958549222797926</v>
      </c>
      <c r="E7" s="66">
        <v>81</v>
      </c>
      <c r="F7" s="67">
        <f t="shared" si="1"/>
        <v>0.41968911917098445</v>
      </c>
      <c r="G7" s="15">
        <v>4</v>
      </c>
      <c r="H7" s="17">
        <f t="shared" si="2"/>
        <v>2.072538860103627E-2</v>
      </c>
      <c r="I7" s="15">
        <f t="shared" si="3"/>
        <v>193</v>
      </c>
      <c r="J7" s="17">
        <f t="shared" si="4"/>
        <v>0.4406392694063927</v>
      </c>
      <c r="K7" s="29">
        <f t="shared" ref="K7:K12" si="6">B7-I7</f>
        <v>245</v>
      </c>
      <c r="L7" s="17">
        <f t="shared" si="5"/>
        <v>0.55936073059360736</v>
      </c>
      <c r="M7" s="1"/>
      <c r="N7" s="1"/>
      <c r="O7" s="1"/>
      <c r="P7" s="1"/>
      <c r="Q7" s="1"/>
      <c r="R7" s="1"/>
      <c r="S7" s="1"/>
      <c r="T7" s="1"/>
      <c r="U7" s="1"/>
      <c r="V7" s="1"/>
      <c r="W7" s="1"/>
      <c r="X7" s="1"/>
      <c r="Y7" s="1"/>
      <c r="Z7" s="1"/>
    </row>
    <row r="8" spans="1:26" ht="12" customHeight="1" x14ac:dyDescent="0.2">
      <c r="A8" s="15" t="s">
        <v>178</v>
      </c>
      <c r="B8" s="15">
        <v>405</v>
      </c>
      <c r="C8" s="81">
        <v>109</v>
      </c>
      <c r="D8" s="82">
        <f t="shared" si="0"/>
        <v>0.5505050505050505</v>
      </c>
      <c r="E8" s="66">
        <v>85</v>
      </c>
      <c r="F8" s="67">
        <f t="shared" si="1"/>
        <v>0.42929292929292928</v>
      </c>
      <c r="G8" s="15">
        <v>4</v>
      </c>
      <c r="H8" s="17">
        <f t="shared" si="2"/>
        <v>2.0202020202020204E-2</v>
      </c>
      <c r="I8" s="15">
        <f t="shared" si="3"/>
        <v>198</v>
      </c>
      <c r="J8" s="17">
        <f t="shared" si="4"/>
        <v>0.48888888888888887</v>
      </c>
      <c r="K8" s="29">
        <f t="shared" si="6"/>
        <v>207</v>
      </c>
      <c r="L8" s="17">
        <f t="shared" si="5"/>
        <v>0.51111111111111107</v>
      </c>
      <c r="M8" s="1"/>
      <c r="N8" s="1"/>
      <c r="O8" s="1"/>
      <c r="P8" s="1"/>
      <c r="Q8" s="1"/>
      <c r="R8" s="1"/>
      <c r="S8" s="1"/>
      <c r="T8" s="1"/>
      <c r="U8" s="1"/>
      <c r="V8" s="1"/>
      <c r="W8" s="1"/>
      <c r="X8" s="1"/>
      <c r="Y8" s="1"/>
      <c r="Z8" s="1"/>
    </row>
    <row r="9" spans="1:26" ht="12" customHeight="1" x14ac:dyDescent="0.2">
      <c r="A9" s="15" t="s">
        <v>480</v>
      </c>
      <c r="B9" s="15">
        <v>432</v>
      </c>
      <c r="C9" s="81">
        <v>89</v>
      </c>
      <c r="D9" s="82">
        <f t="shared" si="0"/>
        <v>0.45408163265306123</v>
      </c>
      <c r="E9" s="66">
        <v>105</v>
      </c>
      <c r="F9" s="67">
        <f t="shared" si="1"/>
        <v>0.5357142857142857</v>
      </c>
      <c r="G9" s="15">
        <v>2</v>
      </c>
      <c r="H9" s="17">
        <f t="shared" si="2"/>
        <v>1.020408163265306E-2</v>
      </c>
      <c r="I9" s="15">
        <f t="shared" si="3"/>
        <v>196</v>
      </c>
      <c r="J9" s="17">
        <f t="shared" si="4"/>
        <v>0.45370370370370372</v>
      </c>
      <c r="K9" s="29">
        <f t="shared" si="6"/>
        <v>236</v>
      </c>
      <c r="L9" s="17">
        <f t="shared" si="5"/>
        <v>0.54629629629629628</v>
      </c>
      <c r="M9" s="1"/>
      <c r="N9" s="1"/>
      <c r="O9" s="1"/>
      <c r="P9" s="1"/>
      <c r="Q9" s="1"/>
      <c r="R9" s="1"/>
      <c r="S9" s="1"/>
      <c r="T9" s="1"/>
      <c r="U9" s="1"/>
      <c r="V9" s="1"/>
      <c r="W9" s="1"/>
      <c r="X9" s="1"/>
      <c r="Y9" s="1"/>
      <c r="Z9" s="1"/>
    </row>
    <row r="10" spans="1:26" ht="12" customHeight="1" x14ac:dyDescent="0.2">
      <c r="A10" s="15" t="s">
        <v>464</v>
      </c>
      <c r="B10" s="15">
        <v>402</v>
      </c>
      <c r="C10" s="81">
        <v>80</v>
      </c>
      <c r="D10" s="82">
        <f t="shared" si="0"/>
        <v>0.44692737430167595</v>
      </c>
      <c r="E10" s="66">
        <v>96</v>
      </c>
      <c r="F10" s="67">
        <f t="shared" si="1"/>
        <v>0.53631284916201116</v>
      </c>
      <c r="G10" s="15">
        <v>3</v>
      </c>
      <c r="H10" s="17">
        <f t="shared" si="2"/>
        <v>1.6759776536312849E-2</v>
      </c>
      <c r="I10" s="15">
        <f t="shared" si="3"/>
        <v>179</v>
      </c>
      <c r="J10" s="17">
        <f t="shared" si="4"/>
        <v>0.44527363184079605</v>
      </c>
      <c r="K10" s="29">
        <f t="shared" si="6"/>
        <v>223</v>
      </c>
      <c r="L10" s="17">
        <f t="shared" si="5"/>
        <v>0.55472636815920395</v>
      </c>
      <c r="M10" s="1"/>
      <c r="N10" s="1"/>
      <c r="O10" s="1"/>
      <c r="P10" s="1"/>
      <c r="Q10" s="1"/>
      <c r="R10" s="1"/>
      <c r="S10" s="1"/>
      <c r="T10" s="1"/>
      <c r="U10" s="1"/>
      <c r="V10" s="1"/>
      <c r="W10" s="1"/>
      <c r="X10" s="1"/>
      <c r="Y10" s="1"/>
      <c r="Z10" s="1"/>
    </row>
    <row r="11" spans="1:26" ht="12" customHeight="1" x14ac:dyDescent="0.2">
      <c r="A11" s="15" t="s">
        <v>299</v>
      </c>
      <c r="B11" s="15">
        <v>479</v>
      </c>
      <c r="C11" s="81">
        <v>115</v>
      </c>
      <c r="D11" s="82">
        <f t="shared" si="0"/>
        <v>0.55023923444976075</v>
      </c>
      <c r="E11" s="66">
        <v>85</v>
      </c>
      <c r="F11" s="67">
        <f t="shared" si="1"/>
        <v>0.40669856459330145</v>
      </c>
      <c r="G11" s="15">
        <v>9</v>
      </c>
      <c r="H11" s="17">
        <f t="shared" si="2"/>
        <v>4.3062200956937802E-2</v>
      </c>
      <c r="I11" s="15">
        <f t="shared" si="3"/>
        <v>209</v>
      </c>
      <c r="J11" s="17">
        <f t="shared" si="4"/>
        <v>0.43632567849686849</v>
      </c>
      <c r="K11" s="29">
        <f t="shared" si="6"/>
        <v>270</v>
      </c>
      <c r="L11" s="17">
        <f t="shared" si="5"/>
        <v>0.56367432150313157</v>
      </c>
      <c r="M11" s="1"/>
      <c r="N11" s="1"/>
      <c r="O11" s="1"/>
      <c r="P11" s="1"/>
      <c r="Q11" s="1"/>
      <c r="R11" s="1"/>
      <c r="S11" s="1"/>
      <c r="T11" s="1"/>
      <c r="U11" s="1"/>
      <c r="V11" s="1"/>
      <c r="W11" s="1"/>
      <c r="X11" s="1"/>
      <c r="Y11" s="1"/>
      <c r="Z11" s="1"/>
    </row>
    <row r="12" spans="1:26" ht="12" customHeight="1" x14ac:dyDescent="0.2">
      <c r="A12" s="15" t="s">
        <v>173</v>
      </c>
      <c r="B12" s="15">
        <v>499</v>
      </c>
      <c r="C12" s="81">
        <v>104</v>
      </c>
      <c r="D12" s="82">
        <f t="shared" si="0"/>
        <v>0.49289099526066349</v>
      </c>
      <c r="E12" s="66">
        <v>104</v>
      </c>
      <c r="F12" s="67">
        <f t="shared" si="1"/>
        <v>0.49289099526066349</v>
      </c>
      <c r="G12" s="15">
        <v>3</v>
      </c>
      <c r="H12" s="17">
        <f t="shared" si="2"/>
        <v>1.4218009478672985E-2</v>
      </c>
      <c r="I12" s="15">
        <f t="shared" si="3"/>
        <v>211</v>
      </c>
      <c r="J12" s="17">
        <f t="shared" si="4"/>
        <v>0.42284569138276551</v>
      </c>
      <c r="K12" s="29">
        <f t="shared" si="6"/>
        <v>288</v>
      </c>
      <c r="L12" s="17">
        <f t="shared" si="5"/>
        <v>0.57715430861723449</v>
      </c>
      <c r="M12" s="1"/>
      <c r="N12" s="1"/>
      <c r="O12" s="1"/>
      <c r="P12" s="1"/>
      <c r="Q12" s="1"/>
      <c r="R12" s="1"/>
      <c r="S12" s="1"/>
      <c r="T12" s="1"/>
      <c r="U12" s="1"/>
      <c r="V12" s="1"/>
      <c r="W12" s="1"/>
      <c r="X12" s="1"/>
      <c r="Y12" s="1"/>
      <c r="Z12" s="1"/>
    </row>
    <row r="13" spans="1:26" ht="12" customHeight="1" x14ac:dyDescent="0.2">
      <c r="A13" s="12" t="s">
        <v>120</v>
      </c>
      <c r="B13" s="12">
        <f>SUM(B6:B12)</f>
        <v>3084</v>
      </c>
      <c r="C13" s="78">
        <f>SUM(C6:C12)</f>
        <v>707</v>
      </c>
      <c r="D13" s="79">
        <f t="shared" si="0"/>
        <v>0.51643535427319209</v>
      </c>
      <c r="E13" s="63">
        <f>SUM(E6:E12)</f>
        <v>632</v>
      </c>
      <c r="F13" s="64">
        <f t="shared" si="1"/>
        <v>0.46165084002921841</v>
      </c>
      <c r="G13" s="12">
        <f>SUM(G6:G12)</f>
        <v>30</v>
      </c>
      <c r="H13" s="13">
        <f t="shared" si="2"/>
        <v>2.1913805697589481E-2</v>
      </c>
      <c r="I13" s="12">
        <f>SUM(I6:I12)</f>
        <v>1369</v>
      </c>
      <c r="J13" s="13">
        <f t="shared" si="4"/>
        <v>0.44390402075226976</v>
      </c>
      <c r="K13" s="12">
        <f>SUM(K6:K12)</f>
        <v>1715</v>
      </c>
      <c r="L13" s="13">
        <f t="shared" si="5"/>
        <v>0.55609597924773024</v>
      </c>
      <c r="M13" s="1"/>
      <c r="N13" s="1"/>
      <c r="O13" s="1"/>
      <c r="P13" s="1"/>
      <c r="Q13" s="1"/>
      <c r="R13" s="1"/>
      <c r="S13" s="1"/>
      <c r="T13" s="1"/>
      <c r="U13" s="1"/>
      <c r="V13" s="1"/>
      <c r="W13" s="1"/>
      <c r="X13" s="1"/>
      <c r="Y13" s="1"/>
      <c r="Z13" s="1"/>
    </row>
    <row r="14" spans="1:26" s="51" customFormat="1" ht="12" customHeight="1" x14ac:dyDescent="0.2">
      <c r="A14" s="32" t="s">
        <v>542</v>
      </c>
      <c r="B14" s="32">
        <v>11</v>
      </c>
      <c r="C14" s="78"/>
      <c r="D14" s="79"/>
      <c r="E14" s="63"/>
      <c r="F14" s="64"/>
      <c r="G14" s="32"/>
      <c r="H14" s="28"/>
      <c r="I14" s="32"/>
      <c r="J14" s="28"/>
      <c r="K14" s="32"/>
      <c r="L14" s="28"/>
      <c r="M14" s="1"/>
      <c r="N14" s="1"/>
      <c r="O14" s="1"/>
      <c r="P14" s="1"/>
      <c r="Q14" s="1"/>
      <c r="R14" s="1"/>
      <c r="S14" s="1"/>
      <c r="T14" s="1"/>
      <c r="U14" s="1"/>
      <c r="V14" s="1"/>
      <c r="W14" s="1"/>
      <c r="X14" s="1"/>
      <c r="Y14" s="1"/>
      <c r="Z14" s="1"/>
    </row>
    <row r="15" spans="1:26" ht="12" customHeight="1" x14ac:dyDescent="0.2">
      <c r="A15" s="14" t="s">
        <v>226</v>
      </c>
      <c r="B15" s="32" t="s">
        <v>227</v>
      </c>
      <c r="C15" s="86"/>
      <c r="D15" s="86"/>
      <c r="E15" s="90"/>
      <c r="F15" s="90"/>
      <c r="G15" s="16"/>
      <c r="H15" s="16"/>
      <c r="I15" s="16"/>
      <c r="J15" s="16"/>
      <c r="K15" s="16"/>
      <c r="L15" s="16"/>
      <c r="M15" s="1"/>
      <c r="N15" s="1"/>
      <c r="O15" s="1"/>
      <c r="P15" s="1"/>
      <c r="Q15" s="1"/>
      <c r="R15" s="1"/>
      <c r="S15" s="1"/>
      <c r="T15" s="1"/>
      <c r="U15" s="1"/>
      <c r="V15" s="1"/>
      <c r="W15" s="1"/>
      <c r="X15" s="1"/>
      <c r="Y15" s="1"/>
      <c r="Z15" s="1"/>
    </row>
    <row r="16" spans="1:26" ht="12" customHeight="1" x14ac:dyDescent="0.2">
      <c r="A16" s="15" t="s">
        <v>111</v>
      </c>
      <c r="B16" s="15">
        <v>478</v>
      </c>
      <c r="C16" s="81">
        <v>125</v>
      </c>
      <c r="D16" s="82">
        <f t="shared" ref="D16:D25" si="7">IF((I16=0),"",(C16/I16))</f>
        <v>0.48828125</v>
      </c>
      <c r="E16" s="66">
        <v>124</v>
      </c>
      <c r="F16" s="67">
        <f t="shared" ref="F16:F25" si="8">IF((I16=0),"",(E16/I16))</f>
        <v>0.484375</v>
      </c>
      <c r="G16" s="15">
        <v>7</v>
      </c>
      <c r="H16" s="17">
        <f t="shared" ref="H16:H25" si="9">IF((I16=0),"",(G16/I16))</f>
        <v>2.734375E-2</v>
      </c>
      <c r="I16" s="15">
        <f t="shared" ref="I16:I24" si="10">SUM(C16,E16,G16)</f>
        <v>256</v>
      </c>
      <c r="J16" s="17">
        <f t="shared" ref="J16:J25" si="11">IF((B16=0),"",(I16/B16))</f>
        <v>0.53556485355648531</v>
      </c>
      <c r="K16" s="29">
        <f t="shared" ref="K16:K24" si="12">B16-I16</f>
        <v>222</v>
      </c>
      <c r="L16" s="17">
        <f t="shared" ref="L16:L25" si="13">IF((B16=0),"",(K16/B16))</f>
        <v>0.46443514644351463</v>
      </c>
      <c r="M16" s="1"/>
      <c r="N16" s="1"/>
      <c r="O16" s="1"/>
      <c r="P16" s="1"/>
      <c r="Q16" s="1"/>
      <c r="R16" s="1"/>
      <c r="S16" s="1"/>
      <c r="T16" s="1"/>
      <c r="U16" s="1"/>
      <c r="V16" s="1"/>
      <c r="W16" s="1"/>
      <c r="X16" s="1"/>
      <c r="Y16" s="1"/>
      <c r="Z16" s="1"/>
    </row>
    <row r="17" spans="1:26" ht="12" customHeight="1" x14ac:dyDescent="0.2">
      <c r="A17" s="15" t="s">
        <v>112</v>
      </c>
      <c r="B17" s="15">
        <v>463</v>
      </c>
      <c r="C17" s="81">
        <v>128</v>
      </c>
      <c r="D17" s="82">
        <f t="shared" si="7"/>
        <v>0.48854961832061067</v>
      </c>
      <c r="E17" s="66">
        <v>129</v>
      </c>
      <c r="F17" s="67">
        <f t="shared" si="8"/>
        <v>0.49236641221374045</v>
      </c>
      <c r="G17" s="15">
        <v>5</v>
      </c>
      <c r="H17" s="17">
        <f t="shared" si="9"/>
        <v>1.9083969465648856E-2</v>
      </c>
      <c r="I17" s="15">
        <f t="shared" si="10"/>
        <v>262</v>
      </c>
      <c r="J17" s="17">
        <f t="shared" si="11"/>
        <v>0.56587473002159827</v>
      </c>
      <c r="K17" s="29">
        <f t="shared" si="12"/>
        <v>201</v>
      </c>
      <c r="L17" s="17">
        <f t="shared" si="13"/>
        <v>0.43412526997840173</v>
      </c>
      <c r="M17" s="1"/>
      <c r="N17" s="1"/>
      <c r="O17" s="1"/>
      <c r="P17" s="1"/>
      <c r="Q17" s="1"/>
      <c r="R17" s="1"/>
      <c r="S17" s="1"/>
      <c r="T17" s="1"/>
      <c r="U17" s="1"/>
      <c r="V17" s="1"/>
      <c r="W17" s="1"/>
      <c r="X17" s="1"/>
      <c r="Y17" s="1"/>
      <c r="Z17" s="1"/>
    </row>
    <row r="18" spans="1:26" ht="12" customHeight="1" x14ac:dyDescent="0.2">
      <c r="A18" s="15" t="s">
        <v>113</v>
      </c>
      <c r="B18" s="15">
        <v>451</v>
      </c>
      <c r="C18" s="81">
        <v>112</v>
      </c>
      <c r="D18" s="82">
        <f t="shared" si="7"/>
        <v>0.47863247863247865</v>
      </c>
      <c r="E18" s="66">
        <v>114</v>
      </c>
      <c r="F18" s="67">
        <f t="shared" si="8"/>
        <v>0.48717948717948717</v>
      </c>
      <c r="G18" s="15">
        <v>8</v>
      </c>
      <c r="H18" s="17">
        <f t="shared" si="9"/>
        <v>3.4188034188034191E-2</v>
      </c>
      <c r="I18" s="15">
        <f t="shared" si="10"/>
        <v>234</v>
      </c>
      <c r="J18" s="17">
        <f t="shared" si="11"/>
        <v>0.51884700665188466</v>
      </c>
      <c r="K18" s="29">
        <f t="shared" si="12"/>
        <v>217</v>
      </c>
      <c r="L18" s="17">
        <f t="shared" si="13"/>
        <v>0.48115299334811529</v>
      </c>
      <c r="M18" s="1"/>
      <c r="N18" s="1"/>
      <c r="O18" s="1"/>
      <c r="P18" s="1"/>
      <c r="Q18" s="1"/>
      <c r="R18" s="1"/>
      <c r="S18" s="1"/>
      <c r="T18" s="1"/>
      <c r="U18" s="1"/>
      <c r="V18" s="1"/>
      <c r="W18" s="1"/>
      <c r="X18" s="1"/>
      <c r="Y18" s="1"/>
      <c r="Z18" s="1"/>
    </row>
    <row r="19" spans="1:26" ht="12" customHeight="1" x14ac:dyDescent="0.2">
      <c r="A19" s="15" t="s">
        <v>114</v>
      </c>
      <c r="B19" s="15">
        <v>443</v>
      </c>
      <c r="C19" s="81">
        <v>97</v>
      </c>
      <c r="D19" s="82">
        <f t="shared" si="7"/>
        <v>0.41991341991341991</v>
      </c>
      <c r="E19" s="66">
        <v>128</v>
      </c>
      <c r="F19" s="67">
        <f t="shared" si="8"/>
        <v>0.55411255411255411</v>
      </c>
      <c r="G19" s="15">
        <v>6</v>
      </c>
      <c r="H19" s="17">
        <f t="shared" si="9"/>
        <v>2.5974025974025976E-2</v>
      </c>
      <c r="I19" s="15">
        <f t="shared" si="10"/>
        <v>231</v>
      </c>
      <c r="J19" s="17">
        <f t="shared" si="11"/>
        <v>0.52144469525959369</v>
      </c>
      <c r="K19" s="29">
        <f t="shared" si="12"/>
        <v>212</v>
      </c>
      <c r="L19" s="17">
        <f t="shared" si="13"/>
        <v>0.47855530474040631</v>
      </c>
      <c r="M19" s="1"/>
      <c r="N19" s="1"/>
      <c r="O19" s="1"/>
      <c r="P19" s="1"/>
      <c r="Q19" s="1"/>
      <c r="R19" s="1"/>
      <c r="S19" s="1"/>
      <c r="T19" s="1"/>
      <c r="U19" s="1"/>
      <c r="V19" s="1"/>
      <c r="W19" s="1"/>
      <c r="X19" s="1"/>
      <c r="Y19" s="1"/>
      <c r="Z19" s="1"/>
    </row>
    <row r="20" spans="1:26" ht="12" customHeight="1" x14ac:dyDescent="0.2">
      <c r="A20" s="15" t="s">
        <v>76</v>
      </c>
      <c r="B20" s="15">
        <v>476</v>
      </c>
      <c r="C20" s="81">
        <v>105</v>
      </c>
      <c r="D20" s="82">
        <f t="shared" si="7"/>
        <v>0.44303797468354428</v>
      </c>
      <c r="E20" s="66">
        <v>123</v>
      </c>
      <c r="F20" s="67">
        <f t="shared" si="8"/>
        <v>0.51898734177215189</v>
      </c>
      <c r="G20" s="15">
        <v>9</v>
      </c>
      <c r="H20" s="17">
        <f t="shared" si="9"/>
        <v>3.7974683544303799E-2</v>
      </c>
      <c r="I20" s="15">
        <f t="shared" si="10"/>
        <v>237</v>
      </c>
      <c r="J20" s="17">
        <f t="shared" si="11"/>
        <v>0.49789915966386555</v>
      </c>
      <c r="K20" s="29">
        <f t="shared" si="12"/>
        <v>239</v>
      </c>
      <c r="L20" s="17">
        <f t="shared" si="13"/>
        <v>0.50210084033613445</v>
      </c>
      <c r="M20" s="1"/>
      <c r="N20" s="1"/>
      <c r="O20" s="1"/>
      <c r="P20" s="1"/>
      <c r="Q20" s="1"/>
      <c r="R20" s="1"/>
      <c r="S20" s="1"/>
      <c r="T20" s="1"/>
      <c r="U20" s="1"/>
      <c r="V20" s="1"/>
      <c r="W20" s="1"/>
      <c r="X20" s="1"/>
      <c r="Y20" s="1"/>
      <c r="Z20" s="1"/>
    </row>
    <row r="21" spans="1:26" ht="12" customHeight="1" x14ac:dyDescent="0.2">
      <c r="A21" s="15" t="s">
        <v>481</v>
      </c>
      <c r="B21" s="15">
        <v>500</v>
      </c>
      <c r="C21" s="81">
        <v>128</v>
      </c>
      <c r="D21" s="82">
        <f t="shared" si="7"/>
        <v>0.48120300751879697</v>
      </c>
      <c r="E21" s="66">
        <v>133</v>
      </c>
      <c r="F21" s="67">
        <f t="shared" si="8"/>
        <v>0.5</v>
      </c>
      <c r="G21" s="15">
        <v>5</v>
      </c>
      <c r="H21" s="17">
        <f t="shared" si="9"/>
        <v>1.8796992481203006E-2</v>
      </c>
      <c r="I21" s="15">
        <f t="shared" si="10"/>
        <v>266</v>
      </c>
      <c r="J21" s="17">
        <f t="shared" si="11"/>
        <v>0.53200000000000003</v>
      </c>
      <c r="K21" s="29">
        <f t="shared" si="12"/>
        <v>234</v>
      </c>
      <c r="L21" s="17">
        <f t="shared" si="13"/>
        <v>0.46800000000000003</v>
      </c>
      <c r="M21" s="1"/>
      <c r="N21" s="1"/>
      <c r="O21" s="1"/>
      <c r="P21" s="1"/>
      <c r="Q21" s="1"/>
      <c r="R21" s="1"/>
      <c r="S21" s="1"/>
      <c r="T21" s="1"/>
      <c r="U21" s="1"/>
      <c r="V21" s="1"/>
      <c r="W21" s="1"/>
      <c r="X21" s="1"/>
      <c r="Y21" s="1"/>
      <c r="Z21" s="1"/>
    </row>
    <row r="22" spans="1:26" ht="12" customHeight="1" x14ac:dyDescent="0.2">
      <c r="A22" s="15" t="s">
        <v>482</v>
      </c>
      <c r="B22" s="15">
        <v>474</v>
      </c>
      <c r="C22" s="81">
        <v>158</v>
      </c>
      <c r="D22" s="82">
        <f t="shared" si="7"/>
        <v>0.58088235294117652</v>
      </c>
      <c r="E22" s="66">
        <v>105</v>
      </c>
      <c r="F22" s="67">
        <f t="shared" si="8"/>
        <v>0.3860294117647059</v>
      </c>
      <c r="G22" s="15">
        <v>9</v>
      </c>
      <c r="H22" s="17">
        <f t="shared" si="9"/>
        <v>3.3088235294117647E-2</v>
      </c>
      <c r="I22" s="15">
        <f t="shared" si="10"/>
        <v>272</v>
      </c>
      <c r="J22" s="17">
        <f t="shared" si="11"/>
        <v>0.57383966244725737</v>
      </c>
      <c r="K22" s="29">
        <f t="shared" si="12"/>
        <v>202</v>
      </c>
      <c r="L22" s="17">
        <f t="shared" si="13"/>
        <v>0.42616033755274263</v>
      </c>
      <c r="M22" s="1"/>
      <c r="N22" s="1"/>
      <c r="O22" s="1"/>
      <c r="P22" s="1"/>
      <c r="Q22" s="1"/>
      <c r="R22" s="1"/>
      <c r="S22" s="1"/>
      <c r="T22" s="1"/>
      <c r="U22" s="1"/>
      <c r="V22" s="1"/>
      <c r="W22" s="1"/>
      <c r="X22" s="1"/>
      <c r="Y22" s="1"/>
      <c r="Z22" s="1"/>
    </row>
    <row r="23" spans="1:26" ht="12" customHeight="1" x14ac:dyDescent="0.2">
      <c r="A23" s="15" t="s">
        <v>118</v>
      </c>
      <c r="B23" s="15">
        <v>360</v>
      </c>
      <c r="C23" s="81">
        <v>82</v>
      </c>
      <c r="D23" s="82">
        <f t="shared" si="7"/>
        <v>0.43386243386243384</v>
      </c>
      <c r="E23" s="66">
        <v>103</v>
      </c>
      <c r="F23" s="67">
        <f t="shared" si="8"/>
        <v>0.544973544973545</v>
      </c>
      <c r="G23" s="15">
        <v>4</v>
      </c>
      <c r="H23" s="17">
        <f t="shared" si="9"/>
        <v>2.1164021164021163E-2</v>
      </c>
      <c r="I23" s="15">
        <f t="shared" si="10"/>
        <v>189</v>
      </c>
      <c r="J23" s="17">
        <f t="shared" si="11"/>
        <v>0.52500000000000002</v>
      </c>
      <c r="K23" s="29">
        <f t="shared" si="12"/>
        <v>171</v>
      </c>
      <c r="L23" s="17">
        <f t="shared" si="13"/>
        <v>0.47499999999999998</v>
      </c>
      <c r="M23" s="1"/>
      <c r="N23" s="1"/>
      <c r="O23" s="1"/>
      <c r="P23" s="1"/>
      <c r="Q23" s="1"/>
      <c r="R23" s="1"/>
      <c r="S23" s="1"/>
      <c r="T23" s="1"/>
      <c r="U23" s="1"/>
      <c r="V23" s="1"/>
      <c r="W23" s="1"/>
      <c r="X23" s="1"/>
      <c r="Y23" s="1"/>
      <c r="Z23" s="1"/>
    </row>
    <row r="24" spans="1:26" ht="12" customHeight="1" x14ac:dyDescent="0.2">
      <c r="A24" s="15" t="s">
        <v>119</v>
      </c>
      <c r="B24" s="15">
        <v>287</v>
      </c>
      <c r="C24" s="81">
        <v>69</v>
      </c>
      <c r="D24" s="82">
        <f t="shared" si="7"/>
        <v>0.44516129032258067</v>
      </c>
      <c r="E24" s="66">
        <v>84</v>
      </c>
      <c r="F24" s="67">
        <f t="shared" si="8"/>
        <v>0.54193548387096779</v>
      </c>
      <c r="G24" s="15">
        <v>2</v>
      </c>
      <c r="H24" s="17">
        <f t="shared" si="9"/>
        <v>1.2903225806451613E-2</v>
      </c>
      <c r="I24" s="15">
        <f t="shared" si="10"/>
        <v>155</v>
      </c>
      <c r="J24" s="17">
        <f t="shared" si="11"/>
        <v>0.54006968641114983</v>
      </c>
      <c r="K24" s="29">
        <f t="shared" si="12"/>
        <v>132</v>
      </c>
      <c r="L24" s="17">
        <f t="shared" si="13"/>
        <v>0.45993031358885017</v>
      </c>
      <c r="M24" s="1"/>
      <c r="N24" s="1"/>
      <c r="O24" s="1"/>
      <c r="P24" s="1"/>
      <c r="Q24" s="1"/>
      <c r="R24" s="1"/>
      <c r="S24" s="1"/>
      <c r="T24" s="1"/>
      <c r="U24" s="1"/>
      <c r="V24" s="1"/>
      <c r="W24" s="1"/>
      <c r="X24" s="1"/>
      <c r="Y24" s="1"/>
      <c r="Z24" s="1"/>
    </row>
    <row r="25" spans="1:26" ht="12" customHeight="1" x14ac:dyDescent="0.2">
      <c r="A25" s="12" t="s">
        <v>120</v>
      </c>
      <c r="B25" s="12">
        <f>SUM(B16:B24)</f>
        <v>3932</v>
      </c>
      <c r="C25" s="78">
        <f>SUM(C16:C24)</f>
        <v>1004</v>
      </c>
      <c r="D25" s="79">
        <f t="shared" si="7"/>
        <v>0.47764034253092291</v>
      </c>
      <c r="E25" s="63">
        <f>SUM(E16:E24)</f>
        <v>1043</v>
      </c>
      <c r="F25" s="64">
        <f t="shared" si="8"/>
        <v>0.49619410085632731</v>
      </c>
      <c r="G25" s="12">
        <f>SUM(G16:G24)</f>
        <v>55</v>
      </c>
      <c r="H25" s="13">
        <f t="shared" si="9"/>
        <v>2.6165556612749764E-2</v>
      </c>
      <c r="I25" s="12">
        <f>SUM(I16:I24)</f>
        <v>2102</v>
      </c>
      <c r="J25" s="13">
        <f t="shared" si="11"/>
        <v>0.53458799593082396</v>
      </c>
      <c r="K25" s="12">
        <f>SUM(K16:K24)</f>
        <v>1830</v>
      </c>
      <c r="L25" s="13">
        <f t="shared" si="13"/>
        <v>0.46541200406917599</v>
      </c>
      <c r="M25" s="1"/>
      <c r="N25" s="1"/>
      <c r="O25" s="1"/>
      <c r="P25" s="1"/>
      <c r="Q25" s="1"/>
      <c r="R25" s="1"/>
      <c r="S25" s="1"/>
      <c r="T25" s="1"/>
      <c r="U25" s="1"/>
      <c r="V25" s="1"/>
      <c r="W25" s="1"/>
      <c r="X25" s="1"/>
      <c r="Y25" s="1"/>
      <c r="Z25" s="1"/>
    </row>
    <row r="26" spans="1:26" s="51" customFormat="1" ht="12" customHeight="1" x14ac:dyDescent="0.2">
      <c r="A26" s="32"/>
      <c r="B26" s="32">
        <v>20</v>
      </c>
      <c r="C26" s="78"/>
      <c r="D26" s="79"/>
      <c r="E26" s="63"/>
      <c r="F26" s="64"/>
      <c r="G26" s="32"/>
      <c r="H26" s="28"/>
      <c r="I26" s="32"/>
      <c r="J26" s="28"/>
      <c r="K26" s="32"/>
      <c r="L26" s="28"/>
      <c r="M26" s="1"/>
      <c r="N26" s="1"/>
      <c r="O26" s="1"/>
      <c r="P26" s="1"/>
      <c r="Q26" s="1"/>
      <c r="R26" s="1"/>
      <c r="S26" s="1"/>
      <c r="T26" s="1"/>
      <c r="U26" s="1"/>
      <c r="V26" s="1"/>
      <c r="W26" s="1"/>
      <c r="X26" s="1"/>
      <c r="Y26" s="1"/>
      <c r="Z26" s="1"/>
    </row>
    <row r="27" spans="1:26" ht="12" customHeight="1" x14ac:dyDescent="0.2">
      <c r="A27" s="14" t="s">
        <v>228</v>
      </c>
      <c r="B27" s="32" t="s">
        <v>229</v>
      </c>
      <c r="C27" s="86"/>
      <c r="D27" s="86"/>
      <c r="E27" s="90"/>
      <c r="F27" s="90"/>
      <c r="G27" s="16"/>
      <c r="H27" s="16"/>
      <c r="I27" s="16"/>
      <c r="J27" s="16"/>
      <c r="K27" s="16"/>
      <c r="L27" s="16"/>
      <c r="M27" s="1"/>
      <c r="N27" s="1"/>
      <c r="O27" s="1"/>
      <c r="P27" s="1"/>
      <c r="Q27" s="1"/>
      <c r="R27" s="1"/>
      <c r="S27" s="1"/>
      <c r="T27" s="1"/>
      <c r="U27" s="1"/>
      <c r="V27" s="1"/>
      <c r="W27" s="1"/>
      <c r="X27" s="1"/>
      <c r="Y27" s="1"/>
      <c r="Z27" s="1"/>
    </row>
    <row r="28" spans="1:26" ht="12" customHeight="1" x14ac:dyDescent="0.2">
      <c r="A28" s="15" t="s">
        <v>125</v>
      </c>
      <c r="B28" s="15">
        <v>405</v>
      </c>
      <c r="C28" s="81">
        <v>131</v>
      </c>
      <c r="D28" s="82">
        <f t="shared" ref="D28:D33" si="14">IF((I28=0),"",(C28/I28))</f>
        <v>0.5</v>
      </c>
      <c r="E28" s="66">
        <v>125</v>
      </c>
      <c r="F28" s="67">
        <f t="shared" ref="F28:F33" si="15">IF((I28=0),"",(E28/I28))</f>
        <v>0.47709923664122139</v>
      </c>
      <c r="G28" s="15">
        <v>6</v>
      </c>
      <c r="H28" s="17">
        <f t="shared" ref="H28:H33" si="16">IF((I28=0),"",(G28/I28))</f>
        <v>2.2900763358778626E-2</v>
      </c>
      <c r="I28" s="15">
        <f>SUM(C28,E28,G28)</f>
        <v>262</v>
      </c>
      <c r="J28" s="17">
        <f t="shared" ref="J28:J33" si="17">IF((B28=0),"",(I28/B28))</f>
        <v>0.64691358024691359</v>
      </c>
      <c r="K28" s="29">
        <f>B28-I28</f>
        <v>143</v>
      </c>
      <c r="L28" s="17">
        <f t="shared" ref="L28:L33" si="18">IF((B28=0),"",(K28/B28))</f>
        <v>0.35308641975308641</v>
      </c>
      <c r="M28" s="1"/>
      <c r="N28" s="1"/>
      <c r="O28" s="1"/>
      <c r="P28" s="1"/>
      <c r="Q28" s="1"/>
      <c r="R28" s="1"/>
      <c r="S28" s="1"/>
      <c r="T28" s="1"/>
      <c r="U28" s="1"/>
      <c r="V28" s="1"/>
      <c r="W28" s="1"/>
      <c r="X28" s="1"/>
      <c r="Y28" s="1"/>
      <c r="Z28" s="1"/>
    </row>
    <row r="29" spans="1:26" ht="12" customHeight="1" x14ac:dyDescent="0.2">
      <c r="A29" s="15" t="s">
        <v>230</v>
      </c>
      <c r="B29" s="15">
        <v>409</v>
      </c>
      <c r="C29" s="81">
        <v>115</v>
      </c>
      <c r="D29" s="82">
        <f t="shared" si="14"/>
        <v>0.53738317757009346</v>
      </c>
      <c r="E29" s="66">
        <v>99</v>
      </c>
      <c r="F29" s="67">
        <f t="shared" si="15"/>
        <v>0.46261682242990654</v>
      </c>
      <c r="G29" s="15">
        <v>0</v>
      </c>
      <c r="H29" s="17">
        <f t="shared" si="16"/>
        <v>0</v>
      </c>
      <c r="I29" s="15">
        <f>SUM(C29,E29,G29)</f>
        <v>214</v>
      </c>
      <c r="J29" s="17">
        <f t="shared" si="17"/>
        <v>0.52322738386308065</v>
      </c>
      <c r="K29" s="29">
        <f>B29-I29</f>
        <v>195</v>
      </c>
      <c r="L29" s="17">
        <f t="shared" si="18"/>
        <v>0.47677261613691929</v>
      </c>
      <c r="M29" s="1"/>
      <c r="N29" s="1"/>
      <c r="O29" s="1"/>
      <c r="P29" s="1"/>
      <c r="Q29" s="1"/>
      <c r="R29" s="1"/>
      <c r="S29" s="1"/>
      <c r="T29" s="1"/>
      <c r="U29" s="1"/>
      <c r="V29" s="1"/>
      <c r="W29" s="1"/>
      <c r="X29" s="1"/>
      <c r="Y29" s="1"/>
      <c r="Z29" s="1"/>
    </row>
    <row r="30" spans="1:26" ht="12" customHeight="1" x14ac:dyDescent="0.2">
      <c r="A30" s="15" t="s">
        <v>204</v>
      </c>
      <c r="B30" s="15">
        <v>336</v>
      </c>
      <c r="C30" s="81">
        <v>75</v>
      </c>
      <c r="D30" s="82">
        <f t="shared" si="14"/>
        <v>0.48701298701298701</v>
      </c>
      <c r="E30" s="66">
        <v>78</v>
      </c>
      <c r="F30" s="67">
        <f t="shared" si="15"/>
        <v>0.50649350649350644</v>
      </c>
      <c r="G30" s="15">
        <v>1</v>
      </c>
      <c r="H30" s="17">
        <f t="shared" si="16"/>
        <v>6.4935064935064939E-3</v>
      </c>
      <c r="I30" s="15">
        <f>SUM(C30,E30,G30)</f>
        <v>154</v>
      </c>
      <c r="J30" s="17">
        <f t="shared" si="17"/>
        <v>0.45833333333333331</v>
      </c>
      <c r="K30" s="29">
        <f>B30-I30</f>
        <v>182</v>
      </c>
      <c r="L30" s="17">
        <f t="shared" si="18"/>
        <v>0.54166666666666663</v>
      </c>
      <c r="M30" s="1"/>
      <c r="N30" s="1"/>
      <c r="O30" s="1"/>
      <c r="P30" s="1"/>
      <c r="Q30" s="1"/>
      <c r="R30" s="1"/>
      <c r="S30" s="1"/>
      <c r="T30" s="1"/>
      <c r="U30" s="1"/>
      <c r="V30" s="1"/>
      <c r="W30" s="1"/>
      <c r="X30" s="1"/>
      <c r="Y30" s="1"/>
      <c r="Z30" s="1"/>
    </row>
    <row r="31" spans="1:26" ht="12" customHeight="1" x14ac:dyDescent="0.2">
      <c r="A31" s="15" t="s">
        <v>126</v>
      </c>
      <c r="B31" s="15">
        <v>365</v>
      </c>
      <c r="C31" s="81">
        <v>99</v>
      </c>
      <c r="D31" s="82">
        <f t="shared" si="14"/>
        <v>0.49009900990099009</v>
      </c>
      <c r="E31" s="66">
        <v>102</v>
      </c>
      <c r="F31" s="67">
        <f t="shared" si="15"/>
        <v>0.50495049504950495</v>
      </c>
      <c r="G31" s="15">
        <v>1</v>
      </c>
      <c r="H31" s="17">
        <f t="shared" si="16"/>
        <v>4.9504950495049506E-3</v>
      </c>
      <c r="I31" s="15">
        <f>SUM(C31,E31,G31)</f>
        <v>202</v>
      </c>
      <c r="J31" s="17">
        <f t="shared" si="17"/>
        <v>0.55342465753424652</v>
      </c>
      <c r="K31" s="29">
        <f>B31-I31</f>
        <v>163</v>
      </c>
      <c r="L31" s="17">
        <f t="shared" si="18"/>
        <v>0.44657534246575342</v>
      </c>
      <c r="M31" s="1"/>
      <c r="N31" s="1"/>
      <c r="O31" s="1"/>
      <c r="P31" s="1"/>
      <c r="Q31" s="1"/>
      <c r="R31" s="1"/>
      <c r="S31" s="1"/>
      <c r="T31" s="1"/>
      <c r="U31" s="1"/>
      <c r="V31" s="1"/>
      <c r="W31" s="1"/>
      <c r="X31" s="1"/>
      <c r="Y31" s="1"/>
      <c r="Z31" s="1"/>
    </row>
    <row r="32" spans="1:26" ht="12" customHeight="1" x14ac:dyDescent="0.2">
      <c r="A32" s="15" t="s">
        <v>123</v>
      </c>
      <c r="B32" s="15">
        <v>312</v>
      </c>
      <c r="C32" s="81">
        <v>81</v>
      </c>
      <c r="D32" s="82">
        <f t="shared" si="14"/>
        <v>0.47368421052631576</v>
      </c>
      <c r="E32" s="66">
        <v>87</v>
      </c>
      <c r="F32" s="67">
        <f t="shared" si="15"/>
        <v>0.50877192982456143</v>
      </c>
      <c r="G32" s="15">
        <v>3</v>
      </c>
      <c r="H32" s="17">
        <f t="shared" si="16"/>
        <v>1.7543859649122806E-2</v>
      </c>
      <c r="I32" s="15">
        <f>SUM(C32,E32,G32)</f>
        <v>171</v>
      </c>
      <c r="J32" s="17">
        <f t="shared" si="17"/>
        <v>0.54807692307692313</v>
      </c>
      <c r="K32" s="29">
        <f>B32-I32</f>
        <v>141</v>
      </c>
      <c r="L32" s="17">
        <f t="shared" si="18"/>
        <v>0.45192307692307693</v>
      </c>
      <c r="M32" s="1"/>
      <c r="N32" s="1"/>
      <c r="O32" s="1"/>
      <c r="P32" s="1"/>
      <c r="Q32" s="1"/>
      <c r="R32" s="1"/>
      <c r="S32" s="1"/>
      <c r="T32" s="1"/>
      <c r="U32" s="1"/>
      <c r="V32" s="1"/>
      <c r="W32" s="1"/>
      <c r="X32" s="1"/>
      <c r="Y32" s="1"/>
      <c r="Z32" s="1"/>
    </row>
    <row r="33" spans="1:26" ht="12" customHeight="1" x14ac:dyDescent="0.2">
      <c r="A33" s="12" t="s">
        <v>120</v>
      </c>
      <c r="B33" s="12">
        <f>SUM(B28:B32)</f>
        <v>1827</v>
      </c>
      <c r="C33" s="78">
        <f>SUM(C28:C32)</f>
        <v>501</v>
      </c>
      <c r="D33" s="79">
        <f t="shared" si="14"/>
        <v>0.49950149551345963</v>
      </c>
      <c r="E33" s="63">
        <f>SUM(E28:E32)</f>
        <v>491</v>
      </c>
      <c r="F33" s="64">
        <f t="shared" si="15"/>
        <v>0.48953140578265203</v>
      </c>
      <c r="G33" s="12">
        <f>SUM(G28:G32)</f>
        <v>11</v>
      </c>
      <c r="H33" s="13">
        <f t="shared" si="16"/>
        <v>1.0967098703888335E-2</v>
      </c>
      <c r="I33" s="12">
        <f>SUM(I28:I32)</f>
        <v>1003</v>
      </c>
      <c r="J33" s="13">
        <f t="shared" si="17"/>
        <v>0.54898741105637661</v>
      </c>
      <c r="K33" s="12">
        <f>SUM(K28:K32)</f>
        <v>824</v>
      </c>
      <c r="L33" s="13">
        <f t="shared" si="18"/>
        <v>0.45101258894362345</v>
      </c>
      <c r="M33" s="1"/>
      <c r="N33" s="1"/>
      <c r="O33" s="1"/>
      <c r="P33" s="1"/>
      <c r="Q33" s="1"/>
      <c r="R33" s="1"/>
      <c r="S33" s="1"/>
      <c r="T33" s="1"/>
      <c r="U33" s="1"/>
      <c r="V33" s="1"/>
      <c r="W33" s="1"/>
      <c r="X33" s="1"/>
      <c r="Y33" s="1"/>
      <c r="Z33" s="1"/>
    </row>
    <row r="34" spans="1:26" ht="12.75" customHeight="1" x14ac:dyDescent="0.2">
      <c r="A34" s="43" t="s">
        <v>542</v>
      </c>
      <c r="B34" s="43">
        <v>9</v>
      </c>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1">
    <mergeCell ref="E2:F2"/>
    <mergeCell ref="G2:L2"/>
    <mergeCell ref="A1:L1"/>
    <mergeCell ref="C3:D3"/>
    <mergeCell ref="E3:F3"/>
    <mergeCell ref="G3:H3"/>
    <mergeCell ref="I3:J3"/>
    <mergeCell ref="K3:L3"/>
    <mergeCell ref="A3:B3"/>
    <mergeCell ref="A2:B2"/>
    <mergeCell ref="C2:D2"/>
  </mergeCells>
  <pageMargins left="0.75" right="0.75" top="1" bottom="1" header="0.3" footer="0.3"/>
  <pageSetup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002"/>
  <sheetViews>
    <sheetView workbookViewId="0">
      <pane xSplit="1" ySplit="4" topLeftCell="B5" activePane="bottomRight" state="frozen"/>
      <selection pane="topRight" activeCell="B1" sqref="B1"/>
      <selection pane="bottomLeft" activeCell="A5" sqref="A5"/>
      <selection pane="bottomRight" activeCell="B4" sqref="B4"/>
    </sheetView>
  </sheetViews>
  <sheetFormatPr defaultColWidth="17.28515625" defaultRowHeight="15" customHeight="1" x14ac:dyDescent="0.2"/>
  <cols>
    <col min="1" max="1" width="8.5703125" customWidth="1"/>
    <col min="2" max="2" width="10.28515625" customWidth="1"/>
    <col min="3" max="3" width="7.42578125" customWidth="1"/>
    <col min="4" max="4" width="8.7109375" customWidth="1"/>
    <col min="5" max="5" width="8.140625" customWidth="1"/>
    <col min="6" max="6" width="9.28515625" customWidth="1"/>
    <col min="7" max="7" width="6.140625" customWidth="1"/>
    <col min="8" max="8" width="8.140625" customWidth="1"/>
    <col min="9" max="9" width="9.28515625" customWidth="1"/>
    <col min="10" max="10" width="8.7109375" customWidth="1"/>
    <col min="11" max="11" width="8.5703125" customWidth="1"/>
    <col min="12" max="12" width="8.140625" customWidth="1"/>
    <col min="13" max="22" width="11.42578125" customWidth="1"/>
  </cols>
  <sheetData>
    <row r="1" spans="1:22" ht="12.75" customHeight="1" x14ac:dyDescent="0.2">
      <c r="A1" s="174" t="s">
        <v>231</v>
      </c>
      <c r="B1" s="162"/>
      <c r="C1" s="162"/>
      <c r="D1" s="162"/>
      <c r="E1" s="162"/>
      <c r="F1" s="162"/>
      <c r="G1" s="162"/>
      <c r="H1" s="162"/>
      <c r="I1" s="162"/>
      <c r="J1" s="162"/>
      <c r="K1" s="162"/>
      <c r="L1" s="160"/>
      <c r="M1" s="1"/>
      <c r="N1" s="1"/>
      <c r="O1" s="1"/>
      <c r="P1" s="1"/>
      <c r="Q1" s="1"/>
      <c r="R1" s="1"/>
      <c r="S1" s="1"/>
      <c r="T1" s="1"/>
      <c r="U1" s="1"/>
      <c r="V1" s="1"/>
    </row>
    <row r="2" spans="1:22" ht="12.75" customHeight="1" x14ac:dyDescent="0.2">
      <c r="A2" s="159" t="s">
        <v>103</v>
      </c>
      <c r="B2" s="160"/>
      <c r="C2" s="173" t="s">
        <v>484</v>
      </c>
      <c r="D2" s="167"/>
      <c r="E2" s="171" t="s">
        <v>483</v>
      </c>
      <c r="F2" s="164"/>
      <c r="G2" s="19"/>
      <c r="H2" s="20"/>
      <c r="I2" s="19"/>
      <c r="J2" s="20"/>
      <c r="K2" s="19"/>
      <c r="L2" s="20"/>
      <c r="M2" s="1"/>
      <c r="N2" s="1"/>
      <c r="O2" s="1"/>
      <c r="P2" s="1"/>
      <c r="Q2" s="1"/>
      <c r="R2" s="1"/>
      <c r="S2" s="1"/>
      <c r="T2" s="1"/>
      <c r="U2" s="1"/>
      <c r="V2" s="1"/>
    </row>
    <row r="3" spans="1:22" ht="12.75" customHeight="1" x14ac:dyDescent="0.2">
      <c r="A3" s="154" t="s">
        <v>101</v>
      </c>
      <c r="B3" s="175"/>
      <c r="C3" s="152" t="s">
        <v>40</v>
      </c>
      <c r="D3" s="177"/>
      <c r="E3" s="148" t="s">
        <v>43</v>
      </c>
      <c r="F3" s="176"/>
      <c r="G3" s="147" t="s">
        <v>107</v>
      </c>
      <c r="H3" s="178"/>
      <c r="I3" s="147" t="s">
        <v>30</v>
      </c>
      <c r="J3" s="178"/>
      <c r="K3" s="147" t="s">
        <v>108</v>
      </c>
      <c r="L3" s="178"/>
      <c r="M3" s="1"/>
      <c r="N3" s="1"/>
      <c r="O3" s="1"/>
      <c r="P3" s="1"/>
      <c r="Q3" s="1"/>
      <c r="R3" s="1"/>
      <c r="S3" s="1"/>
      <c r="T3" s="1"/>
      <c r="U3" s="1"/>
      <c r="V3" s="1"/>
    </row>
    <row r="4" spans="1:22" ht="12.75" customHeight="1" x14ac:dyDescent="0.2">
      <c r="A4" s="21"/>
      <c r="B4" s="12">
        <f>+B12+B13+B18+B19+B23+B24+B32+B33+B41+B42</f>
        <v>8070</v>
      </c>
      <c r="C4" s="78">
        <f>SUM(C12,C18,C23,C32,C41,C42)</f>
        <v>2087</v>
      </c>
      <c r="D4" s="79">
        <f>IF((I4=0),"",(C4/I4))</f>
        <v>0.42863010885192032</v>
      </c>
      <c r="E4" s="63">
        <f>SUM(E12,E18,E23,E32,E41,E42)</f>
        <v>2472</v>
      </c>
      <c r="F4" s="64">
        <f>IF((I4=0),"",(E4/I4))</f>
        <v>0.50770178681454092</v>
      </c>
      <c r="G4" s="12">
        <f>SUM(G12,G18,G23,G32,G41,G42)</f>
        <v>310</v>
      </c>
      <c r="H4" s="13">
        <f>IF((I4=0),"",(G4/I4))</f>
        <v>6.3668104333538714E-2</v>
      </c>
      <c r="I4" s="12">
        <f>+I12+I18+I23+I32+I41</f>
        <v>4869</v>
      </c>
      <c r="J4" s="13">
        <f>IF((B4=0),"",(I4/B4))</f>
        <v>0.60334572490706317</v>
      </c>
      <c r="K4" s="12">
        <f>+K12+K18+K23+K32+K41</f>
        <v>3111</v>
      </c>
      <c r="L4" s="13">
        <f>IF((B4=0),"",(K4/B4))</f>
        <v>0.38550185873605947</v>
      </c>
      <c r="M4" s="1"/>
      <c r="N4" s="1"/>
      <c r="O4" s="1"/>
      <c r="P4" s="1"/>
      <c r="Q4" s="1"/>
      <c r="R4" s="1"/>
      <c r="S4" s="1"/>
      <c r="T4" s="1"/>
      <c r="U4" s="1"/>
      <c r="V4" s="1"/>
    </row>
    <row r="5" spans="1:22" ht="12.75" customHeight="1" x14ac:dyDescent="0.2">
      <c r="A5" s="14" t="s">
        <v>232</v>
      </c>
      <c r="B5" s="32" t="s">
        <v>233</v>
      </c>
      <c r="C5" s="86"/>
      <c r="D5" s="86"/>
      <c r="E5" s="90"/>
      <c r="F5" s="90"/>
      <c r="G5" s="16"/>
      <c r="H5" s="16"/>
      <c r="I5" s="16"/>
      <c r="J5" s="16"/>
      <c r="K5" s="16"/>
      <c r="L5" s="16"/>
      <c r="M5" s="1"/>
      <c r="N5" s="1"/>
      <c r="O5" s="1"/>
      <c r="P5" s="1"/>
      <c r="Q5" s="1"/>
      <c r="R5" s="1"/>
      <c r="S5" s="1"/>
      <c r="T5" s="1"/>
      <c r="U5" s="1"/>
      <c r="V5" s="1"/>
    </row>
    <row r="6" spans="1:22" ht="12.75" customHeight="1" x14ac:dyDescent="0.2">
      <c r="A6" s="15" t="s">
        <v>136</v>
      </c>
      <c r="B6" s="15">
        <v>412</v>
      </c>
      <c r="C6" s="81">
        <v>65</v>
      </c>
      <c r="D6" s="82">
        <f t="shared" ref="D6:D12" si="0">IF((I6=0),"",(C6/I6))</f>
        <v>0.25390625</v>
      </c>
      <c r="E6" s="66">
        <v>180</v>
      </c>
      <c r="F6" s="67">
        <f t="shared" ref="F6:F12" si="1">IF((I6=0),"",(E6/I6))</f>
        <v>0.703125</v>
      </c>
      <c r="G6" s="15">
        <v>11</v>
      </c>
      <c r="H6" s="17">
        <f t="shared" ref="H6:H12" si="2">IF((I6=0),"",(G6/I6))</f>
        <v>4.296875E-2</v>
      </c>
      <c r="I6" s="15">
        <f t="shared" ref="I6:I11" si="3">SUM(C6,E6,G6)</f>
        <v>256</v>
      </c>
      <c r="J6" s="17">
        <f t="shared" ref="J6:J12" si="4">IF((B6=0),"",(I6/B6))</f>
        <v>0.62135922330097082</v>
      </c>
      <c r="K6" s="15">
        <f t="shared" ref="K6:K11" si="5">B6-I6</f>
        <v>156</v>
      </c>
      <c r="L6" s="17">
        <f t="shared" ref="L6:L12" si="6">IF((B6=0),"",(K6/B6))</f>
        <v>0.37864077669902912</v>
      </c>
      <c r="M6" s="1"/>
      <c r="N6" s="1"/>
      <c r="O6" s="1"/>
      <c r="P6" s="1"/>
      <c r="Q6" s="1"/>
      <c r="R6" s="1"/>
      <c r="S6" s="1"/>
      <c r="T6" s="1"/>
      <c r="U6" s="1"/>
      <c r="V6" s="1"/>
    </row>
    <row r="7" spans="1:22" ht="12.75" customHeight="1" x14ac:dyDescent="0.2">
      <c r="A7" s="15" t="s">
        <v>137</v>
      </c>
      <c r="B7" s="15">
        <v>406</v>
      </c>
      <c r="C7" s="81">
        <v>107</v>
      </c>
      <c r="D7" s="82">
        <f t="shared" si="0"/>
        <v>0.43673469387755104</v>
      </c>
      <c r="E7" s="66">
        <v>120</v>
      </c>
      <c r="F7" s="67">
        <f t="shared" si="1"/>
        <v>0.48979591836734693</v>
      </c>
      <c r="G7" s="15">
        <v>18</v>
      </c>
      <c r="H7" s="17">
        <f t="shared" si="2"/>
        <v>7.3469387755102047E-2</v>
      </c>
      <c r="I7" s="15">
        <f t="shared" si="3"/>
        <v>245</v>
      </c>
      <c r="J7" s="17">
        <f t="shared" si="4"/>
        <v>0.60344827586206895</v>
      </c>
      <c r="K7" s="29">
        <f t="shared" si="5"/>
        <v>161</v>
      </c>
      <c r="L7" s="17">
        <f t="shared" si="6"/>
        <v>0.39655172413793105</v>
      </c>
      <c r="M7" s="1"/>
      <c r="N7" s="1"/>
      <c r="O7" s="1"/>
      <c r="P7" s="1"/>
      <c r="Q7" s="1"/>
      <c r="R7" s="1"/>
      <c r="S7" s="1"/>
      <c r="T7" s="1"/>
      <c r="U7" s="1"/>
      <c r="V7" s="1"/>
    </row>
    <row r="8" spans="1:22" ht="12.75" customHeight="1" x14ac:dyDescent="0.2">
      <c r="A8" s="15" t="s">
        <v>485</v>
      </c>
      <c r="B8" s="15">
        <v>386</v>
      </c>
      <c r="C8" s="81">
        <v>80</v>
      </c>
      <c r="D8" s="82">
        <f t="shared" si="0"/>
        <v>0.31372549019607843</v>
      </c>
      <c r="E8" s="66">
        <v>144</v>
      </c>
      <c r="F8" s="67">
        <f t="shared" si="1"/>
        <v>0.56470588235294117</v>
      </c>
      <c r="G8" s="15">
        <v>31</v>
      </c>
      <c r="H8" s="17">
        <f t="shared" si="2"/>
        <v>0.12156862745098039</v>
      </c>
      <c r="I8" s="15">
        <f t="shared" si="3"/>
        <v>255</v>
      </c>
      <c r="J8" s="17">
        <f t="shared" si="4"/>
        <v>0.6606217616580311</v>
      </c>
      <c r="K8" s="29">
        <f t="shared" si="5"/>
        <v>131</v>
      </c>
      <c r="L8" s="17">
        <f t="shared" si="6"/>
        <v>0.3393782383419689</v>
      </c>
      <c r="M8" s="1"/>
      <c r="N8" s="1"/>
      <c r="O8" s="1"/>
      <c r="P8" s="1"/>
      <c r="Q8" s="1"/>
      <c r="R8" s="1"/>
      <c r="S8" s="1"/>
      <c r="T8" s="1"/>
      <c r="U8" s="1"/>
      <c r="V8" s="1"/>
    </row>
    <row r="9" spans="1:22" ht="12.75" customHeight="1" x14ac:dyDescent="0.2">
      <c r="A9" s="15" t="s">
        <v>486</v>
      </c>
      <c r="B9" s="15">
        <v>386</v>
      </c>
      <c r="C9" s="81">
        <v>75</v>
      </c>
      <c r="D9" s="82">
        <f t="shared" si="0"/>
        <v>0.33039647577092512</v>
      </c>
      <c r="E9" s="66">
        <v>150</v>
      </c>
      <c r="F9" s="67">
        <f t="shared" si="1"/>
        <v>0.66079295154185025</v>
      </c>
      <c r="G9" s="15">
        <v>2</v>
      </c>
      <c r="H9" s="17">
        <f t="shared" si="2"/>
        <v>8.8105726872246704E-3</v>
      </c>
      <c r="I9" s="15">
        <f t="shared" si="3"/>
        <v>227</v>
      </c>
      <c r="J9" s="17">
        <f t="shared" si="4"/>
        <v>0.58808290155440412</v>
      </c>
      <c r="K9" s="29">
        <f t="shared" si="5"/>
        <v>159</v>
      </c>
      <c r="L9" s="17">
        <f t="shared" si="6"/>
        <v>0.41191709844559588</v>
      </c>
      <c r="M9" s="1"/>
      <c r="N9" s="1"/>
      <c r="O9" s="1"/>
      <c r="P9" s="1"/>
      <c r="Q9" s="1"/>
      <c r="R9" s="1"/>
      <c r="S9" s="1"/>
      <c r="T9" s="1"/>
      <c r="U9" s="1"/>
      <c r="V9" s="1"/>
    </row>
    <row r="10" spans="1:22" ht="12.75" customHeight="1" x14ac:dyDescent="0.2">
      <c r="A10" s="15" t="s">
        <v>487</v>
      </c>
      <c r="B10" s="15">
        <v>294</v>
      </c>
      <c r="C10" s="81">
        <v>56</v>
      </c>
      <c r="D10" s="82">
        <f t="shared" si="0"/>
        <v>0.28426395939086296</v>
      </c>
      <c r="E10" s="66">
        <v>128</v>
      </c>
      <c r="F10" s="67">
        <f t="shared" si="1"/>
        <v>0.64974619289340096</v>
      </c>
      <c r="G10" s="15">
        <v>13</v>
      </c>
      <c r="H10" s="17">
        <f t="shared" si="2"/>
        <v>6.5989847715736044E-2</v>
      </c>
      <c r="I10" s="15">
        <f t="shared" si="3"/>
        <v>197</v>
      </c>
      <c r="J10" s="17">
        <f t="shared" si="4"/>
        <v>0.67006802721088432</v>
      </c>
      <c r="K10" s="29">
        <f t="shared" si="5"/>
        <v>97</v>
      </c>
      <c r="L10" s="17">
        <f t="shared" si="6"/>
        <v>0.32993197278911562</v>
      </c>
      <c r="M10" s="1"/>
      <c r="N10" s="1"/>
      <c r="O10" s="1"/>
      <c r="P10" s="1"/>
      <c r="Q10" s="1"/>
      <c r="R10" s="1"/>
      <c r="S10" s="1"/>
      <c r="T10" s="1"/>
      <c r="U10" s="1"/>
      <c r="V10" s="1"/>
    </row>
    <row r="11" spans="1:22" ht="12.75" customHeight="1" x14ac:dyDescent="0.2">
      <c r="A11" s="15" t="s">
        <v>452</v>
      </c>
      <c r="B11" s="15">
        <v>227</v>
      </c>
      <c r="C11" s="81">
        <v>20</v>
      </c>
      <c r="D11" s="82">
        <f t="shared" si="0"/>
        <v>0.16949152542372881</v>
      </c>
      <c r="E11" s="66">
        <v>83</v>
      </c>
      <c r="F11" s="67">
        <f t="shared" si="1"/>
        <v>0.70338983050847459</v>
      </c>
      <c r="G11" s="15">
        <v>15</v>
      </c>
      <c r="H11" s="17">
        <f t="shared" si="2"/>
        <v>0.1271186440677966</v>
      </c>
      <c r="I11" s="15">
        <f t="shared" si="3"/>
        <v>118</v>
      </c>
      <c r="J11" s="17">
        <f t="shared" si="4"/>
        <v>0.51982378854625555</v>
      </c>
      <c r="K11" s="29">
        <f t="shared" si="5"/>
        <v>109</v>
      </c>
      <c r="L11" s="17">
        <f t="shared" si="6"/>
        <v>0.48017621145374451</v>
      </c>
      <c r="M11" s="1"/>
      <c r="N11" s="1"/>
      <c r="O11" s="1"/>
      <c r="P11" s="1"/>
      <c r="Q11" s="1"/>
      <c r="R11" s="1"/>
      <c r="S11" s="1"/>
      <c r="T11" s="1"/>
      <c r="U11" s="1"/>
      <c r="V11" s="1"/>
    </row>
    <row r="12" spans="1:22" ht="12.75" customHeight="1" x14ac:dyDescent="0.2">
      <c r="A12" s="12" t="s">
        <v>120</v>
      </c>
      <c r="B12" s="12">
        <f>SUM(B6:B11)</f>
        <v>2111</v>
      </c>
      <c r="C12" s="78">
        <f>SUM(C6:C11)</f>
        <v>403</v>
      </c>
      <c r="D12" s="79">
        <f t="shared" si="0"/>
        <v>0.31047765793528503</v>
      </c>
      <c r="E12" s="63">
        <f>SUM(E6:E11)</f>
        <v>805</v>
      </c>
      <c r="F12" s="64">
        <f t="shared" si="1"/>
        <v>0.62018489984591685</v>
      </c>
      <c r="G12" s="12">
        <f>SUM(G6:G11)</f>
        <v>90</v>
      </c>
      <c r="H12" s="13">
        <f t="shared" si="2"/>
        <v>6.9337442218798145E-2</v>
      </c>
      <c r="I12" s="12">
        <f>SUM(C12,E12,G12)</f>
        <v>1298</v>
      </c>
      <c r="J12" s="13">
        <f t="shared" si="4"/>
        <v>0.6148744670772146</v>
      </c>
      <c r="K12" s="12">
        <f>SUM(K6:K11)</f>
        <v>813</v>
      </c>
      <c r="L12" s="13">
        <f t="shared" si="6"/>
        <v>0.3851255329227854</v>
      </c>
      <c r="M12" s="1"/>
      <c r="N12" s="1"/>
      <c r="O12" s="1"/>
      <c r="P12" s="1"/>
      <c r="Q12" s="1"/>
      <c r="R12" s="1"/>
      <c r="S12" s="1"/>
      <c r="T12" s="1"/>
      <c r="U12" s="1"/>
      <c r="V12" s="1"/>
    </row>
    <row r="13" spans="1:22" s="51" customFormat="1" ht="12.75" customHeight="1" x14ac:dyDescent="0.2">
      <c r="A13" s="32" t="s">
        <v>542</v>
      </c>
      <c r="B13" s="32">
        <v>20</v>
      </c>
      <c r="C13" s="78"/>
      <c r="D13" s="79"/>
      <c r="E13" s="63"/>
      <c r="F13" s="64"/>
      <c r="G13" s="32"/>
      <c r="H13" s="28"/>
      <c r="I13" s="32"/>
      <c r="J13" s="28"/>
      <c r="K13" s="32"/>
      <c r="L13" s="28"/>
      <c r="M13" s="1"/>
      <c r="N13" s="1"/>
      <c r="O13" s="1"/>
      <c r="P13" s="1"/>
      <c r="Q13" s="1"/>
      <c r="R13" s="1"/>
      <c r="S13" s="1"/>
      <c r="T13" s="1"/>
      <c r="U13" s="1"/>
      <c r="V13" s="1"/>
    </row>
    <row r="14" spans="1:22" ht="12.75" customHeight="1" x14ac:dyDescent="0.2">
      <c r="A14" s="14" t="s">
        <v>234</v>
      </c>
      <c r="B14" s="32" t="s">
        <v>235</v>
      </c>
      <c r="C14" s="86"/>
      <c r="D14" s="86"/>
      <c r="E14" s="90"/>
      <c r="F14" s="90"/>
      <c r="G14" s="16"/>
      <c r="H14" s="16"/>
      <c r="I14" s="16"/>
      <c r="J14" s="16"/>
      <c r="K14" s="16"/>
      <c r="L14" s="16"/>
      <c r="M14" s="1"/>
      <c r="N14" s="1"/>
      <c r="O14" s="1"/>
      <c r="P14" s="1"/>
      <c r="Q14" s="1"/>
      <c r="R14" s="1"/>
      <c r="S14" s="1"/>
      <c r="T14" s="1"/>
      <c r="U14" s="1"/>
      <c r="V14" s="1"/>
    </row>
    <row r="15" spans="1:22" ht="12.75" customHeight="1" x14ac:dyDescent="0.2">
      <c r="A15" s="15" t="s">
        <v>327</v>
      </c>
      <c r="B15" s="15">
        <v>393</v>
      </c>
      <c r="C15" s="81">
        <v>104</v>
      </c>
      <c r="D15" s="82">
        <f>IF((I15=0),"",(C15/I15))</f>
        <v>0.40944881889763779</v>
      </c>
      <c r="E15" s="66">
        <v>134</v>
      </c>
      <c r="F15" s="67">
        <f>IF((I15=0),"",(E15/I15))</f>
        <v>0.52755905511811019</v>
      </c>
      <c r="G15" s="15">
        <v>16</v>
      </c>
      <c r="H15" s="17">
        <f>IF((I15=0),"",(G15/I15))</f>
        <v>6.2992125984251968E-2</v>
      </c>
      <c r="I15" s="15">
        <f>SUM(C15,E15,G15)</f>
        <v>254</v>
      </c>
      <c r="J15" s="17">
        <f>IF((B15=0),"",(I15/B15))</f>
        <v>0.64631043256997456</v>
      </c>
      <c r="K15" s="29">
        <f>B15-I15</f>
        <v>139</v>
      </c>
      <c r="L15" s="17">
        <f>IF((B15=0),"",(K15/B15))</f>
        <v>0.35368956743002544</v>
      </c>
      <c r="M15" s="1"/>
      <c r="N15" s="1"/>
      <c r="O15" s="1"/>
      <c r="P15" s="1"/>
      <c r="Q15" s="1"/>
      <c r="R15" s="1"/>
      <c r="S15" s="1"/>
      <c r="T15" s="1"/>
      <c r="U15" s="1"/>
      <c r="V15" s="1"/>
    </row>
    <row r="16" spans="1:22" ht="12.75" customHeight="1" x14ac:dyDescent="0.2">
      <c r="A16" s="15" t="s">
        <v>443</v>
      </c>
      <c r="B16" s="15">
        <v>334</v>
      </c>
      <c r="C16" s="81">
        <v>72</v>
      </c>
      <c r="D16" s="82">
        <f>IF((I16=0),"",(C16/I16))</f>
        <v>0.35467980295566504</v>
      </c>
      <c r="E16" s="66">
        <v>127</v>
      </c>
      <c r="F16" s="67">
        <f>IF((I16=0),"",(E16/I16))</f>
        <v>0.62561576354679804</v>
      </c>
      <c r="G16" s="15">
        <v>4</v>
      </c>
      <c r="H16" s="17">
        <f>IF((I16=0),"",(G16/I16))</f>
        <v>1.9704433497536946E-2</v>
      </c>
      <c r="I16" s="15">
        <f>SUM(C16,E16,G16)</f>
        <v>203</v>
      </c>
      <c r="J16" s="17">
        <f>IF((B16=0),"",(I16/B16))</f>
        <v>0.60778443113772451</v>
      </c>
      <c r="K16" s="29">
        <f>B16-I16</f>
        <v>131</v>
      </c>
      <c r="L16" s="17">
        <f>IF((B16=0),"",(K16/B16))</f>
        <v>0.39221556886227543</v>
      </c>
      <c r="M16" s="1"/>
      <c r="N16" s="1"/>
      <c r="O16" s="1"/>
      <c r="P16" s="1"/>
      <c r="Q16" s="1"/>
      <c r="R16" s="1"/>
      <c r="S16" s="1"/>
      <c r="T16" s="1"/>
      <c r="U16" s="1"/>
      <c r="V16" s="1"/>
    </row>
    <row r="17" spans="1:22" ht="12.75" customHeight="1" x14ac:dyDescent="0.2">
      <c r="A17" s="15" t="s">
        <v>182</v>
      </c>
      <c r="B17" s="15">
        <v>337</v>
      </c>
      <c r="C17" s="81">
        <v>95</v>
      </c>
      <c r="D17" s="82">
        <f>IF((I17=0),"",(C17/I17))</f>
        <v>0.44811320754716982</v>
      </c>
      <c r="E17" s="66">
        <v>97</v>
      </c>
      <c r="F17" s="67">
        <f>IF((I17=0),"",(E17/I17))</f>
        <v>0.45754716981132076</v>
      </c>
      <c r="G17" s="15">
        <v>20</v>
      </c>
      <c r="H17" s="17">
        <f>IF((I17=0),"",(G17/I17))</f>
        <v>9.4339622641509441E-2</v>
      </c>
      <c r="I17" s="15">
        <f>SUM(C17,E17,G17)</f>
        <v>212</v>
      </c>
      <c r="J17" s="17">
        <f>IF((B17=0),"",(I17/B17))</f>
        <v>0.62908011869436198</v>
      </c>
      <c r="K17" s="29">
        <f>B17-I17</f>
        <v>125</v>
      </c>
      <c r="L17" s="17">
        <f>IF((B17=0),"",(K17/B17))</f>
        <v>0.37091988130563797</v>
      </c>
      <c r="M17" s="1"/>
      <c r="N17" s="1"/>
      <c r="O17" s="1"/>
      <c r="P17" s="1"/>
      <c r="Q17" s="1"/>
      <c r="R17" s="1"/>
      <c r="S17" s="1"/>
      <c r="T17" s="1"/>
      <c r="U17" s="1"/>
      <c r="V17" s="1"/>
    </row>
    <row r="18" spans="1:22" ht="12.75" customHeight="1" x14ac:dyDescent="0.2">
      <c r="A18" s="12" t="s">
        <v>120</v>
      </c>
      <c r="B18" s="12">
        <f>SUM(B15:B17)</f>
        <v>1064</v>
      </c>
      <c r="C18" s="78">
        <f>SUM(C15:C17)</f>
        <v>271</v>
      </c>
      <c r="D18" s="79">
        <f>IF((I18=0),"",(C18/I18))</f>
        <v>0.40508221225710017</v>
      </c>
      <c r="E18" s="63">
        <f>SUM(E15:E17)</f>
        <v>358</v>
      </c>
      <c r="F18" s="64">
        <f>IF((I18=0),"",(E18/I18))</f>
        <v>0.53512705530642746</v>
      </c>
      <c r="G18" s="12">
        <f>SUM(G15:G17)</f>
        <v>40</v>
      </c>
      <c r="H18" s="13">
        <f>IF((I18=0),"",(G18/I18))</f>
        <v>5.9790732436472344E-2</v>
      </c>
      <c r="I18" s="12">
        <f>SUM(C18,E18,G18)</f>
        <v>669</v>
      </c>
      <c r="J18" s="13">
        <f>IF((B18=0),"",(I18/B18))</f>
        <v>0.62875939849624063</v>
      </c>
      <c r="K18" s="12">
        <f>SUM(K15:K17)</f>
        <v>395</v>
      </c>
      <c r="L18" s="13">
        <f>IF((B18=0),"",(K18/B18))</f>
        <v>0.37124060150375937</v>
      </c>
      <c r="M18" s="1"/>
      <c r="N18" s="1"/>
      <c r="O18" s="1"/>
      <c r="P18" s="1"/>
      <c r="Q18" s="1"/>
      <c r="R18" s="1"/>
      <c r="S18" s="1"/>
      <c r="T18" s="1"/>
      <c r="U18" s="1"/>
      <c r="V18" s="1"/>
    </row>
    <row r="19" spans="1:22" s="51" customFormat="1" ht="12.75" customHeight="1" x14ac:dyDescent="0.2">
      <c r="A19" s="32" t="s">
        <v>542</v>
      </c>
      <c r="B19" s="32">
        <v>22</v>
      </c>
      <c r="C19" s="78"/>
      <c r="D19" s="79"/>
      <c r="E19" s="63"/>
      <c r="F19" s="64"/>
      <c r="G19" s="32"/>
      <c r="H19" s="28"/>
      <c r="I19" s="32"/>
      <c r="J19" s="28"/>
      <c r="K19" s="32"/>
      <c r="L19" s="28"/>
      <c r="M19" s="1"/>
      <c r="N19" s="1"/>
      <c r="O19" s="1"/>
      <c r="P19" s="1"/>
      <c r="Q19" s="1"/>
      <c r="R19" s="1"/>
      <c r="S19" s="1"/>
      <c r="T19" s="1"/>
      <c r="U19" s="1"/>
      <c r="V19" s="1"/>
    </row>
    <row r="20" spans="1:22" ht="12.75" customHeight="1" x14ac:dyDescent="0.2">
      <c r="A20" s="14" t="s">
        <v>237</v>
      </c>
      <c r="B20" s="32" t="s">
        <v>238</v>
      </c>
      <c r="C20" s="86"/>
      <c r="D20" s="86"/>
      <c r="E20" s="90"/>
      <c r="F20" s="90"/>
      <c r="G20" s="16"/>
      <c r="H20" s="16"/>
      <c r="I20" s="16"/>
      <c r="J20" s="16"/>
      <c r="K20" s="16"/>
      <c r="L20" s="16"/>
      <c r="M20" s="1"/>
      <c r="N20" s="1"/>
      <c r="O20" s="1"/>
      <c r="P20" s="1"/>
      <c r="Q20" s="1"/>
      <c r="R20" s="1"/>
      <c r="S20" s="1"/>
      <c r="T20" s="1"/>
      <c r="U20" s="1"/>
      <c r="V20" s="1"/>
    </row>
    <row r="21" spans="1:22" ht="12.75" customHeight="1" x14ac:dyDescent="0.2">
      <c r="A21" s="15" t="s">
        <v>161</v>
      </c>
      <c r="B21" s="15">
        <v>355</v>
      </c>
      <c r="C21" s="81">
        <v>77</v>
      </c>
      <c r="D21" s="82">
        <f>IF((I21=0),"",(C21/I21))</f>
        <v>0.32083333333333336</v>
      </c>
      <c r="E21" s="66">
        <v>147</v>
      </c>
      <c r="F21" s="67">
        <f>IF((I21=0),"",(E21/I21))</f>
        <v>0.61250000000000004</v>
      </c>
      <c r="G21" s="15">
        <v>16</v>
      </c>
      <c r="H21" s="17">
        <f>IF((I21=0),"",(G21/I21))</f>
        <v>6.6666666666666666E-2</v>
      </c>
      <c r="I21" s="15">
        <f>SUM(C21,E21,G21)</f>
        <v>240</v>
      </c>
      <c r="J21" s="17">
        <f>IF((B21=0),"",(I21/B21))</f>
        <v>0.676056338028169</v>
      </c>
      <c r="K21" s="29">
        <f>B21-I21</f>
        <v>115</v>
      </c>
      <c r="L21" s="17">
        <f>IF((B21=0),"",(K21/B21))</f>
        <v>0.323943661971831</v>
      </c>
      <c r="M21" s="1"/>
      <c r="N21" s="1"/>
      <c r="O21" s="1"/>
      <c r="P21" s="1"/>
      <c r="Q21" s="1"/>
      <c r="R21" s="1"/>
      <c r="S21" s="1"/>
      <c r="T21" s="1"/>
      <c r="U21" s="1"/>
      <c r="V21" s="1"/>
    </row>
    <row r="22" spans="1:22" ht="12.75" customHeight="1" x14ac:dyDescent="0.2">
      <c r="A22" s="15" t="s">
        <v>162</v>
      </c>
      <c r="B22" s="15">
        <v>378</v>
      </c>
      <c r="C22" s="81">
        <v>84</v>
      </c>
      <c r="D22" s="82">
        <f>IF((I22=0),"",(C22/I22))</f>
        <v>0.35</v>
      </c>
      <c r="E22" s="66">
        <v>142</v>
      </c>
      <c r="F22" s="67">
        <f>IF((I22=0),"",(E22/I22))</f>
        <v>0.59166666666666667</v>
      </c>
      <c r="G22" s="15">
        <v>14</v>
      </c>
      <c r="H22" s="17">
        <f>IF((I22=0),"",(G22/I22))</f>
        <v>5.8333333333333334E-2</v>
      </c>
      <c r="I22" s="15">
        <f>SUM(C22,E22,G22)</f>
        <v>240</v>
      </c>
      <c r="J22" s="17">
        <f>IF((B22=0),"",(I22/B22))</f>
        <v>0.63492063492063489</v>
      </c>
      <c r="K22" s="29">
        <f>B22-I22</f>
        <v>138</v>
      </c>
      <c r="L22" s="17">
        <f>IF((B22=0),"",(K22/B22))</f>
        <v>0.36507936507936506</v>
      </c>
      <c r="M22" s="1"/>
      <c r="N22" s="1"/>
      <c r="O22" s="1"/>
      <c r="P22" s="1"/>
      <c r="Q22" s="1"/>
      <c r="R22" s="1"/>
      <c r="S22" s="1"/>
      <c r="T22" s="1"/>
      <c r="U22" s="1"/>
      <c r="V22" s="1"/>
    </row>
    <row r="23" spans="1:22" ht="12.75" customHeight="1" x14ac:dyDescent="0.2">
      <c r="A23" s="12" t="s">
        <v>120</v>
      </c>
      <c r="B23" s="12">
        <f>SUM(B21:B22)</f>
        <v>733</v>
      </c>
      <c r="C23" s="78">
        <f>SUM(C21:C22)</f>
        <v>161</v>
      </c>
      <c r="D23" s="79">
        <f>IF((I23=0),"",(C23/I23))</f>
        <v>0.33541666666666664</v>
      </c>
      <c r="E23" s="63">
        <f>SUM(E21:E22)</f>
        <v>289</v>
      </c>
      <c r="F23" s="64">
        <f>IF((I23=0),"",(E23/I23))</f>
        <v>0.6020833333333333</v>
      </c>
      <c r="G23" s="12">
        <f>SUM(G21:G22)</f>
        <v>30</v>
      </c>
      <c r="H23" s="13">
        <f>IF((I23=0),"",(G23/I23))</f>
        <v>6.25E-2</v>
      </c>
      <c r="I23" s="12">
        <f>SUM(C23,E23,G23)</f>
        <v>480</v>
      </c>
      <c r="J23" s="13">
        <f>IF((B23=0),"",(I23/B23))</f>
        <v>0.65484311050477495</v>
      </c>
      <c r="K23" s="12">
        <f>SUM(K21:K22)</f>
        <v>253</v>
      </c>
      <c r="L23" s="13">
        <f>IF((B23=0),"",(K23/B23))</f>
        <v>0.34515688949522511</v>
      </c>
      <c r="M23" s="1"/>
      <c r="N23" s="1"/>
      <c r="O23" s="1"/>
      <c r="P23" s="1"/>
      <c r="Q23" s="1"/>
      <c r="R23" s="1"/>
      <c r="S23" s="1"/>
      <c r="T23" s="1"/>
      <c r="U23" s="1"/>
      <c r="V23" s="1"/>
    </row>
    <row r="24" spans="1:22" s="51" customFormat="1" ht="12.75" customHeight="1" x14ac:dyDescent="0.2">
      <c r="A24" s="32" t="s">
        <v>542</v>
      </c>
      <c r="B24" s="32">
        <v>2</v>
      </c>
      <c r="C24" s="78"/>
      <c r="D24" s="79"/>
      <c r="E24" s="63"/>
      <c r="F24" s="64"/>
      <c r="G24" s="32"/>
      <c r="H24" s="28"/>
      <c r="I24" s="32"/>
      <c r="J24" s="28"/>
      <c r="K24" s="32"/>
      <c r="L24" s="28"/>
      <c r="M24" s="1"/>
      <c r="N24" s="1"/>
      <c r="O24" s="1"/>
      <c r="P24" s="1"/>
      <c r="Q24" s="1"/>
      <c r="R24" s="1"/>
      <c r="S24" s="1"/>
      <c r="T24" s="1"/>
      <c r="U24" s="1"/>
      <c r="V24" s="1"/>
    </row>
    <row r="25" spans="1:22" ht="12.75" customHeight="1" x14ac:dyDescent="0.2">
      <c r="A25" s="14" t="s">
        <v>239</v>
      </c>
      <c r="B25" s="32" t="s">
        <v>240</v>
      </c>
      <c r="C25" s="86"/>
      <c r="D25" s="86"/>
      <c r="E25" s="90"/>
      <c r="F25" s="90"/>
      <c r="G25" s="16"/>
      <c r="H25" s="16"/>
      <c r="I25" s="16"/>
      <c r="J25" s="16"/>
      <c r="K25" s="16"/>
      <c r="L25" s="16"/>
      <c r="M25" s="1"/>
      <c r="N25" s="1"/>
      <c r="O25" s="1"/>
      <c r="P25" s="1"/>
      <c r="Q25" s="1"/>
      <c r="R25" s="1"/>
      <c r="S25" s="1"/>
      <c r="T25" s="1"/>
      <c r="U25" s="1"/>
      <c r="V25" s="1"/>
    </row>
    <row r="26" spans="1:22" ht="12.75" customHeight="1" x14ac:dyDescent="0.2">
      <c r="A26" s="15" t="s">
        <v>111</v>
      </c>
      <c r="B26" s="15">
        <v>274</v>
      </c>
      <c r="C26" s="81">
        <v>67</v>
      </c>
      <c r="D26" s="82">
        <f t="shared" ref="D26:D32" si="7">IF((I26=0),"",(C26/I26))</f>
        <v>0.44966442953020136</v>
      </c>
      <c r="E26" s="66">
        <v>71</v>
      </c>
      <c r="F26" s="67">
        <f t="shared" ref="F26:F32" si="8">IF((I26=0),"",(E26/I26))</f>
        <v>0.47651006711409394</v>
      </c>
      <c r="G26" s="15">
        <v>11</v>
      </c>
      <c r="H26" s="17">
        <f t="shared" ref="H26:H32" si="9">IF((I26=0),"",(G26/I26))</f>
        <v>7.3825503355704702E-2</v>
      </c>
      <c r="I26" s="15">
        <f t="shared" ref="I26:I31" si="10">SUM(C26,E26,G26)</f>
        <v>149</v>
      </c>
      <c r="J26" s="17">
        <f t="shared" ref="J26:J32" si="11">IF((B26=0),"",(I26/B26))</f>
        <v>0.54379562043795615</v>
      </c>
      <c r="K26" s="29">
        <f t="shared" ref="K26:K31" si="12">B26-I26</f>
        <v>125</v>
      </c>
      <c r="L26" s="17">
        <f t="shared" ref="L26:L32" si="13">IF((B26=0),"",(K26/B26))</f>
        <v>0.45620437956204379</v>
      </c>
      <c r="M26" s="1"/>
      <c r="N26" s="1"/>
      <c r="O26" s="1"/>
      <c r="P26" s="1"/>
      <c r="Q26" s="1"/>
      <c r="R26" s="1"/>
      <c r="S26" s="1"/>
      <c r="T26" s="1"/>
      <c r="U26" s="1"/>
      <c r="V26" s="1"/>
    </row>
    <row r="27" spans="1:22" ht="12.75" customHeight="1" x14ac:dyDescent="0.2">
      <c r="A27" s="15" t="s">
        <v>490</v>
      </c>
      <c r="B27" s="15">
        <v>690</v>
      </c>
      <c r="C27" s="81">
        <v>178</v>
      </c>
      <c r="D27" s="82">
        <f t="shared" si="7"/>
        <v>0.45063291139240508</v>
      </c>
      <c r="E27" s="66">
        <v>213</v>
      </c>
      <c r="F27" s="67">
        <f t="shared" si="8"/>
        <v>0.53924050632911391</v>
      </c>
      <c r="G27" s="15">
        <v>4</v>
      </c>
      <c r="H27" s="17">
        <f t="shared" si="9"/>
        <v>1.0126582278481013E-2</v>
      </c>
      <c r="I27" s="15">
        <f t="shared" si="10"/>
        <v>395</v>
      </c>
      <c r="J27" s="17">
        <f t="shared" si="11"/>
        <v>0.57246376811594202</v>
      </c>
      <c r="K27" s="29">
        <f t="shared" si="12"/>
        <v>295</v>
      </c>
      <c r="L27" s="17">
        <f t="shared" si="13"/>
        <v>0.42753623188405798</v>
      </c>
      <c r="M27" s="1"/>
      <c r="N27" s="1"/>
      <c r="O27" s="1"/>
      <c r="P27" s="1"/>
      <c r="Q27" s="1"/>
      <c r="R27" s="1"/>
      <c r="S27" s="1"/>
      <c r="T27" s="1"/>
      <c r="U27" s="1"/>
      <c r="V27" s="1"/>
    </row>
    <row r="28" spans="1:22" ht="12.75" customHeight="1" x14ac:dyDescent="0.2">
      <c r="A28" s="15" t="s">
        <v>215</v>
      </c>
      <c r="B28" s="15">
        <v>352</v>
      </c>
      <c r="C28" s="81">
        <v>128</v>
      </c>
      <c r="D28" s="82">
        <f t="shared" si="7"/>
        <v>0.41157556270096463</v>
      </c>
      <c r="E28" s="66">
        <v>163</v>
      </c>
      <c r="F28" s="67">
        <f t="shared" si="8"/>
        <v>0.52411575562700963</v>
      </c>
      <c r="G28" s="15">
        <v>20</v>
      </c>
      <c r="H28" s="17">
        <f t="shared" si="9"/>
        <v>6.4308681672025719E-2</v>
      </c>
      <c r="I28" s="15">
        <f t="shared" si="10"/>
        <v>311</v>
      </c>
      <c r="J28" s="17">
        <f t="shared" si="11"/>
        <v>0.88352272727272729</v>
      </c>
      <c r="K28" s="29">
        <f t="shared" si="12"/>
        <v>41</v>
      </c>
      <c r="L28" s="17">
        <f t="shared" si="13"/>
        <v>0.11647727272727272</v>
      </c>
      <c r="M28" s="1"/>
      <c r="N28" s="1"/>
      <c r="O28" s="1"/>
      <c r="P28" s="1"/>
      <c r="Q28" s="1"/>
      <c r="R28" s="1"/>
      <c r="S28" s="1"/>
      <c r="T28" s="1"/>
      <c r="U28" s="1"/>
      <c r="V28" s="1"/>
    </row>
    <row r="29" spans="1:22" ht="12.75" customHeight="1" x14ac:dyDescent="0.2">
      <c r="A29" s="15" t="s">
        <v>139</v>
      </c>
      <c r="B29" s="15">
        <v>390</v>
      </c>
      <c r="C29" s="81">
        <v>98</v>
      </c>
      <c r="D29" s="82">
        <f t="shared" si="7"/>
        <v>0.44545454545454544</v>
      </c>
      <c r="E29" s="66">
        <v>112</v>
      </c>
      <c r="F29" s="67">
        <f t="shared" si="8"/>
        <v>0.50909090909090904</v>
      </c>
      <c r="G29" s="15">
        <v>10</v>
      </c>
      <c r="H29" s="17">
        <f t="shared" si="9"/>
        <v>4.5454545454545456E-2</v>
      </c>
      <c r="I29" s="15">
        <f t="shared" si="10"/>
        <v>220</v>
      </c>
      <c r="J29" s="17">
        <f t="shared" si="11"/>
        <v>0.5641025641025641</v>
      </c>
      <c r="K29" s="29">
        <f t="shared" si="12"/>
        <v>170</v>
      </c>
      <c r="L29" s="17">
        <f t="shared" si="13"/>
        <v>0.4358974358974359</v>
      </c>
      <c r="M29" s="1"/>
      <c r="N29" s="1"/>
      <c r="O29" s="1"/>
      <c r="P29" s="1"/>
      <c r="Q29" s="1"/>
      <c r="R29" s="1"/>
      <c r="S29" s="1"/>
      <c r="T29" s="1"/>
      <c r="U29" s="1"/>
      <c r="V29" s="1"/>
    </row>
    <row r="30" spans="1:22" ht="12.75" customHeight="1" x14ac:dyDescent="0.2">
      <c r="A30" s="15" t="s">
        <v>413</v>
      </c>
      <c r="B30" s="15">
        <v>257</v>
      </c>
      <c r="C30" s="81">
        <v>77</v>
      </c>
      <c r="D30" s="82">
        <f t="shared" si="7"/>
        <v>0.57462686567164178</v>
      </c>
      <c r="E30" s="66">
        <v>54</v>
      </c>
      <c r="F30" s="67">
        <f t="shared" si="8"/>
        <v>0.40298507462686567</v>
      </c>
      <c r="G30" s="15">
        <v>3</v>
      </c>
      <c r="H30" s="17">
        <f t="shared" si="9"/>
        <v>2.2388059701492536E-2</v>
      </c>
      <c r="I30" s="15">
        <f t="shared" si="10"/>
        <v>134</v>
      </c>
      <c r="J30" s="17">
        <f t="shared" si="11"/>
        <v>0.52140077821011677</v>
      </c>
      <c r="K30" s="29">
        <f t="shared" si="12"/>
        <v>123</v>
      </c>
      <c r="L30" s="17">
        <f t="shared" si="13"/>
        <v>0.47859922178988329</v>
      </c>
      <c r="M30" s="1"/>
      <c r="N30" s="1"/>
      <c r="O30" s="1"/>
      <c r="P30" s="1"/>
      <c r="Q30" s="1"/>
      <c r="R30" s="1"/>
      <c r="S30" s="1"/>
      <c r="T30" s="1"/>
      <c r="U30" s="1"/>
      <c r="V30" s="1"/>
    </row>
    <row r="31" spans="1:22" ht="12.75" customHeight="1" x14ac:dyDescent="0.2">
      <c r="A31" s="15" t="s">
        <v>491</v>
      </c>
      <c r="B31" s="15">
        <v>266</v>
      </c>
      <c r="C31" s="81">
        <v>93</v>
      </c>
      <c r="D31" s="82">
        <f t="shared" si="7"/>
        <v>0.57763975155279501</v>
      </c>
      <c r="E31" s="66">
        <v>60</v>
      </c>
      <c r="F31" s="67">
        <f t="shared" si="8"/>
        <v>0.37267080745341613</v>
      </c>
      <c r="G31" s="15">
        <v>8</v>
      </c>
      <c r="H31" s="17">
        <f t="shared" si="9"/>
        <v>4.9689440993788817E-2</v>
      </c>
      <c r="I31" s="15">
        <f t="shared" si="10"/>
        <v>161</v>
      </c>
      <c r="J31" s="17">
        <f t="shared" si="11"/>
        <v>0.60526315789473684</v>
      </c>
      <c r="K31" s="29">
        <f t="shared" si="12"/>
        <v>105</v>
      </c>
      <c r="L31" s="17">
        <f t="shared" si="13"/>
        <v>0.39473684210526316</v>
      </c>
      <c r="M31" s="1"/>
      <c r="N31" s="1"/>
      <c r="O31" s="1"/>
      <c r="P31" s="1"/>
      <c r="Q31" s="1"/>
      <c r="R31" s="1"/>
      <c r="S31" s="1"/>
      <c r="T31" s="1"/>
      <c r="U31" s="1"/>
      <c r="V31" s="1"/>
    </row>
    <row r="32" spans="1:22" ht="12.75" customHeight="1" x14ac:dyDescent="0.2">
      <c r="A32" s="12" t="s">
        <v>120</v>
      </c>
      <c r="B32" s="12">
        <f>SUM(B26:B31)</f>
        <v>2229</v>
      </c>
      <c r="C32" s="78">
        <f>SUM(C26:C31)</f>
        <v>641</v>
      </c>
      <c r="D32" s="79">
        <f t="shared" si="7"/>
        <v>0.46788321167883212</v>
      </c>
      <c r="E32" s="63">
        <f>SUM(E26:E31)</f>
        <v>673</v>
      </c>
      <c r="F32" s="64">
        <f t="shared" si="8"/>
        <v>0.49124087591240878</v>
      </c>
      <c r="G32" s="12">
        <f>SUM(G26:G31)</f>
        <v>56</v>
      </c>
      <c r="H32" s="13">
        <f t="shared" si="9"/>
        <v>4.0875912408759124E-2</v>
      </c>
      <c r="I32" s="12">
        <f>SUM(C32,E32,G32)</f>
        <v>1370</v>
      </c>
      <c r="J32" s="13">
        <f t="shared" si="11"/>
        <v>0.6146253925527142</v>
      </c>
      <c r="K32" s="12">
        <f>SUM(K26:K31)</f>
        <v>859</v>
      </c>
      <c r="L32" s="13">
        <f t="shared" si="13"/>
        <v>0.3853746074472858</v>
      </c>
      <c r="M32" s="1"/>
      <c r="N32" s="1"/>
      <c r="O32" s="1"/>
      <c r="P32" s="1"/>
      <c r="Q32" s="1"/>
      <c r="R32" s="1"/>
      <c r="S32" s="1"/>
      <c r="T32" s="1"/>
      <c r="U32" s="1"/>
      <c r="V32" s="1"/>
    </row>
    <row r="33" spans="1:22" s="51" customFormat="1" ht="12.75" customHeight="1" x14ac:dyDescent="0.2">
      <c r="A33" s="32" t="s">
        <v>542</v>
      </c>
      <c r="B33" s="32">
        <v>25</v>
      </c>
      <c r="C33" s="78"/>
      <c r="D33" s="79"/>
      <c r="E33" s="63"/>
      <c r="F33" s="64"/>
      <c r="G33" s="32"/>
      <c r="H33" s="28"/>
      <c r="I33" s="32"/>
      <c r="J33" s="28"/>
      <c r="K33" s="32"/>
      <c r="L33" s="28"/>
      <c r="M33" s="1"/>
      <c r="N33" s="1"/>
      <c r="O33" s="1"/>
      <c r="P33" s="1"/>
      <c r="Q33" s="1"/>
      <c r="R33" s="1"/>
      <c r="S33" s="1"/>
      <c r="T33" s="1"/>
      <c r="U33" s="1"/>
      <c r="V33" s="1"/>
    </row>
    <row r="34" spans="1:22" ht="12.75" customHeight="1" x14ac:dyDescent="0.2">
      <c r="A34" s="14" t="s">
        <v>241</v>
      </c>
      <c r="B34" s="32" t="s">
        <v>242</v>
      </c>
      <c r="C34" s="86"/>
      <c r="D34" s="86"/>
      <c r="E34" s="90"/>
      <c r="F34" s="90"/>
      <c r="G34" s="16"/>
      <c r="H34" s="16"/>
      <c r="I34" s="16"/>
      <c r="J34" s="16"/>
      <c r="K34" s="16"/>
      <c r="L34" s="16"/>
      <c r="M34" s="1"/>
      <c r="N34" s="1"/>
      <c r="O34" s="1"/>
      <c r="P34" s="1"/>
      <c r="Q34" s="1"/>
      <c r="R34" s="1"/>
      <c r="S34" s="1"/>
      <c r="T34" s="1"/>
      <c r="U34" s="1"/>
      <c r="V34" s="1"/>
    </row>
    <row r="35" spans="1:22" ht="12.75" customHeight="1" x14ac:dyDescent="0.2">
      <c r="A35" s="15" t="s">
        <v>136</v>
      </c>
      <c r="B35" s="15">
        <v>389</v>
      </c>
      <c r="C35" s="81">
        <v>106</v>
      </c>
      <c r="D35" s="82">
        <f t="shared" ref="D35:D41" si="14">IF((I35=0),"",(C35/I35))</f>
        <v>0.46696035242290751</v>
      </c>
      <c r="E35" s="66">
        <v>87</v>
      </c>
      <c r="F35" s="67">
        <f t="shared" ref="F35:F41" si="15">IF((I35=0),"",(E35/I35))</f>
        <v>0.38325991189427311</v>
      </c>
      <c r="G35" s="15">
        <v>34</v>
      </c>
      <c r="H35" s="17">
        <f t="shared" ref="H35:H41" si="16">IF((I35=0),"",(G35/I35))</f>
        <v>0.14977973568281938</v>
      </c>
      <c r="I35" s="15">
        <f>SUM(C35,E35,G35)</f>
        <v>227</v>
      </c>
      <c r="J35" s="17">
        <f t="shared" ref="J35:J41" si="17">IF((B35=0),"",(I35/B35))</f>
        <v>0.58354755784061696</v>
      </c>
      <c r="K35" s="29">
        <f t="shared" ref="K35:K40" si="18">B35-I35</f>
        <v>162</v>
      </c>
      <c r="L35" s="17">
        <f t="shared" ref="L35:L41" si="19">IF((B35=0),"",(K35/B35))</f>
        <v>0.41645244215938304</v>
      </c>
      <c r="M35" s="1"/>
      <c r="N35" s="1"/>
      <c r="O35" s="1"/>
      <c r="P35" s="1"/>
      <c r="Q35" s="1"/>
      <c r="R35" s="1"/>
      <c r="S35" s="1"/>
      <c r="T35" s="1"/>
      <c r="U35" s="1"/>
      <c r="V35" s="1"/>
    </row>
    <row r="36" spans="1:22" ht="12.75" customHeight="1" x14ac:dyDescent="0.2">
      <c r="A36" s="15" t="s">
        <v>167</v>
      </c>
      <c r="B36" s="15">
        <v>271</v>
      </c>
      <c r="C36" s="81">
        <v>96</v>
      </c>
      <c r="D36" s="82">
        <f t="shared" si="14"/>
        <v>0.63576158940397354</v>
      </c>
      <c r="E36" s="66">
        <v>47</v>
      </c>
      <c r="F36" s="67">
        <f t="shared" si="15"/>
        <v>0.31125827814569534</v>
      </c>
      <c r="G36" s="15">
        <v>8</v>
      </c>
      <c r="H36" s="17">
        <f t="shared" si="16"/>
        <v>5.2980132450331126E-2</v>
      </c>
      <c r="I36" s="15">
        <f>SUM(C36,E36,G36)</f>
        <v>151</v>
      </c>
      <c r="J36" s="17">
        <f t="shared" si="17"/>
        <v>0.55719557195571956</v>
      </c>
      <c r="K36" s="29">
        <f t="shared" si="18"/>
        <v>120</v>
      </c>
      <c r="L36" s="17">
        <f t="shared" si="19"/>
        <v>0.44280442804428044</v>
      </c>
      <c r="M36" s="1"/>
      <c r="N36" s="1"/>
      <c r="O36" s="1"/>
      <c r="P36" s="1"/>
      <c r="Q36" s="1"/>
      <c r="R36" s="1"/>
      <c r="S36" s="1"/>
      <c r="T36" s="1"/>
      <c r="U36" s="1"/>
      <c r="V36" s="1"/>
    </row>
    <row r="37" spans="1:22" ht="12.75" customHeight="1" x14ac:dyDescent="0.2">
      <c r="A37" s="15" t="s">
        <v>488</v>
      </c>
      <c r="B37" s="15">
        <v>266</v>
      </c>
      <c r="C37" s="81">
        <v>84</v>
      </c>
      <c r="D37" s="82">
        <f t="shared" si="14"/>
        <v>0.55629139072847678</v>
      </c>
      <c r="E37" s="66">
        <v>52</v>
      </c>
      <c r="F37" s="67">
        <f t="shared" si="15"/>
        <v>0.3443708609271523</v>
      </c>
      <c r="G37" s="15">
        <v>15</v>
      </c>
      <c r="H37" s="17">
        <f t="shared" si="16"/>
        <v>9.9337748344370855E-2</v>
      </c>
      <c r="I37" s="15">
        <f>SUM(C37,E37,G37)</f>
        <v>151</v>
      </c>
      <c r="J37" s="17">
        <f t="shared" si="17"/>
        <v>0.56766917293233088</v>
      </c>
      <c r="K37" s="29">
        <f t="shared" si="18"/>
        <v>115</v>
      </c>
      <c r="L37" s="17">
        <f t="shared" si="19"/>
        <v>0.43233082706766918</v>
      </c>
      <c r="M37" s="1"/>
      <c r="N37" s="1"/>
      <c r="O37" s="1"/>
      <c r="P37" s="1"/>
      <c r="Q37" s="1"/>
      <c r="R37" s="1"/>
      <c r="S37" s="1"/>
      <c r="T37" s="1"/>
      <c r="U37" s="1"/>
      <c r="V37" s="1"/>
    </row>
    <row r="38" spans="1:22" ht="12.75" customHeight="1" x14ac:dyDescent="0.2">
      <c r="A38" s="15" t="s">
        <v>489</v>
      </c>
      <c r="B38" s="15">
        <v>372</v>
      </c>
      <c r="C38" s="81">
        <v>134</v>
      </c>
      <c r="D38" s="82">
        <f t="shared" si="14"/>
        <v>0.65686274509803921</v>
      </c>
      <c r="E38" s="66">
        <v>48</v>
      </c>
      <c r="F38" s="67">
        <f t="shared" si="15"/>
        <v>0.23529411764705882</v>
      </c>
      <c r="G38" s="15">
        <v>22</v>
      </c>
      <c r="H38" s="17">
        <f t="shared" si="16"/>
        <v>0.10784313725490197</v>
      </c>
      <c r="I38" s="15">
        <f>SUM(C38,E38,G38)</f>
        <v>204</v>
      </c>
      <c r="J38" s="17">
        <f t="shared" si="17"/>
        <v>0.54838709677419351</v>
      </c>
      <c r="K38" s="29">
        <f t="shared" si="18"/>
        <v>168</v>
      </c>
      <c r="L38" s="17">
        <f t="shared" si="19"/>
        <v>0.45161290322580644</v>
      </c>
      <c r="M38" s="1"/>
      <c r="N38" s="1"/>
      <c r="O38" s="1"/>
      <c r="P38" s="1"/>
      <c r="Q38" s="1"/>
      <c r="R38" s="1"/>
      <c r="S38" s="1"/>
      <c r="T38" s="1"/>
      <c r="U38" s="1"/>
      <c r="V38" s="1"/>
    </row>
    <row r="39" spans="1:22" s="38" customFormat="1" ht="12.75" customHeight="1" x14ac:dyDescent="0.2">
      <c r="A39" s="15" t="s">
        <v>126</v>
      </c>
      <c r="B39" s="15">
        <v>303</v>
      </c>
      <c r="C39" s="81">
        <v>111</v>
      </c>
      <c r="D39" s="82">
        <f t="shared" si="14"/>
        <v>0.58730158730158732</v>
      </c>
      <c r="E39" s="66">
        <v>67</v>
      </c>
      <c r="F39" s="67">
        <f t="shared" si="15"/>
        <v>0.35449735449735448</v>
      </c>
      <c r="G39" s="15">
        <v>11</v>
      </c>
      <c r="H39" s="17">
        <f t="shared" si="16"/>
        <v>5.8201058201058198E-2</v>
      </c>
      <c r="I39" s="15">
        <v>189</v>
      </c>
      <c r="J39" s="17">
        <f t="shared" si="17"/>
        <v>0.62376237623762376</v>
      </c>
      <c r="K39" s="29">
        <f t="shared" si="18"/>
        <v>114</v>
      </c>
      <c r="L39" s="17">
        <f t="shared" si="19"/>
        <v>0.37623762376237624</v>
      </c>
      <c r="M39" s="1"/>
      <c r="N39" s="1"/>
      <c r="O39" s="1"/>
      <c r="P39" s="1"/>
      <c r="Q39" s="1"/>
      <c r="R39" s="1"/>
      <c r="S39" s="1"/>
      <c r="T39" s="1"/>
      <c r="U39" s="1"/>
      <c r="V39" s="1"/>
    </row>
    <row r="40" spans="1:22" ht="12.75" customHeight="1" x14ac:dyDescent="0.2">
      <c r="A40" s="15" t="s">
        <v>123</v>
      </c>
      <c r="B40" s="15">
        <v>242</v>
      </c>
      <c r="C40" s="81">
        <v>80</v>
      </c>
      <c r="D40" s="82">
        <f t="shared" si="14"/>
        <v>0.61538461538461542</v>
      </c>
      <c r="E40" s="66">
        <v>46</v>
      </c>
      <c r="F40" s="67">
        <f t="shared" si="15"/>
        <v>0.35384615384615387</v>
      </c>
      <c r="G40" s="15">
        <v>4</v>
      </c>
      <c r="H40" s="17">
        <f t="shared" si="16"/>
        <v>3.0769230769230771E-2</v>
      </c>
      <c r="I40" s="15">
        <f>SUM(C40,E40,G40)</f>
        <v>130</v>
      </c>
      <c r="J40" s="17">
        <f t="shared" si="17"/>
        <v>0.53719008264462809</v>
      </c>
      <c r="K40" s="29">
        <f t="shared" si="18"/>
        <v>112</v>
      </c>
      <c r="L40" s="17">
        <f t="shared" si="19"/>
        <v>0.46280991735537191</v>
      </c>
      <c r="M40" s="1"/>
      <c r="N40" s="1"/>
      <c r="O40" s="1"/>
      <c r="P40" s="1"/>
      <c r="Q40" s="1"/>
      <c r="R40" s="1"/>
      <c r="S40" s="1"/>
      <c r="T40" s="1"/>
      <c r="U40" s="1"/>
      <c r="V40" s="1"/>
    </row>
    <row r="41" spans="1:22" ht="12.75" customHeight="1" x14ac:dyDescent="0.2">
      <c r="A41" s="12" t="s">
        <v>120</v>
      </c>
      <c r="B41" s="12">
        <f>SUM(B35:B40)</f>
        <v>1843</v>
      </c>
      <c r="C41" s="78">
        <f>SUM(C35:C40)</f>
        <v>611</v>
      </c>
      <c r="D41" s="79">
        <f t="shared" si="14"/>
        <v>0.58079847908745252</v>
      </c>
      <c r="E41" s="63">
        <f>SUM(E35:E40)</f>
        <v>347</v>
      </c>
      <c r="F41" s="64">
        <f t="shared" si="15"/>
        <v>0.32984790874524716</v>
      </c>
      <c r="G41" s="12">
        <f>SUM(G35:G40)</f>
        <v>94</v>
      </c>
      <c r="H41" s="13">
        <f t="shared" si="16"/>
        <v>8.9353612167300381E-2</v>
      </c>
      <c r="I41" s="12">
        <f>SUM(C41,E41,G41)</f>
        <v>1052</v>
      </c>
      <c r="J41" s="13">
        <f t="shared" si="17"/>
        <v>0.57080846446011935</v>
      </c>
      <c r="K41" s="12">
        <f>SUM(K35:K40)</f>
        <v>791</v>
      </c>
      <c r="L41" s="13">
        <f t="shared" si="19"/>
        <v>0.42919153553988065</v>
      </c>
      <c r="M41" s="1"/>
      <c r="N41" s="1"/>
      <c r="O41" s="1"/>
      <c r="P41" s="1"/>
      <c r="Q41" s="1"/>
      <c r="R41" s="1"/>
      <c r="S41" s="1"/>
      <c r="T41" s="1"/>
      <c r="U41" s="1"/>
      <c r="V41" s="1"/>
    </row>
    <row r="42" spans="1:22" ht="12.75" customHeight="1" x14ac:dyDescent="0.2">
      <c r="A42" s="43" t="s">
        <v>542</v>
      </c>
      <c r="B42" s="43">
        <v>21</v>
      </c>
      <c r="C42" s="1"/>
      <c r="D42" s="1"/>
      <c r="E42" s="1"/>
      <c r="F42" s="1"/>
      <c r="G42" s="1"/>
      <c r="H42" s="1"/>
      <c r="I42" s="1"/>
      <c r="J42" s="1"/>
      <c r="K42" s="1"/>
      <c r="L42" s="1"/>
      <c r="M42" s="1"/>
      <c r="N42" s="1"/>
      <c r="O42" s="1"/>
      <c r="P42" s="1"/>
      <c r="Q42" s="1"/>
      <c r="R42" s="1"/>
      <c r="S42" s="1"/>
      <c r="T42" s="1"/>
      <c r="U42" s="1"/>
      <c r="V42" s="1"/>
    </row>
    <row r="43" spans="1:22" ht="12.75" customHeight="1" x14ac:dyDescent="0.2">
      <c r="A43" s="1"/>
      <c r="B43" s="1"/>
      <c r="C43" s="1"/>
      <c r="D43" s="1"/>
      <c r="E43" s="1"/>
      <c r="F43" s="1"/>
      <c r="G43" s="1"/>
      <c r="H43" s="1"/>
      <c r="I43" s="1"/>
      <c r="J43" s="1"/>
      <c r="K43" s="1"/>
      <c r="L43" s="1"/>
      <c r="M43" s="1"/>
      <c r="N43" s="1"/>
      <c r="O43" s="1"/>
      <c r="P43" s="1"/>
      <c r="Q43" s="1"/>
      <c r="R43" s="1"/>
      <c r="S43" s="1"/>
      <c r="T43" s="1"/>
      <c r="U43" s="1"/>
      <c r="V43" s="1"/>
    </row>
    <row r="44" spans="1:22" ht="12.75" customHeight="1" x14ac:dyDescent="0.2">
      <c r="A44" s="1"/>
      <c r="B44" s="1"/>
      <c r="C44" s="1"/>
      <c r="D44" s="1"/>
      <c r="E44" s="1"/>
      <c r="F44" s="1"/>
      <c r="G44" s="1"/>
      <c r="H44" s="1"/>
      <c r="I44" s="1"/>
      <c r="J44" s="1"/>
      <c r="K44" s="1"/>
      <c r="L44" s="1"/>
      <c r="M44" s="1"/>
      <c r="N44" s="1"/>
      <c r="O44" s="1"/>
      <c r="P44" s="1"/>
      <c r="Q44" s="1"/>
      <c r="R44" s="1"/>
      <c r="S44" s="1"/>
      <c r="T44" s="1"/>
      <c r="U44" s="1"/>
      <c r="V44" s="1"/>
    </row>
    <row r="45" spans="1:22" ht="12.75" customHeight="1" x14ac:dyDescent="0.2">
      <c r="A45" s="1"/>
      <c r="B45" s="1"/>
      <c r="C45" s="1"/>
      <c r="D45" s="1"/>
      <c r="E45" s="1"/>
      <c r="F45" s="1"/>
      <c r="G45" s="1"/>
      <c r="H45" s="1"/>
      <c r="I45" s="1"/>
      <c r="J45" s="1"/>
      <c r="K45" s="1"/>
      <c r="L45" s="1"/>
      <c r="M45" s="1"/>
      <c r="N45" s="1"/>
      <c r="O45" s="1"/>
      <c r="P45" s="1"/>
      <c r="Q45" s="1"/>
      <c r="R45" s="1"/>
      <c r="S45" s="1"/>
      <c r="T45" s="1"/>
      <c r="U45" s="1"/>
      <c r="V45" s="1"/>
    </row>
    <row r="46" spans="1:22" ht="12.75" customHeight="1" x14ac:dyDescent="0.2">
      <c r="A46" s="1"/>
      <c r="B46" s="1"/>
      <c r="C46" s="1"/>
      <c r="D46" s="1"/>
      <c r="E46" s="1"/>
      <c r="F46" s="1"/>
      <c r="G46" s="1"/>
      <c r="H46" s="1"/>
      <c r="I46" s="1"/>
      <c r="J46" s="1"/>
      <c r="K46" s="1"/>
      <c r="L46" s="1"/>
      <c r="M46" s="1"/>
      <c r="N46" s="1"/>
      <c r="O46" s="1"/>
      <c r="P46" s="1"/>
      <c r="Q46" s="1"/>
      <c r="R46" s="1"/>
      <c r="S46" s="1"/>
      <c r="T46" s="1"/>
      <c r="U46" s="1"/>
      <c r="V46" s="1"/>
    </row>
    <row r="47" spans="1:22" ht="12.75" customHeight="1" x14ac:dyDescent="0.2">
      <c r="A47" s="1"/>
      <c r="B47" s="1"/>
      <c r="C47" s="1"/>
      <c r="D47" s="1"/>
      <c r="E47" s="1"/>
      <c r="F47" s="1"/>
      <c r="G47" s="1"/>
      <c r="H47" s="1"/>
      <c r="I47" s="1"/>
      <c r="J47" s="1"/>
      <c r="K47" s="1"/>
      <c r="L47" s="1"/>
      <c r="M47" s="1"/>
      <c r="N47" s="1"/>
      <c r="O47" s="1"/>
      <c r="P47" s="1"/>
      <c r="Q47" s="1"/>
      <c r="R47" s="1"/>
      <c r="S47" s="1"/>
      <c r="T47" s="1"/>
      <c r="U47" s="1"/>
      <c r="V47" s="1"/>
    </row>
    <row r="48" spans="1:22" ht="12.75" customHeight="1" x14ac:dyDescent="0.2">
      <c r="A48" s="1"/>
      <c r="B48" s="1"/>
      <c r="C48" s="1"/>
      <c r="D48" s="1"/>
      <c r="E48" s="1"/>
      <c r="F48" s="1"/>
      <c r="G48" s="1"/>
      <c r="H48" s="1"/>
      <c r="I48" s="1"/>
      <c r="J48" s="1"/>
      <c r="K48" s="1"/>
      <c r="L48" s="1"/>
      <c r="M48" s="1"/>
      <c r="N48" s="1"/>
      <c r="O48" s="1"/>
      <c r="P48" s="1"/>
      <c r="Q48" s="1"/>
      <c r="R48" s="1"/>
      <c r="S48" s="1"/>
      <c r="T48" s="1"/>
      <c r="U48" s="1"/>
      <c r="V48" s="1"/>
    </row>
    <row r="49" spans="1:22" ht="12.75" customHeight="1" x14ac:dyDescent="0.2">
      <c r="A49" s="1"/>
      <c r="B49" s="1"/>
      <c r="C49" s="1"/>
      <c r="D49" s="1"/>
      <c r="E49" s="1"/>
      <c r="F49" s="1"/>
      <c r="G49" s="1"/>
      <c r="H49" s="1"/>
      <c r="I49" s="1"/>
      <c r="J49" s="1"/>
      <c r="K49" s="1"/>
      <c r="L49" s="1"/>
      <c r="M49" s="1"/>
      <c r="N49" s="1"/>
      <c r="O49" s="1"/>
      <c r="P49" s="1"/>
      <c r="Q49" s="1"/>
      <c r="R49" s="1"/>
      <c r="S49" s="1"/>
      <c r="T49" s="1"/>
      <c r="U49" s="1"/>
      <c r="V49" s="1"/>
    </row>
    <row r="50" spans="1:22" ht="12.75" customHeight="1" x14ac:dyDescent="0.2">
      <c r="A50" s="1"/>
      <c r="B50" s="1"/>
      <c r="C50" s="1"/>
      <c r="D50" s="1"/>
      <c r="E50" s="1"/>
      <c r="F50" s="1"/>
      <c r="G50" s="1"/>
      <c r="H50" s="1"/>
      <c r="I50" s="1"/>
      <c r="J50" s="1"/>
      <c r="K50" s="1"/>
      <c r="L50" s="1"/>
      <c r="M50" s="1"/>
      <c r="N50" s="1"/>
      <c r="O50" s="1"/>
      <c r="P50" s="1"/>
      <c r="Q50" s="1"/>
      <c r="R50" s="1"/>
      <c r="S50" s="1"/>
      <c r="T50" s="1"/>
      <c r="U50" s="1"/>
      <c r="V50" s="1"/>
    </row>
    <row r="51" spans="1:22" ht="12.75" customHeight="1" x14ac:dyDescent="0.2">
      <c r="A51" s="1"/>
      <c r="B51" s="1"/>
      <c r="C51" s="1"/>
      <c r="D51" s="1"/>
      <c r="E51" s="1"/>
      <c r="F51" s="1"/>
      <c r="G51" s="1"/>
      <c r="H51" s="1"/>
      <c r="I51" s="1"/>
      <c r="J51" s="1"/>
      <c r="K51" s="1"/>
      <c r="L51" s="1"/>
      <c r="M51" s="1"/>
      <c r="N51" s="1"/>
      <c r="O51" s="1"/>
      <c r="P51" s="1"/>
      <c r="Q51" s="1"/>
      <c r="R51" s="1"/>
      <c r="S51" s="1"/>
      <c r="T51" s="1"/>
      <c r="U51" s="1"/>
      <c r="V51" s="1"/>
    </row>
    <row r="52" spans="1:22" ht="12.75" customHeight="1" x14ac:dyDescent="0.2">
      <c r="A52" s="1"/>
      <c r="B52" s="1"/>
      <c r="C52" s="1"/>
      <c r="D52" s="1"/>
      <c r="E52" s="1"/>
      <c r="F52" s="1"/>
      <c r="G52" s="1"/>
      <c r="H52" s="1"/>
      <c r="I52" s="1"/>
      <c r="J52" s="1"/>
      <c r="K52" s="1"/>
      <c r="L52" s="1"/>
      <c r="M52" s="1"/>
      <c r="N52" s="1"/>
      <c r="O52" s="1"/>
      <c r="P52" s="1"/>
      <c r="Q52" s="1"/>
      <c r="R52" s="1"/>
      <c r="S52" s="1"/>
      <c r="T52" s="1"/>
      <c r="U52" s="1"/>
      <c r="V52" s="1"/>
    </row>
    <row r="53" spans="1:22" ht="12.75" customHeight="1" x14ac:dyDescent="0.2">
      <c r="A53" s="1"/>
      <c r="B53" s="1"/>
      <c r="C53" s="1"/>
      <c r="D53" s="1"/>
      <c r="E53" s="1"/>
      <c r="F53" s="1"/>
      <c r="G53" s="1"/>
      <c r="H53" s="1"/>
      <c r="I53" s="1"/>
      <c r="J53" s="1"/>
      <c r="K53" s="1"/>
      <c r="L53" s="1"/>
      <c r="M53" s="1"/>
      <c r="N53" s="1"/>
      <c r="O53" s="1"/>
      <c r="P53" s="1"/>
      <c r="Q53" s="1"/>
      <c r="R53" s="1"/>
      <c r="S53" s="1"/>
      <c r="T53" s="1"/>
      <c r="U53" s="1"/>
      <c r="V53" s="1"/>
    </row>
    <row r="54" spans="1:22" ht="12.75" customHeight="1" x14ac:dyDescent="0.2">
      <c r="A54" s="1"/>
      <c r="B54" s="1"/>
      <c r="C54" s="1"/>
      <c r="D54" s="1"/>
      <c r="E54" s="1"/>
      <c r="F54" s="1"/>
      <c r="G54" s="1"/>
      <c r="H54" s="1"/>
      <c r="I54" s="1"/>
      <c r="J54" s="1"/>
      <c r="K54" s="1"/>
      <c r="L54" s="1"/>
      <c r="M54" s="1"/>
      <c r="N54" s="1"/>
      <c r="O54" s="1"/>
      <c r="P54" s="1"/>
      <c r="Q54" s="1"/>
      <c r="R54" s="1"/>
      <c r="S54" s="1"/>
      <c r="T54" s="1"/>
      <c r="U54" s="1"/>
      <c r="V54" s="1"/>
    </row>
    <row r="55" spans="1:22" ht="12.75" customHeight="1" x14ac:dyDescent="0.2">
      <c r="A55" s="1"/>
      <c r="B55" s="1"/>
      <c r="C55" s="1"/>
      <c r="D55" s="1"/>
      <c r="E55" s="1"/>
      <c r="F55" s="1"/>
      <c r="G55" s="1"/>
      <c r="H55" s="1"/>
      <c r="I55" s="1"/>
      <c r="J55" s="1"/>
      <c r="K55" s="1"/>
      <c r="L55" s="1"/>
      <c r="M55" s="1"/>
      <c r="N55" s="1"/>
      <c r="O55" s="1"/>
      <c r="P55" s="1"/>
      <c r="Q55" s="1"/>
      <c r="R55" s="1"/>
      <c r="S55" s="1"/>
      <c r="T55" s="1"/>
      <c r="U55" s="1"/>
      <c r="V55" s="1"/>
    </row>
    <row r="56" spans="1:22" ht="12.75" customHeight="1" x14ac:dyDescent="0.2">
      <c r="A56" s="1"/>
      <c r="B56" s="1"/>
      <c r="C56" s="1"/>
      <c r="D56" s="1"/>
      <c r="E56" s="1"/>
      <c r="F56" s="1"/>
      <c r="G56" s="1"/>
      <c r="H56" s="1"/>
      <c r="I56" s="1"/>
      <c r="J56" s="1"/>
      <c r="K56" s="1"/>
      <c r="L56" s="1"/>
      <c r="M56" s="1"/>
      <c r="N56" s="1"/>
      <c r="O56" s="1"/>
      <c r="P56" s="1"/>
      <c r="Q56" s="1"/>
      <c r="R56" s="1"/>
      <c r="S56" s="1"/>
      <c r="T56" s="1"/>
      <c r="U56" s="1"/>
      <c r="V56" s="1"/>
    </row>
    <row r="57" spans="1:22" ht="12.75" customHeight="1" x14ac:dyDescent="0.2">
      <c r="A57" s="1"/>
      <c r="B57" s="1"/>
      <c r="C57" s="1"/>
      <c r="D57" s="1"/>
      <c r="E57" s="1"/>
      <c r="F57" s="1"/>
      <c r="G57" s="1"/>
      <c r="H57" s="1"/>
      <c r="I57" s="1"/>
      <c r="J57" s="1"/>
      <c r="K57" s="1"/>
      <c r="L57" s="1"/>
      <c r="M57" s="1"/>
      <c r="N57" s="1"/>
      <c r="O57" s="1"/>
      <c r="P57" s="1"/>
      <c r="Q57" s="1"/>
      <c r="R57" s="1"/>
      <c r="S57" s="1"/>
      <c r="T57" s="1"/>
      <c r="U57" s="1"/>
      <c r="V57" s="1"/>
    </row>
    <row r="58" spans="1:22" ht="12.75" customHeight="1" x14ac:dyDescent="0.2">
      <c r="A58" s="1"/>
      <c r="B58" s="1"/>
      <c r="C58" s="1"/>
      <c r="D58" s="1"/>
      <c r="E58" s="1"/>
      <c r="F58" s="1"/>
      <c r="G58" s="1"/>
      <c r="H58" s="1"/>
      <c r="I58" s="1"/>
      <c r="J58" s="1"/>
      <c r="K58" s="1"/>
      <c r="L58" s="1"/>
      <c r="M58" s="1"/>
      <c r="N58" s="1"/>
      <c r="O58" s="1"/>
      <c r="P58" s="1"/>
      <c r="Q58" s="1"/>
      <c r="R58" s="1"/>
      <c r="S58" s="1"/>
      <c r="T58" s="1"/>
      <c r="U58" s="1"/>
      <c r="V58" s="1"/>
    </row>
    <row r="59" spans="1:22" ht="12.75" customHeight="1" x14ac:dyDescent="0.2">
      <c r="A59" s="1"/>
      <c r="B59" s="1"/>
      <c r="C59" s="1"/>
      <c r="D59" s="1"/>
      <c r="E59" s="1"/>
      <c r="F59" s="1"/>
      <c r="G59" s="1"/>
      <c r="H59" s="1"/>
      <c r="I59" s="1"/>
      <c r="J59" s="1"/>
      <c r="K59" s="1"/>
      <c r="L59" s="1"/>
      <c r="M59" s="1"/>
      <c r="N59" s="1"/>
      <c r="O59" s="1"/>
      <c r="P59" s="1"/>
      <c r="Q59" s="1"/>
      <c r="R59" s="1"/>
      <c r="S59" s="1"/>
      <c r="T59" s="1"/>
      <c r="U59" s="1"/>
      <c r="V59" s="1"/>
    </row>
    <row r="60" spans="1:22" ht="12.75" customHeight="1" x14ac:dyDescent="0.2">
      <c r="A60" s="1"/>
      <c r="B60" s="1"/>
      <c r="C60" s="1"/>
      <c r="D60" s="1"/>
      <c r="E60" s="1"/>
      <c r="F60" s="1"/>
      <c r="G60" s="1"/>
      <c r="H60" s="1"/>
      <c r="I60" s="1"/>
      <c r="J60" s="1"/>
      <c r="K60" s="1"/>
      <c r="L60" s="1"/>
      <c r="M60" s="1"/>
      <c r="N60" s="1"/>
      <c r="O60" s="1"/>
      <c r="P60" s="1"/>
      <c r="Q60" s="1"/>
      <c r="R60" s="1"/>
      <c r="S60" s="1"/>
      <c r="T60" s="1"/>
      <c r="U60" s="1"/>
      <c r="V60" s="1"/>
    </row>
    <row r="61" spans="1:22" ht="12.75" customHeight="1" x14ac:dyDescent="0.2">
      <c r="A61" s="1"/>
      <c r="B61" s="1"/>
      <c r="C61" s="1"/>
      <c r="D61" s="1"/>
      <c r="E61" s="1"/>
      <c r="F61" s="1"/>
      <c r="G61" s="1"/>
      <c r="H61" s="1"/>
      <c r="I61" s="1"/>
      <c r="J61" s="1"/>
      <c r="K61" s="1"/>
      <c r="L61" s="1"/>
      <c r="M61" s="1"/>
      <c r="N61" s="1"/>
      <c r="O61" s="1"/>
      <c r="P61" s="1"/>
      <c r="Q61" s="1"/>
      <c r="R61" s="1"/>
      <c r="S61" s="1"/>
      <c r="T61" s="1"/>
      <c r="U61" s="1"/>
      <c r="V61" s="1"/>
    </row>
    <row r="62" spans="1:22" ht="12.75" customHeight="1" x14ac:dyDescent="0.2">
      <c r="A62" s="1"/>
      <c r="B62" s="1"/>
      <c r="C62" s="1"/>
      <c r="D62" s="1"/>
      <c r="E62" s="1"/>
      <c r="F62" s="1"/>
      <c r="G62" s="1"/>
      <c r="H62" s="1"/>
      <c r="I62" s="1"/>
      <c r="J62" s="1"/>
      <c r="K62" s="1"/>
      <c r="L62" s="1"/>
      <c r="M62" s="1"/>
      <c r="N62" s="1"/>
      <c r="O62" s="1"/>
      <c r="P62" s="1"/>
      <c r="Q62" s="1"/>
      <c r="R62" s="1"/>
      <c r="S62" s="1"/>
      <c r="T62" s="1"/>
      <c r="U62" s="1"/>
      <c r="V62" s="1"/>
    </row>
    <row r="63" spans="1:22" ht="12.75" customHeight="1" x14ac:dyDescent="0.2">
      <c r="A63" s="1"/>
      <c r="B63" s="1"/>
      <c r="C63" s="1"/>
      <c r="D63" s="1"/>
      <c r="E63" s="1"/>
      <c r="F63" s="1"/>
      <c r="G63" s="1"/>
      <c r="H63" s="1"/>
      <c r="I63" s="1"/>
      <c r="J63" s="1"/>
      <c r="K63" s="1"/>
      <c r="L63" s="1"/>
      <c r="M63" s="1"/>
      <c r="N63" s="1"/>
      <c r="O63" s="1"/>
      <c r="P63" s="1"/>
      <c r="Q63" s="1"/>
      <c r="R63" s="1"/>
      <c r="S63" s="1"/>
      <c r="T63" s="1"/>
      <c r="U63" s="1"/>
      <c r="V63" s="1"/>
    </row>
    <row r="64" spans="1:22" ht="12.75" customHeight="1" x14ac:dyDescent="0.2">
      <c r="A64" s="1"/>
      <c r="B64" s="1"/>
      <c r="C64" s="1"/>
      <c r="D64" s="1"/>
      <c r="E64" s="1"/>
      <c r="F64" s="1"/>
      <c r="G64" s="1"/>
      <c r="H64" s="1"/>
      <c r="I64" s="1"/>
      <c r="J64" s="1"/>
      <c r="K64" s="1"/>
      <c r="L64" s="1"/>
      <c r="M64" s="1"/>
      <c r="N64" s="1"/>
      <c r="O64" s="1"/>
      <c r="P64" s="1"/>
      <c r="Q64" s="1"/>
      <c r="R64" s="1"/>
      <c r="S64" s="1"/>
      <c r="T64" s="1"/>
      <c r="U64" s="1"/>
      <c r="V64" s="1"/>
    </row>
    <row r="65" spans="1:22" ht="12.75" customHeight="1" x14ac:dyDescent="0.2">
      <c r="A65" s="1"/>
      <c r="B65" s="1"/>
      <c r="C65" s="1"/>
      <c r="D65" s="1"/>
      <c r="E65" s="1"/>
      <c r="F65" s="1"/>
      <c r="G65" s="1"/>
      <c r="H65" s="1"/>
      <c r="I65" s="1"/>
      <c r="J65" s="1"/>
      <c r="K65" s="1"/>
      <c r="L65" s="1"/>
      <c r="M65" s="1"/>
      <c r="N65" s="1"/>
      <c r="O65" s="1"/>
      <c r="P65" s="1"/>
      <c r="Q65" s="1"/>
      <c r="R65" s="1"/>
      <c r="S65" s="1"/>
      <c r="T65" s="1"/>
      <c r="U65" s="1"/>
      <c r="V65" s="1"/>
    </row>
    <row r="66" spans="1:22" ht="12.75" customHeight="1" x14ac:dyDescent="0.2">
      <c r="A66" s="1"/>
      <c r="B66" s="1"/>
      <c r="C66" s="1"/>
      <c r="D66" s="1"/>
      <c r="E66" s="1"/>
      <c r="F66" s="1"/>
      <c r="G66" s="1"/>
      <c r="H66" s="1"/>
      <c r="I66" s="1"/>
      <c r="J66" s="1"/>
      <c r="K66" s="1"/>
      <c r="L66" s="1"/>
      <c r="M66" s="1"/>
      <c r="N66" s="1"/>
      <c r="O66" s="1"/>
      <c r="P66" s="1"/>
      <c r="Q66" s="1"/>
      <c r="R66" s="1"/>
      <c r="S66" s="1"/>
      <c r="T66" s="1"/>
      <c r="U66" s="1"/>
      <c r="V66" s="1"/>
    </row>
    <row r="67" spans="1:22" ht="12.75" customHeight="1" x14ac:dyDescent="0.2">
      <c r="A67" s="1"/>
      <c r="B67" s="1"/>
      <c r="C67" s="1"/>
      <c r="D67" s="1"/>
      <c r="E67" s="1"/>
      <c r="F67" s="1"/>
      <c r="G67" s="1"/>
      <c r="H67" s="1"/>
      <c r="I67" s="1"/>
      <c r="J67" s="1"/>
      <c r="K67" s="1"/>
      <c r="L67" s="1"/>
      <c r="M67" s="1"/>
      <c r="N67" s="1"/>
      <c r="O67" s="1"/>
      <c r="P67" s="1"/>
      <c r="Q67" s="1"/>
      <c r="R67" s="1"/>
      <c r="S67" s="1"/>
      <c r="T67" s="1"/>
      <c r="U67" s="1"/>
      <c r="V67" s="1"/>
    </row>
    <row r="68" spans="1:22" ht="12.75" customHeight="1" x14ac:dyDescent="0.2">
      <c r="A68" s="1"/>
      <c r="B68" s="1"/>
      <c r="C68" s="1"/>
      <c r="D68" s="1"/>
      <c r="E68" s="1"/>
      <c r="F68" s="1"/>
      <c r="G68" s="1"/>
      <c r="H68" s="1"/>
      <c r="I68" s="1"/>
      <c r="J68" s="1"/>
      <c r="K68" s="1"/>
      <c r="L68" s="1"/>
      <c r="M68" s="1"/>
      <c r="N68" s="1"/>
      <c r="O68" s="1"/>
      <c r="P68" s="1"/>
      <c r="Q68" s="1"/>
      <c r="R68" s="1"/>
      <c r="S68" s="1"/>
      <c r="T68" s="1"/>
      <c r="U68" s="1"/>
      <c r="V68" s="1"/>
    </row>
    <row r="69" spans="1:22" ht="12.75" customHeight="1" x14ac:dyDescent="0.2">
      <c r="A69" s="1"/>
      <c r="B69" s="1"/>
      <c r="C69" s="1"/>
      <c r="D69" s="1"/>
      <c r="E69" s="1"/>
      <c r="F69" s="1"/>
      <c r="G69" s="1"/>
      <c r="H69" s="1"/>
      <c r="I69" s="1"/>
      <c r="J69" s="1"/>
      <c r="K69" s="1"/>
      <c r="L69" s="1"/>
      <c r="M69" s="1"/>
      <c r="N69" s="1"/>
      <c r="O69" s="1"/>
      <c r="P69" s="1"/>
      <c r="Q69" s="1"/>
      <c r="R69" s="1"/>
      <c r="S69" s="1"/>
      <c r="T69" s="1"/>
      <c r="U69" s="1"/>
      <c r="V69" s="1"/>
    </row>
    <row r="70" spans="1:22" ht="12.75" customHeight="1" x14ac:dyDescent="0.2">
      <c r="A70" s="1"/>
      <c r="B70" s="1"/>
      <c r="C70" s="1"/>
      <c r="D70" s="1"/>
      <c r="E70" s="1"/>
      <c r="F70" s="1"/>
      <c r="G70" s="1"/>
      <c r="H70" s="1"/>
      <c r="I70" s="1"/>
      <c r="J70" s="1"/>
      <c r="K70" s="1"/>
      <c r="L70" s="1"/>
      <c r="M70" s="1"/>
      <c r="N70" s="1"/>
      <c r="O70" s="1"/>
      <c r="P70" s="1"/>
      <c r="Q70" s="1"/>
      <c r="R70" s="1"/>
      <c r="S70" s="1"/>
      <c r="T70" s="1"/>
      <c r="U70" s="1"/>
      <c r="V70" s="1"/>
    </row>
    <row r="71" spans="1:22" ht="12.75" customHeight="1" x14ac:dyDescent="0.2">
      <c r="A71" s="1"/>
      <c r="B71" s="1"/>
      <c r="C71" s="1"/>
      <c r="D71" s="1"/>
      <c r="E71" s="1"/>
      <c r="F71" s="1"/>
      <c r="G71" s="1"/>
      <c r="H71" s="1"/>
      <c r="I71" s="1"/>
      <c r="J71" s="1"/>
      <c r="K71" s="1"/>
      <c r="L71" s="1"/>
      <c r="M71" s="1"/>
      <c r="N71" s="1"/>
      <c r="O71" s="1"/>
      <c r="P71" s="1"/>
      <c r="Q71" s="1"/>
      <c r="R71" s="1"/>
      <c r="S71" s="1"/>
      <c r="T71" s="1"/>
      <c r="U71" s="1"/>
      <c r="V71" s="1"/>
    </row>
    <row r="72" spans="1:22" ht="12.75" customHeight="1" x14ac:dyDescent="0.2">
      <c r="A72" s="1"/>
      <c r="B72" s="1"/>
      <c r="C72" s="1"/>
      <c r="D72" s="1"/>
      <c r="E72" s="1"/>
      <c r="F72" s="1"/>
      <c r="G72" s="1"/>
      <c r="H72" s="1"/>
      <c r="I72" s="1"/>
      <c r="J72" s="1"/>
      <c r="K72" s="1"/>
      <c r="L72" s="1"/>
      <c r="M72" s="1"/>
      <c r="N72" s="1"/>
      <c r="O72" s="1"/>
      <c r="P72" s="1"/>
      <c r="Q72" s="1"/>
      <c r="R72" s="1"/>
      <c r="S72" s="1"/>
      <c r="T72" s="1"/>
      <c r="U72" s="1"/>
      <c r="V72" s="1"/>
    </row>
    <row r="73" spans="1:22" ht="12.75" customHeight="1" x14ac:dyDescent="0.2">
      <c r="A73" s="1"/>
      <c r="B73" s="1"/>
      <c r="C73" s="1"/>
      <c r="D73" s="1"/>
      <c r="E73" s="1"/>
      <c r="F73" s="1"/>
      <c r="G73" s="1"/>
      <c r="H73" s="1"/>
      <c r="I73" s="1"/>
      <c r="J73" s="1"/>
      <c r="K73" s="1"/>
      <c r="L73" s="1"/>
      <c r="M73" s="1"/>
      <c r="N73" s="1"/>
      <c r="O73" s="1"/>
      <c r="P73" s="1"/>
      <c r="Q73" s="1"/>
      <c r="R73" s="1"/>
      <c r="S73" s="1"/>
      <c r="T73" s="1"/>
      <c r="U73" s="1"/>
      <c r="V73" s="1"/>
    </row>
    <row r="74" spans="1:22" ht="12.75" customHeight="1" x14ac:dyDescent="0.2">
      <c r="A74" s="1"/>
      <c r="B74" s="1"/>
      <c r="C74" s="1"/>
      <c r="D74" s="1"/>
      <c r="E74" s="1"/>
      <c r="F74" s="1"/>
      <c r="G74" s="1"/>
      <c r="H74" s="1"/>
      <c r="I74" s="1"/>
      <c r="J74" s="1"/>
      <c r="K74" s="1"/>
      <c r="L74" s="1"/>
      <c r="M74" s="1"/>
      <c r="N74" s="1"/>
      <c r="O74" s="1"/>
      <c r="P74" s="1"/>
      <c r="Q74" s="1"/>
      <c r="R74" s="1"/>
      <c r="S74" s="1"/>
      <c r="T74" s="1"/>
      <c r="U74" s="1"/>
      <c r="V74" s="1"/>
    </row>
    <row r="75" spans="1:22" ht="12.75" customHeight="1" x14ac:dyDescent="0.2">
      <c r="A75" s="1"/>
      <c r="B75" s="1"/>
      <c r="C75" s="1"/>
      <c r="D75" s="1"/>
      <c r="E75" s="1"/>
      <c r="F75" s="1"/>
      <c r="G75" s="1"/>
      <c r="H75" s="1"/>
      <c r="I75" s="1"/>
      <c r="J75" s="1"/>
      <c r="K75" s="1"/>
      <c r="L75" s="1"/>
      <c r="M75" s="1"/>
      <c r="N75" s="1"/>
      <c r="O75" s="1"/>
      <c r="P75" s="1"/>
      <c r="Q75" s="1"/>
      <c r="R75" s="1"/>
      <c r="S75" s="1"/>
      <c r="T75" s="1"/>
      <c r="U75" s="1"/>
      <c r="V75" s="1"/>
    </row>
    <row r="76" spans="1:22" ht="12.75" customHeight="1" x14ac:dyDescent="0.2">
      <c r="A76" s="1"/>
      <c r="B76" s="1"/>
      <c r="C76" s="1"/>
      <c r="D76" s="1"/>
      <c r="E76" s="1"/>
      <c r="F76" s="1"/>
      <c r="G76" s="1"/>
      <c r="H76" s="1"/>
      <c r="I76" s="1"/>
      <c r="J76" s="1"/>
      <c r="K76" s="1"/>
      <c r="L76" s="1"/>
      <c r="M76" s="1"/>
      <c r="N76" s="1"/>
      <c r="O76" s="1"/>
      <c r="P76" s="1"/>
      <c r="Q76" s="1"/>
      <c r="R76" s="1"/>
      <c r="S76" s="1"/>
      <c r="T76" s="1"/>
      <c r="U76" s="1"/>
      <c r="V76" s="1"/>
    </row>
    <row r="77" spans="1:22" ht="12.75" customHeight="1" x14ac:dyDescent="0.2">
      <c r="A77" s="1"/>
      <c r="B77" s="1"/>
      <c r="C77" s="1"/>
      <c r="D77" s="1"/>
      <c r="E77" s="1"/>
      <c r="F77" s="1"/>
      <c r="G77" s="1"/>
      <c r="H77" s="1"/>
      <c r="I77" s="1"/>
      <c r="J77" s="1"/>
      <c r="K77" s="1"/>
      <c r="L77" s="1"/>
      <c r="M77" s="1"/>
      <c r="N77" s="1"/>
      <c r="O77" s="1"/>
      <c r="P77" s="1"/>
      <c r="Q77" s="1"/>
      <c r="R77" s="1"/>
      <c r="S77" s="1"/>
      <c r="T77" s="1"/>
      <c r="U77" s="1"/>
      <c r="V77" s="1"/>
    </row>
    <row r="78" spans="1:22" ht="12.75" customHeight="1" x14ac:dyDescent="0.2">
      <c r="A78" s="1"/>
      <c r="B78" s="1"/>
      <c r="C78" s="1"/>
      <c r="D78" s="1"/>
      <c r="E78" s="1"/>
      <c r="F78" s="1"/>
      <c r="G78" s="1"/>
      <c r="H78" s="1"/>
      <c r="I78" s="1"/>
      <c r="J78" s="1"/>
      <c r="K78" s="1"/>
      <c r="L78" s="1"/>
      <c r="M78" s="1"/>
      <c r="N78" s="1"/>
      <c r="O78" s="1"/>
      <c r="P78" s="1"/>
      <c r="Q78" s="1"/>
      <c r="R78" s="1"/>
      <c r="S78" s="1"/>
      <c r="T78" s="1"/>
      <c r="U78" s="1"/>
      <c r="V78" s="1"/>
    </row>
    <row r="79" spans="1:22" ht="12.75" customHeight="1" x14ac:dyDescent="0.2">
      <c r="A79" s="1"/>
      <c r="B79" s="1"/>
      <c r="C79" s="1"/>
      <c r="D79" s="1"/>
      <c r="E79" s="1"/>
      <c r="F79" s="1"/>
      <c r="G79" s="1"/>
      <c r="H79" s="1"/>
      <c r="I79" s="1"/>
      <c r="J79" s="1"/>
      <c r="K79" s="1"/>
      <c r="L79" s="1"/>
      <c r="M79" s="1"/>
      <c r="N79" s="1"/>
      <c r="O79" s="1"/>
      <c r="P79" s="1"/>
      <c r="Q79" s="1"/>
      <c r="R79" s="1"/>
      <c r="S79" s="1"/>
      <c r="T79" s="1"/>
      <c r="U79" s="1"/>
      <c r="V79" s="1"/>
    </row>
    <row r="80" spans="1:22" ht="12.75" customHeight="1" x14ac:dyDescent="0.2">
      <c r="A80" s="1"/>
      <c r="B80" s="1"/>
      <c r="C80" s="1"/>
      <c r="D80" s="1"/>
      <c r="E80" s="1"/>
      <c r="F80" s="1"/>
      <c r="G80" s="1"/>
      <c r="H80" s="1"/>
      <c r="I80" s="1"/>
      <c r="J80" s="1"/>
      <c r="K80" s="1"/>
      <c r="L80" s="1"/>
      <c r="M80" s="1"/>
      <c r="N80" s="1"/>
      <c r="O80" s="1"/>
      <c r="P80" s="1"/>
      <c r="Q80" s="1"/>
      <c r="R80" s="1"/>
      <c r="S80" s="1"/>
      <c r="T80" s="1"/>
      <c r="U80" s="1"/>
      <c r="V80" s="1"/>
    </row>
    <row r="81" spans="1:22" ht="12.75" customHeight="1" x14ac:dyDescent="0.2">
      <c r="A81" s="1"/>
      <c r="B81" s="1"/>
      <c r="C81" s="1"/>
      <c r="D81" s="1"/>
      <c r="E81" s="1"/>
      <c r="F81" s="1"/>
      <c r="G81" s="1"/>
      <c r="H81" s="1"/>
      <c r="I81" s="1"/>
      <c r="J81" s="1"/>
      <c r="K81" s="1"/>
      <c r="L81" s="1"/>
      <c r="M81" s="1"/>
      <c r="N81" s="1"/>
      <c r="O81" s="1"/>
      <c r="P81" s="1"/>
      <c r="Q81" s="1"/>
      <c r="R81" s="1"/>
      <c r="S81" s="1"/>
      <c r="T81" s="1"/>
      <c r="U81" s="1"/>
      <c r="V81" s="1"/>
    </row>
    <row r="82" spans="1:22" ht="12.75" customHeight="1" x14ac:dyDescent="0.2">
      <c r="A82" s="1"/>
      <c r="B82" s="1"/>
      <c r="C82" s="1"/>
      <c r="D82" s="1"/>
      <c r="E82" s="1"/>
      <c r="F82" s="1"/>
      <c r="G82" s="1"/>
      <c r="H82" s="1"/>
      <c r="I82" s="1"/>
      <c r="J82" s="1"/>
      <c r="K82" s="1"/>
      <c r="L82" s="1"/>
      <c r="M82" s="1"/>
      <c r="N82" s="1"/>
      <c r="O82" s="1"/>
      <c r="P82" s="1"/>
      <c r="Q82" s="1"/>
      <c r="R82" s="1"/>
      <c r="S82" s="1"/>
      <c r="T82" s="1"/>
      <c r="U82" s="1"/>
      <c r="V82" s="1"/>
    </row>
    <row r="83" spans="1:22" ht="12.75" customHeight="1" x14ac:dyDescent="0.2">
      <c r="A83" s="1"/>
      <c r="B83" s="1"/>
      <c r="C83" s="1"/>
      <c r="D83" s="1"/>
      <c r="E83" s="1"/>
      <c r="F83" s="1"/>
      <c r="G83" s="1"/>
      <c r="H83" s="1"/>
      <c r="I83" s="1"/>
      <c r="J83" s="1"/>
      <c r="K83" s="1"/>
      <c r="L83" s="1"/>
      <c r="M83" s="1"/>
      <c r="N83" s="1"/>
      <c r="O83" s="1"/>
      <c r="P83" s="1"/>
      <c r="Q83" s="1"/>
      <c r="R83" s="1"/>
      <c r="S83" s="1"/>
      <c r="T83" s="1"/>
      <c r="U83" s="1"/>
      <c r="V83" s="1"/>
    </row>
    <row r="84" spans="1:22" ht="12.75" customHeight="1" x14ac:dyDescent="0.2">
      <c r="A84" s="1"/>
      <c r="B84" s="1"/>
      <c r="C84" s="1"/>
      <c r="D84" s="1"/>
      <c r="E84" s="1"/>
      <c r="F84" s="1"/>
      <c r="G84" s="1"/>
      <c r="H84" s="1"/>
      <c r="I84" s="1"/>
      <c r="J84" s="1"/>
      <c r="K84" s="1"/>
      <c r="L84" s="1"/>
      <c r="M84" s="1"/>
      <c r="N84" s="1"/>
      <c r="O84" s="1"/>
      <c r="P84" s="1"/>
      <c r="Q84" s="1"/>
      <c r="R84" s="1"/>
      <c r="S84" s="1"/>
      <c r="T84" s="1"/>
      <c r="U84" s="1"/>
      <c r="V84" s="1"/>
    </row>
    <row r="85" spans="1:22" ht="12.75" customHeight="1" x14ac:dyDescent="0.2">
      <c r="A85" s="1"/>
      <c r="B85" s="1"/>
      <c r="C85" s="1"/>
      <c r="D85" s="1"/>
      <c r="E85" s="1"/>
      <c r="F85" s="1"/>
      <c r="G85" s="1"/>
      <c r="H85" s="1"/>
      <c r="I85" s="1"/>
      <c r="J85" s="1"/>
      <c r="K85" s="1"/>
      <c r="L85" s="1"/>
      <c r="M85" s="1"/>
      <c r="N85" s="1"/>
      <c r="O85" s="1"/>
      <c r="P85" s="1"/>
      <c r="Q85" s="1"/>
      <c r="R85" s="1"/>
      <c r="S85" s="1"/>
      <c r="T85" s="1"/>
      <c r="U85" s="1"/>
      <c r="V85" s="1"/>
    </row>
    <row r="86" spans="1:22" ht="12.75" customHeight="1" x14ac:dyDescent="0.2">
      <c r="A86" s="1"/>
      <c r="B86" s="1"/>
      <c r="C86" s="1"/>
      <c r="D86" s="1"/>
      <c r="E86" s="1"/>
      <c r="F86" s="1"/>
      <c r="G86" s="1"/>
      <c r="H86" s="1"/>
      <c r="I86" s="1"/>
      <c r="J86" s="1"/>
      <c r="K86" s="1"/>
      <c r="L86" s="1"/>
      <c r="M86" s="1"/>
      <c r="N86" s="1"/>
      <c r="O86" s="1"/>
      <c r="P86" s="1"/>
      <c r="Q86" s="1"/>
      <c r="R86" s="1"/>
      <c r="S86" s="1"/>
      <c r="T86" s="1"/>
      <c r="U86" s="1"/>
      <c r="V86" s="1"/>
    </row>
    <row r="87" spans="1:22" ht="12.75" customHeight="1" x14ac:dyDescent="0.2">
      <c r="A87" s="1"/>
      <c r="B87" s="1"/>
      <c r="C87" s="1"/>
      <c r="D87" s="1"/>
      <c r="E87" s="1"/>
      <c r="F87" s="1"/>
      <c r="G87" s="1"/>
      <c r="H87" s="1"/>
      <c r="I87" s="1"/>
      <c r="J87" s="1"/>
      <c r="K87" s="1"/>
      <c r="L87" s="1"/>
      <c r="M87" s="1"/>
      <c r="N87" s="1"/>
      <c r="O87" s="1"/>
      <c r="P87" s="1"/>
      <c r="Q87" s="1"/>
      <c r="R87" s="1"/>
      <c r="S87" s="1"/>
      <c r="T87" s="1"/>
      <c r="U87" s="1"/>
      <c r="V87" s="1"/>
    </row>
    <row r="88" spans="1:22" ht="12.75" customHeight="1" x14ac:dyDescent="0.2">
      <c r="A88" s="1"/>
      <c r="B88" s="1"/>
      <c r="C88" s="1"/>
      <c r="D88" s="1"/>
      <c r="E88" s="1"/>
      <c r="F88" s="1"/>
      <c r="G88" s="1"/>
      <c r="H88" s="1"/>
      <c r="I88" s="1"/>
      <c r="J88" s="1"/>
      <c r="K88" s="1"/>
      <c r="L88" s="1"/>
      <c r="M88" s="1"/>
      <c r="N88" s="1"/>
      <c r="O88" s="1"/>
      <c r="P88" s="1"/>
      <c r="Q88" s="1"/>
      <c r="R88" s="1"/>
      <c r="S88" s="1"/>
      <c r="T88" s="1"/>
      <c r="U88" s="1"/>
      <c r="V88" s="1"/>
    </row>
    <row r="89" spans="1:22" ht="12.75" customHeight="1" x14ac:dyDescent="0.2">
      <c r="A89" s="1"/>
      <c r="B89" s="1"/>
      <c r="C89" s="1"/>
      <c r="D89" s="1"/>
      <c r="E89" s="1"/>
      <c r="F89" s="1"/>
      <c r="G89" s="1"/>
      <c r="H89" s="1"/>
      <c r="I89" s="1"/>
      <c r="J89" s="1"/>
      <c r="K89" s="1"/>
      <c r="L89" s="1"/>
      <c r="M89" s="1"/>
      <c r="N89" s="1"/>
      <c r="O89" s="1"/>
      <c r="P89" s="1"/>
      <c r="Q89" s="1"/>
      <c r="R89" s="1"/>
      <c r="S89" s="1"/>
      <c r="T89" s="1"/>
      <c r="U89" s="1"/>
      <c r="V89" s="1"/>
    </row>
    <row r="90" spans="1:22" ht="12.75" customHeight="1" x14ac:dyDescent="0.2">
      <c r="A90" s="1"/>
      <c r="B90" s="1"/>
      <c r="C90" s="1"/>
      <c r="D90" s="1"/>
      <c r="E90" s="1"/>
      <c r="F90" s="1"/>
      <c r="G90" s="1"/>
      <c r="H90" s="1"/>
      <c r="I90" s="1"/>
      <c r="J90" s="1"/>
      <c r="K90" s="1"/>
      <c r="L90" s="1"/>
      <c r="M90" s="1"/>
      <c r="N90" s="1"/>
      <c r="O90" s="1"/>
      <c r="P90" s="1"/>
      <c r="Q90" s="1"/>
      <c r="R90" s="1"/>
      <c r="S90" s="1"/>
      <c r="T90" s="1"/>
      <c r="U90" s="1"/>
      <c r="V90" s="1"/>
    </row>
    <row r="91" spans="1:22" ht="12.75" customHeight="1" x14ac:dyDescent="0.2">
      <c r="A91" s="1"/>
      <c r="B91" s="1"/>
      <c r="C91" s="1"/>
      <c r="D91" s="1"/>
      <c r="E91" s="1"/>
      <c r="F91" s="1"/>
      <c r="G91" s="1"/>
      <c r="H91" s="1"/>
      <c r="I91" s="1"/>
      <c r="J91" s="1"/>
      <c r="K91" s="1"/>
      <c r="L91" s="1"/>
      <c r="M91" s="1"/>
      <c r="N91" s="1"/>
      <c r="O91" s="1"/>
      <c r="P91" s="1"/>
      <c r="Q91" s="1"/>
      <c r="R91" s="1"/>
      <c r="S91" s="1"/>
      <c r="T91" s="1"/>
      <c r="U91" s="1"/>
      <c r="V91" s="1"/>
    </row>
    <row r="92" spans="1:22" ht="12.75" customHeight="1" x14ac:dyDescent="0.2">
      <c r="A92" s="1"/>
      <c r="B92" s="1"/>
      <c r="C92" s="1"/>
      <c r="D92" s="1"/>
      <c r="E92" s="1"/>
      <c r="F92" s="1"/>
      <c r="G92" s="1"/>
      <c r="H92" s="1"/>
      <c r="I92" s="1"/>
      <c r="J92" s="1"/>
      <c r="K92" s="1"/>
      <c r="L92" s="1"/>
      <c r="M92" s="1"/>
      <c r="N92" s="1"/>
      <c r="O92" s="1"/>
      <c r="P92" s="1"/>
      <c r="Q92" s="1"/>
      <c r="R92" s="1"/>
      <c r="S92" s="1"/>
      <c r="T92" s="1"/>
      <c r="U92" s="1"/>
      <c r="V92" s="1"/>
    </row>
    <row r="93" spans="1:22" ht="12.75" customHeight="1" x14ac:dyDescent="0.2">
      <c r="A93" s="1"/>
      <c r="B93" s="1"/>
      <c r="C93" s="1"/>
      <c r="D93" s="1"/>
      <c r="E93" s="1"/>
      <c r="F93" s="1"/>
      <c r="G93" s="1"/>
      <c r="H93" s="1"/>
      <c r="I93" s="1"/>
      <c r="J93" s="1"/>
      <c r="K93" s="1"/>
      <c r="L93" s="1"/>
      <c r="M93" s="1"/>
      <c r="N93" s="1"/>
      <c r="O93" s="1"/>
      <c r="P93" s="1"/>
      <c r="Q93" s="1"/>
      <c r="R93" s="1"/>
      <c r="S93" s="1"/>
      <c r="T93" s="1"/>
      <c r="U93" s="1"/>
      <c r="V93" s="1"/>
    </row>
    <row r="94" spans="1:22" ht="12.75" customHeight="1" x14ac:dyDescent="0.2">
      <c r="A94" s="1"/>
      <c r="B94" s="1"/>
      <c r="C94" s="1"/>
      <c r="D94" s="1"/>
      <c r="E94" s="1"/>
      <c r="F94" s="1"/>
      <c r="G94" s="1"/>
      <c r="H94" s="1"/>
      <c r="I94" s="1"/>
      <c r="J94" s="1"/>
      <c r="K94" s="1"/>
      <c r="L94" s="1"/>
      <c r="M94" s="1"/>
      <c r="N94" s="1"/>
      <c r="O94" s="1"/>
      <c r="P94" s="1"/>
      <c r="Q94" s="1"/>
      <c r="R94" s="1"/>
      <c r="S94" s="1"/>
      <c r="T94" s="1"/>
      <c r="U94" s="1"/>
      <c r="V94" s="1"/>
    </row>
    <row r="95" spans="1:22" ht="12.75" customHeight="1" x14ac:dyDescent="0.2">
      <c r="A95" s="1"/>
      <c r="B95" s="1"/>
      <c r="C95" s="1"/>
      <c r="D95" s="1"/>
      <c r="E95" s="1"/>
      <c r="F95" s="1"/>
      <c r="G95" s="1"/>
      <c r="H95" s="1"/>
      <c r="I95" s="1"/>
      <c r="J95" s="1"/>
      <c r="K95" s="1"/>
      <c r="L95" s="1"/>
      <c r="M95" s="1"/>
      <c r="N95" s="1"/>
      <c r="O95" s="1"/>
      <c r="P95" s="1"/>
      <c r="Q95" s="1"/>
      <c r="R95" s="1"/>
      <c r="S95" s="1"/>
      <c r="T95" s="1"/>
      <c r="U95" s="1"/>
      <c r="V95" s="1"/>
    </row>
    <row r="96" spans="1:22" ht="12.75" customHeight="1" x14ac:dyDescent="0.2">
      <c r="A96" s="1"/>
      <c r="B96" s="1"/>
      <c r="C96" s="1"/>
      <c r="D96" s="1"/>
      <c r="E96" s="1"/>
      <c r="F96" s="1"/>
      <c r="G96" s="1"/>
      <c r="H96" s="1"/>
      <c r="I96" s="1"/>
      <c r="J96" s="1"/>
      <c r="K96" s="1"/>
      <c r="L96" s="1"/>
      <c r="M96" s="1"/>
      <c r="N96" s="1"/>
      <c r="O96" s="1"/>
      <c r="P96" s="1"/>
      <c r="Q96" s="1"/>
      <c r="R96" s="1"/>
      <c r="S96" s="1"/>
      <c r="T96" s="1"/>
      <c r="U96" s="1"/>
      <c r="V96" s="1"/>
    </row>
    <row r="97" spans="1:22" ht="12.75" customHeight="1" x14ac:dyDescent="0.2">
      <c r="A97" s="1"/>
      <c r="B97" s="1"/>
      <c r="C97" s="1"/>
      <c r="D97" s="1"/>
      <c r="E97" s="1"/>
      <c r="F97" s="1"/>
      <c r="G97" s="1"/>
      <c r="H97" s="1"/>
      <c r="I97" s="1"/>
      <c r="J97" s="1"/>
      <c r="K97" s="1"/>
      <c r="L97" s="1"/>
      <c r="M97" s="1"/>
      <c r="N97" s="1"/>
      <c r="O97" s="1"/>
      <c r="P97" s="1"/>
      <c r="Q97" s="1"/>
      <c r="R97" s="1"/>
      <c r="S97" s="1"/>
      <c r="T97" s="1"/>
      <c r="U97" s="1"/>
      <c r="V97" s="1"/>
    </row>
    <row r="98" spans="1:22" ht="12.75" customHeight="1" x14ac:dyDescent="0.2">
      <c r="A98" s="1"/>
      <c r="B98" s="1"/>
      <c r="C98" s="1"/>
      <c r="D98" s="1"/>
      <c r="E98" s="1"/>
      <c r="F98" s="1"/>
      <c r="G98" s="1"/>
      <c r="H98" s="1"/>
      <c r="I98" s="1"/>
      <c r="J98" s="1"/>
      <c r="K98" s="1"/>
      <c r="L98" s="1"/>
      <c r="M98" s="1"/>
      <c r="N98" s="1"/>
      <c r="O98" s="1"/>
      <c r="P98" s="1"/>
      <c r="Q98" s="1"/>
      <c r="R98" s="1"/>
      <c r="S98" s="1"/>
      <c r="T98" s="1"/>
      <c r="U98" s="1"/>
      <c r="V98" s="1"/>
    </row>
    <row r="99" spans="1:22" ht="12.75" customHeight="1" x14ac:dyDescent="0.2">
      <c r="A99" s="1"/>
      <c r="B99" s="1"/>
      <c r="C99" s="1"/>
      <c r="D99" s="1"/>
      <c r="E99" s="1"/>
      <c r="F99" s="1"/>
      <c r="G99" s="1"/>
      <c r="H99" s="1"/>
      <c r="I99" s="1"/>
      <c r="J99" s="1"/>
      <c r="K99" s="1"/>
      <c r="L99" s="1"/>
      <c r="M99" s="1"/>
      <c r="N99" s="1"/>
      <c r="O99" s="1"/>
      <c r="P99" s="1"/>
      <c r="Q99" s="1"/>
      <c r="R99" s="1"/>
      <c r="S99" s="1"/>
      <c r="T99" s="1"/>
      <c r="U99" s="1"/>
      <c r="V99" s="1"/>
    </row>
    <row r="100" spans="1:22"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row>
    <row r="101" spans="1:22"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row>
    <row r="102" spans="1:22"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row>
    <row r="103" spans="1:22"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row>
    <row r="104" spans="1:22"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row>
    <row r="105" spans="1:22"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row>
    <row r="106" spans="1:22"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row>
    <row r="107" spans="1:22"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row>
    <row r="108" spans="1:22"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row>
    <row r="109" spans="1:22"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row>
    <row r="110" spans="1:22"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row>
    <row r="111" spans="1:22"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row>
    <row r="112" spans="1:22"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row>
    <row r="113" spans="1:22"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row>
    <row r="114" spans="1:22"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row>
    <row r="115" spans="1:22"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row>
    <row r="116" spans="1:22"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row>
    <row r="117" spans="1:22"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row>
    <row r="118" spans="1:22"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row>
    <row r="119" spans="1:22"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row>
    <row r="120" spans="1:22"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row>
    <row r="121" spans="1:22"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row>
    <row r="122" spans="1:22"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row>
    <row r="123" spans="1:22"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row>
    <row r="124" spans="1:22"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row>
    <row r="125" spans="1:22"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row>
    <row r="126" spans="1:22"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row>
    <row r="127" spans="1:22"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row>
    <row r="128" spans="1:22"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row>
    <row r="129" spans="1:22"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row>
    <row r="130" spans="1:22"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row>
    <row r="131" spans="1:22"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row>
    <row r="132" spans="1:22"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row>
    <row r="133" spans="1:22"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row>
    <row r="134" spans="1:22"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row>
    <row r="135" spans="1:22"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row>
    <row r="136" spans="1:22"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row>
    <row r="137" spans="1:22"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row>
    <row r="138" spans="1:22"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row>
    <row r="139" spans="1:22"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row>
    <row r="140" spans="1:22"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row>
    <row r="141" spans="1:22"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row>
    <row r="142" spans="1:22"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row>
    <row r="143" spans="1:22"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row>
    <row r="144" spans="1:22"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row>
    <row r="145" spans="1:22"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row>
    <row r="146" spans="1:22"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row>
    <row r="147" spans="1:22"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row>
    <row r="148" spans="1:22"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row>
    <row r="149" spans="1:22"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row>
    <row r="150" spans="1:22"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row>
    <row r="151" spans="1:22"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row>
    <row r="152" spans="1:22"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row>
    <row r="153" spans="1:22"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row>
    <row r="154" spans="1:22"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row>
    <row r="155" spans="1:22"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row>
    <row r="156" spans="1:22"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row>
    <row r="157" spans="1:22"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row>
    <row r="158" spans="1:22"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row>
    <row r="159" spans="1:22"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row>
    <row r="160" spans="1:22"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row>
    <row r="161" spans="1:22"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row>
    <row r="162" spans="1:22"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row>
    <row r="163" spans="1:22"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row>
    <row r="164" spans="1:22"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row>
    <row r="165" spans="1:22"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row>
    <row r="166" spans="1:22"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row>
    <row r="167" spans="1:22"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row>
    <row r="168" spans="1:22"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row>
    <row r="169" spans="1:22"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row>
    <row r="170" spans="1:22"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row>
    <row r="171" spans="1:22"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row>
    <row r="172" spans="1:22"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row>
    <row r="173" spans="1:22"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row>
    <row r="174" spans="1:22"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row>
    <row r="175" spans="1:22"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row>
    <row r="176" spans="1:22"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row>
    <row r="177" spans="1:22"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row>
    <row r="178" spans="1:22"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row>
    <row r="179" spans="1:22"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row>
    <row r="180" spans="1:22"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row>
    <row r="181" spans="1:22"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row>
    <row r="182" spans="1:22"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row>
    <row r="183" spans="1:22"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row>
    <row r="184" spans="1:22"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row>
    <row r="185" spans="1:22"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row>
    <row r="186" spans="1:22"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row>
    <row r="187" spans="1:22"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row>
    <row r="188" spans="1:22"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row>
    <row r="189" spans="1:22"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row>
    <row r="190" spans="1:22"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row>
    <row r="191" spans="1:22"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row>
    <row r="192" spans="1:22"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row>
    <row r="193" spans="1:22"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row>
    <row r="194" spans="1:22"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row>
    <row r="195" spans="1:22"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row>
    <row r="196" spans="1:22"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row>
    <row r="197" spans="1:22"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row>
    <row r="198" spans="1:22"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row>
    <row r="199" spans="1:22"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row>
    <row r="200" spans="1:22"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row>
    <row r="201" spans="1:22"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row>
    <row r="202" spans="1:22"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row>
    <row r="203" spans="1:22"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row>
    <row r="204" spans="1:22"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row>
    <row r="205" spans="1:22"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row>
    <row r="206" spans="1:22"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row>
    <row r="207" spans="1:22"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row>
    <row r="208" spans="1:22"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row>
    <row r="209" spans="1:22"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row>
    <row r="210" spans="1:22"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row>
    <row r="211" spans="1:22"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row>
    <row r="212" spans="1:22"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row>
    <row r="213" spans="1:22"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row>
    <row r="214" spans="1:22"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row>
    <row r="215" spans="1:22"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row>
    <row r="216" spans="1:22"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row>
    <row r="217" spans="1:22"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row>
    <row r="218" spans="1:22"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row>
    <row r="219" spans="1:22"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row>
    <row r="220" spans="1:22"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row>
    <row r="221" spans="1:22"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row>
    <row r="222" spans="1:22"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row>
    <row r="223" spans="1:22"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row>
    <row r="224" spans="1:22"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row>
    <row r="225" spans="1:22"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row>
    <row r="226" spans="1:22"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row>
    <row r="227" spans="1:22"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row>
    <row r="228" spans="1:22"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row>
    <row r="229" spans="1:22"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row>
    <row r="230" spans="1:22"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row>
    <row r="231" spans="1:22"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row>
    <row r="232" spans="1:22"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row>
    <row r="233" spans="1:22"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row>
    <row r="234" spans="1:22"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row>
    <row r="235" spans="1:22"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row>
    <row r="236" spans="1:22"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row>
    <row r="237" spans="1:22"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row>
    <row r="238" spans="1:22"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row>
    <row r="239" spans="1:22"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row>
    <row r="240" spans="1:22"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row>
    <row r="241" spans="1:22"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row>
    <row r="242" spans="1:22"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row>
    <row r="243" spans="1:22"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row>
    <row r="244" spans="1:22"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row>
    <row r="245" spans="1:22"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row>
    <row r="246" spans="1:22"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row>
    <row r="247" spans="1:22"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row>
    <row r="248" spans="1:22"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row>
    <row r="249" spans="1:22"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row>
    <row r="250" spans="1:22"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row>
    <row r="251" spans="1:22"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row>
    <row r="252" spans="1:22"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row>
    <row r="253" spans="1:22"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row>
    <row r="254" spans="1:22"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row>
    <row r="255" spans="1:22"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row>
    <row r="256" spans="1:22"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row>
    <row r="257" spans="1:22"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row>
    <row r="258" spans="1:22"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row>
    <row r="259" spans="1:22"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row>
    <row r="260" spans="1:22"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row>
    <row r="261" spans="1:22"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row>
    <row r="262" spans="1:22"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row>
    <row r="263" spans="1:22"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row>
    <row r="264" spans="1:22"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row>
    <row r="265" spans="1:22"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row>
    <row r="266" spans="1:22"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row>
    <row r="267" spans="1:22"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row>
    <row r="268" spans="1:22"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row>
    <row r="269" spans="1:22"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row>
    <row r="270" spans="1:22"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row>
    <row r="271" spans="1:22"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row>
    <row r="272" spans="1:22"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row>
    <row r="273" spans="1:22"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row>
    <row r="274" spans="1:22"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row>
    <row r="275" spans="1:22"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row>
    <row r="276" spans="1:22"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row>
    <row r="277" spans="1:22"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row>
    <row r="278" spans="1:22"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row>
    <row r="279" spans="1:22"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row>
    <row r="280" spans="1:22"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row>
    <row r="281" spans="1:22"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row>
    <row r="282" spans="1:22"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row>
    <row r="283" spans="1:22"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row>
    <row r="284" spans="1:22"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row>
    <row r="285" spans="1:22"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row>
    <row r="286" spans="1:22"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row>
    <row r="287" spans="1:22"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row>
    <row r="288" spans="1:22"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row>
    <row r="289" spans="1:22"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row>
    <row r="290" spans="1:22"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row>
    <row r="291" spans="1:22"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row>
    <row r="292" spans="1:22"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row>
    <row r="293" spans="1:22"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row>
    <row r="294" spans="1:22"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row>
    <row r="295" spans="1:22"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row>
    <row r="296" spans="1:22"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row>
    <row r="297" spans="1:22"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row>
    <row r="298" spans="1:22"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row>
    <row r="299" spans="1:22"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row>
    <row r="300" spans="1:22"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row>
    <row r="301" spans="1:22"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row>
    <row r="302" spans="1:22"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row>
    <row r="303" spans="1:22"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row>
    <row r="304" spans="1:22"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row>
    <row r="305" spans="1:22"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row>
    <row r="306" spans="1:22"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row>
    <row r="307" spans="1:22"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row>
    <row r="308" spans="1:22"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row>
    <row r="309" spans="1:22"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row>
    <row r="310" spans="1:22"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row>
    <row r="311" spans="1:22"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row>
    <row r="312" spans="1:22"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row>
    <row r="313" spans="1:22"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row>
    <row r="314" spans="1:22"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row>
    <row r="315" spans="1:22"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row>
    <row r="316" spans="1:22"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row>
    <row r="317" spans="1:22"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row>
    <row r="318" spans="1:22"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row>
    <row r="319" spans="1:22"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row>
    <row r="320" spans="1:22"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row>
    <row r="321" spans="1:22"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row>
    <row r="322" spans="1:22"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row>
    <row r="323" spans="1:22"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row>
    <row r="324" spans="1:22"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row>
    <row r="325" spans="1:22"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row>
    <row r="326" spans="1:22"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row>
    <row r="327" spans="1:22"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row>
    <row r="328" spans="1:22"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row>
    <row r="329" spans="1:22"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row>
    <row r="330" spans="1:22"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row>
    <row r="331" spans="1:22"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row>
    <row r="332" spans="1:22"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row>
    <row r="333" spans="1:22"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row>
    <row r="334" spans="1:22"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row>
    <row r="335" spans="1:22"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row>
    <row r="336" spans="1:22"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row>
    <row r="337" spans="1:22"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row>
    <row r="338" spans="1:22"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row>
    <row r="339" spans="1:22"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row>
    <row r="340" spans="1:22"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row>
    <row r="341" spans="1:22"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row>
    <row r="342" spans="1:22"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row>
    <row r="343" spans="1:22"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row>
    <row r="344" spans="1:22"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row>
    <row r="345" spans="1:22"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row>
    <row r="346" spans="1:22"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row>
    <row r="347" spans="1:22"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row>
    <row r="348" spans="1:22"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row>
    <row r="349" spans="1:22"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row>
    <row r="350" spans="1:22"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row>
    <row r="351" spans="1:22"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row>
    <row r="352" spans="1:22"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row>
    <row r="353" spans="1:22"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row>
    <row r="354" spans="1:22"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row>
    <row r="355" spans="1:22"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row>
    <row r="356" spans="1:22"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row>
    <row r="357" spans="1:22"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row>
    <row r="358" spans="1:22"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row>
    <row r="359" spans="1:22"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row>
    <row r="360" spans="1:22"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row>
    <row r="361" spans="1:22"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row>
    <row r="362" spans="1:22"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row>
    <row r="363" spans="1:22"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row>
    <row r="364" spans="1:22"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row>
    <row r="365" spans="1:22"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row>
    <row r="366" spans="1:22"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row>
    <row r="367" spans="1:22"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row>
    <row r="368" spans="1:22"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row>
    <row r="369" spans="1:22"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row>
    <row r="370" spans="1:22"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row>
    <row r="371" spans="1:22"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row>
    <row r="372" spans="1:22"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row>
    <row r="373" spans="1:22"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row>
    <row r="374" spans="1:22"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row>
    <row r="375" spans="1:22"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row>
    <row r="376" spans="1:22"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row>
    <row r="377" spans="1:22"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row>
    <row r="378" spans="1:22"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row>
    <row r="379" spans="1:22"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row>
    <row r="380" spans="1:22"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row>
    <row r="381" spans="1:22"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row>
    <row r="382" spans="1:22"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row>
    <row r="383" spans="1:22"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row>
    <row r="384" spans="1:22"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row>
    <row r="385" spans="1:22"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row>
    <row r="386" spans="1:22"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row>
    <row r="387" spans="1:22"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row>
    <row r="388" spans="1:22"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row>
    <row r="389" spans="1:22"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row>
    <row r="390" spans="1:22"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row>
    <row r="391" spans="1:22"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row>
    <row r="392" spans="1:22"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row>
    <row r="393" spans="1:22"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row>
    <row r="394" spans="1:22"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row>
    <row r="395" spans="1:22"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row>
    <row r="396" spans="1:22"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row>
    <row r="397" spans="1:22"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row>
    <row r="398" spans="1:22"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row>
    <row r="399" spans="1:22"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row>
    <row r="400" spans="1:22"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row>
    <row r="401" spans="1:22"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row>
    <row r="402" spans="1:22"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row>
    <row r="403" spans="1:22"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row>
    <row r="404" spans="1:22"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row>
    <row r="405" spans="1:22"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row>
    <row r="406" spans="1:22"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row>
    <row r="407" spans="1:22"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row>
    <row r="408" spans="1:22"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row>
    <row r="409" spans="1:22"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row>
    <row r="410" spans="1:22"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row>
    <row r="411" spans="1:22"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row>
    <row r="412" spans="1:22"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row>
    <row r="413" spans="1:22"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row>
    <row r="414" spans="1:22"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row>
    <row r="415" spans="1:22"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row>
    <row r="416" spans="1:22"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row>
    <row r="417" spans="1:22"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row>
    <row r="418" spans="1:22"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row>
    <row r="419" spans="1:22"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row>
    <row r="420" spans="1:22"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row>
    <row r="421" spans="1:22"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row>
    <row r="422" spans="1:22"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row>
    <row r="423" spans="1:22"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row>
    <row r="424" spans="1:22"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row>
    <row r="425" spans="1:22"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row>
    <row r="426" spans="1:22"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row>
    <row r="427" spans="1:22"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row>
    <row r="428" spans="1:22"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row>
    <row r="429" spans="1:22"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row>
    <row r="430" spans="1:22"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row>
    <row r="431" spans="1:22"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row>
    <row r="432" spans="1:22"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row>
    <row r="433" spans="1:22"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row>
    <row r="434" spans="1:22"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row>
    <row r="435" spans="1:22"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row>
    <row r="436" spans="1:22"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row>
    <row r="437" spans="1:22"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row>
    <row r="438" spans="1:22"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row>
    <row r="439" spans="1:22"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row>
    <row r="440" spans="1:22"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row>
    <row r="441" spans="1:22"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row>
    <row r="442" spans="1:22"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row>
    <row r="443" spans="1:22"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row>
    <row r="444" spans="1:22"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row>
    <row r="445" spans="1:22"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row>
    <row r="446" spans="1:22"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row>
    <row r="447" spans="1:22"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row>
    <row r="448" spans="1:22"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row>
    <row r="449" spans="1:22"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row>
    <row r="450" spans="1:22"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row>
    <row r="451" spans="1:22"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row>
    <row r="452" spans="1:22"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row>
    <row r="453" spans="1:22"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row>
    <row r="454" spans="1:22"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row>
    <row r="455" spans="1:22"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row>
    <row r="456" spans="1:22"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row>
    <row r="457" spans="1:22"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row>
    <row r="458" spans="1:22"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row>
    <row r="459" spans="1:22"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row>
    <row r="460" spans="1:22"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row>
    <row r="461" spans="1:22"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row>
    <row r="462" spans="1:22"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row>
    <row r="463" spans="1:22"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row>
    <row r="464" spans="1:22"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row>
    <row r="465" spans="1:22"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row>
    <row r="466" spans="1:22"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row>
    <row r="467" spans="1:22"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row>
    <row r="468" spans="1:22"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row>
    <row r="469" spans="1:22"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row>
    <row r="470" spans="1:22"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row>
    <row r="471" spans="1:22"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row>
    <row r="472" spans="1:22"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row>
    <row r="473" spans="1:22"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row>
    <row r="474" spans="1:22"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row>
    <row r="475" spans="1:22"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row>
    <row r="476" spans="1:22"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row>
    <row r="477" spans="1:22"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row>
    <row r="478" spans="1:22"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row>
    <row r="479" spans="1:22"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row>
    <row r="480" spans="1:22"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row>
    <row r="481" spans="1:22"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row>
    <row r="482" spans="1:22"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row>
    <row r="483" spans="1:22"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row>
    <row r="484" spans="1:22"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row>
    <row r="485" spans="1:22"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row>
    <row r="486" spans="1:22"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row>
    <row r="487" spans="1:22"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row>
    <row r="488" spans="1:22"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row>
    <row r="489" spans="1:22"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row>
    <row r="490" spans="1:22"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row>
    <row r="491" spans="1:22"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row>
    <row r="492" spans="1:22"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row>
    <row r="493" spans="1:22"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row>
    <row r="494" spans="1:22"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row>
    <row r="495" spans="1:22"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row>
    <row r="496" spans="1:22"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row>
    <row r="497" spans="1:22"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row>
    <row r="498" spans="1:22"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row>
    <row r="499" spans="1:22"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row>
    <row r="500" spans="1:22"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row>
    <row r="501" spans="1:22"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row>
    <row r="502" spans="1:22"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row>
    <row r="503" spans="1:22"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row>
    <row r="504" spans="1:22"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row>
    <row r="505" spans="1:22"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row>
    <row r="506" spans="1:22"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row>
    <row r="507" spans="1:22"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row>
    <row r="508" spans="1:22"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row>
    <row r="509" spans="1:22"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row>
    <row r="510" spans="1:22"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row>
    <row r="511" spans="1:22"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row>
    <row r="512" spans="1:22"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row>
    <row r="513" spans="1:22"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row>
    <row r="514" spans="1:22"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row>
    <row r="515" spans="1:22"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row>
    <row r="516" spans="1:22"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row>
    <row r="517" spans="1:22"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row>
    <row r="518" spans="1:22"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row>
    <row r="519" spans="1:22"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row>
    <row r="520" spans="1:22"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row>
    <row r="521" spans="1:22"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row>
    <row r="522" spans="1:22"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row>
    <row r="523" spans="1:22"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row>
    <row r="524" spans="1:22"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row>
    <row r="525" spans="1:22"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row>
    <row r="526" spans="1:22"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row>
    <row r="527" spans="1:22"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row>
    <row r="528" spans="1:22"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row>
    <row r="529" spans="1:22"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row>
    <row r="530" spans="1:22"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row>
    <row r="531" spans="1:22"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row>
    <row r="532" spans="1:22"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row>
    <row r="533" spans="1:22"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row>
    <row r="534" spans="1:22"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row>
    <row r="535" spans="1:22"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row>
    <row r="536" spans="1:22"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row>
    <row r="537" spans="1:22"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row>
    <row r="538" spans="1:22"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row>
    <row r="539" spans="1:22"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row>
    <row r="540" spans="1:22"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row>
    <row r="541" spans="1:22"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row>
    <row r="542" spans="1:22"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row>
    <row r="543" spans="1:22"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row>
    <row r="544" spans="1:22"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row>
    <row r="545" spans="1:22"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row>
    <row r="546" spans="1:22"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row>
    <row r="547" spans="1:22"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row>
    <row r="548" spans="1:22"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row>
    <row r="549" spans="1:22"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row>
    <row r="550" spans="1:22"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row>
    <row r="551" spans="1:22"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row>
    <row r="552" spans="1:22"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row>
    <row r="553" spans="1:22"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row>
    <row r="554" spans="1:22"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row>
    <row r="555" spans="1:22"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row>
    <row r="556" spans="1:22"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row>
    <row r="557" spans="1:22"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row>
    <row r="558" spans="1:22"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row>
    <row r="559" spans="1:22"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row>
    <row r="560" spans="1:22"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row>
    <row r="561" spans="1:22"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row>
    <row r="562" spans="1:22"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row>
    <row r="563" spans="1:22"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row>
    <row r="564" spans="1:22"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row>
    <row r="565" spans="1:22"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row>
    <row r="566" spans="1:22"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row>
    <row r="567" spans="1:22"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row>
    <row r="568" spans="1:22"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row>
    <row r="569" spans="1:22"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row>
    <row r="570" spans="1:22"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row>
    <row r="571" spans="1:22"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row>
    <row r="572" spans="1:22"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row>
    <row r="573" spans="1:22"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row>
    <row r="574" spans="1:22"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row>
    <row r="575" spans="1:22"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row>
    <row r="576" spans="1:22"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row>
    <row r="577" spans="1:22"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row>
    <row r="578" spans="1:22"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row>
    <row r="579" spans="1:22"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row>
    <row r="580" spans="1:22"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row>
    <row r="581" spans="1:22"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row>
    <row r="582" spans="1:22"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row>
    <row r="583" spans="1:22"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row>
    <row r="584" spans="1:22"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row>
    <row r="585" spans="1:22"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row>
    <row r="586" spans="1:22"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row>
    <row r="587" spans="1:22"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row>
    <row r="588" spans="1:22"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row>
    <row r="589" spans="1:22"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row>
    <row r="590" spans="1:22"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row>
    <row r="591" spans="1:22"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row>
    <row r="592" spans="1:22"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row>
    <row r="593" spans="1:22"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row>
    <row r="594" spans="1:22"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row>
    <row r="595" spans="1:22"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row>
    <row r="596" spans="1:22"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row>
    <row r="597" spans="1:22"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row>
    <row r="598" spans="1:22"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row>
    <row r="599" spans="1:22"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row>
    <row r="600" spans="1:22"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row>
    <row r="601" spans="1:22"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row>
    <row r="602" spans="1:22"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row>
    <row r="603" spans="1:22"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row>
    <row r="604" spans="1:22"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row>
    <row r="605" spans="1:22"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row>
    <row r="606" spans="1:22"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row>
    <row r="607" spans="1:22"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row>
    <row r="608" spans="1:22"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row>
    <row r="609" spans="1:22"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row>
    <row r="610" spans="1:22"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row>
    <row r="611" spans="1:22"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row>
    <row r="612" spans="1:22"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row>
    <row r="613" spans="1:22"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row>
    <row r="614" spans="1:22"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row>
    <row r="615" spans="1:22"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row>
    <row r="616" spans="1:22"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row>
    <row r="617" spans="1:22"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row>
    <row r="618" spans="1:22"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row>
    <row r="619" spans="1:22"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row>
    <row r="620" spans="1:22"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row>
    <row r="621" spans="1:22"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row>
    <row r="622" spans="1:22"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row>
    <row r="623" spans="1:22"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row>
    <row r="624" spans="1:22"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row>
    <row r="625" spans="1:22"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row>
    <row r="626" spans="1:22"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row>
    <row r="627" spans="1:22"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row>
    <row r="628" spans="1:22"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row>
    <row r="629" spans="1:22"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row>
    <row r="630" spans="1:22"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row>
    <row r="631" spans="1:22"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row>
    <row r="632" spans="1:22"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row>
    <row r="633" spans="1:22"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row>
    <row r="634" spans="1:22"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row>
    <row r="635" spans="1:22"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row>
    <row r="636" spans="1:22"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row>
    <row r="637" spans="1:22"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row>
    <row r="638" spans="1:22"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row>
    <row r="639" spans="1:22"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row>
    <row r="640" spans="1:22"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row>
    <row r="641" spans="1:22"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row>
    <row r="642" spans="1:22"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row>
    <row r="643" spans="1:22"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row>
    <row r="644" spans="1:22"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row>
    <row r="645" spans="1:22"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row>
    <row r="646" spans="1:22"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row>
    <row r="647" spans="1:22"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row>
    <row r="648" spans="1:22"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row>
    <row r="649" spans="1:22"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row>
    <row r="650" spans="1:22"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row>
    <row r="651" spans="1:22"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row>
    <row r="652" spans="1:22"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row>
    <row r="653" spans="1:22"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row>
    <row r="654" spans="1:22"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row>
    <row r="655" spans="1:22"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row>
    <row r="656" spans="1:22"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row>
    <row r="657" spans="1:22"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row>
    <row r="658" spans="1:22"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row>
    <row r="659" spans="1:22"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row>
    <row r="660" spans="1:22"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row>
    <row r="661" spans="1:22"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row>
    <row r="662" spans="1:22"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row>
    <row r="663" spans="1:22"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row>
    <row r="664" spans="1:22"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row>
    <row r="665" spans="1:22"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row>
    <row r="666" spans="1:22"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row>
    <row r="667" spans="1:22"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row>
    <row r="668" spans="1:22"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row>
    <row r="669" spans="1:22"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row>
    <row r="670" spans="1:22"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row>
    <row r="671" spans="1:22"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row>
    <row r="672" spans="1:22"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row>
    <row r="673" spans="1:22"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row>
    <row r="674" spans="1:22"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row>
    <row r="675" spans="1:22"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row>
    <row r="676" spans="1:22"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row>
    <row r="677" spans="1:22"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row>
    <row r="678" spans="1:22"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row>
    <row r="679" spans="1:22"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row>
    <row r="680" spans="1:22"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row>
    <row r="681" spans="1:22"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row>
    <row r="682" spans="1:22"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row>
    <row r="683" spans="1:22"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row>
    <row r="684" spans="1:22"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row>
    <row r="685" spans="1:22"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row>
    <row r="686" spans="1:22"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row>
    <row r="687" spans="1:22"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row>
    <row r="688" spans="1:22"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row>
    <row r="689" spans="1:22"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row>
    <row r="690" spans="1:22"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row>
    <row r="691" spans="1:22"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row>
    <row r="692" spans="1:22"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row>
    <row r="693" spans="1:22"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row>
    <row r="694" spans="1:22"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row>
    <row r="695" spans="1:22"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row>
    <row r="696" spans="1:22"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row>
    <row r="697" spans="1:22"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row>
    <row r="698" spans="1:22"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row>
    <row r="699" spans="1:22"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row>
    <row r="700" spans="1:22"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row>
    <row r="701" spans="1:22"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row>
    <row r="702" spans="1:22"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row>
    <row r="703" spans="1:22"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row>
    <row r="704" spans="1:22"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row>
    <row r="705" spans="1:22"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row>
    <row r="706" spans="1:22"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row>
    <row r="707" spans="1:22"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row>
    <row r="708" spans="1:22"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row>
    <row r="709" spans="1:22"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row>
    <row r="710" spans="1:22"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row>
    <row r="711" spans="1:22"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row>
    <row r="712" spans="1:22"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row>
    <row r="713" spans="1:22"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row>
    <row r="714" spans="1:22"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row>
    <row r="715" spans="1:22"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row>
    <row r="716" spans="1:22"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row>
    <row r="717" spans="1:22"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row>
    <row r="718" spans="1:22"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row>
    <row r="719" spans="1:22"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row>
    <row r="720" spans="1:22"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row>
    <row r="721" spans="1:22"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row>
    <row r="722" spans="1:22"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row>
    <row r="723" spans="1:22"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row>
    <row r="724" spans="1:22"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row>
    <row r="725" spans="1:22"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row>
    <row r="726" spans="1:22"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row>
    <row r="727" spans="1:22"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row>
    <row r="728" spans="1:22"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row>
    <row r="729" spans="1:22"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row>
    <row r="730" spans="1:22"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row>
    <row r="731" spans="1:22"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row>
    <row r="732" spans="1:22"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row>
    <row r="733" spans="1:22"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row>
    <row r="734" spans="1:22"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row>
    <row r="735" spans="1:22"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row>
    <row r="736" spans="1:22"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row>
    <row r="737" spans="1:22"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row>
    <row r="738" spans="1:22"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row>
    <row r="739" spans="1:22"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row>
    <row r="740" spans="1:22"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row>
    <row r="741" spans="1:22"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row>
    <row r="742" spans="1:22"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row>
    <row r="743" spans="1:22"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row>
    <row r="744" spans="1:22"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row>
    <row r="745" spans="1:22"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row>
    <row r="746" spans="1:22"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row>
    <row r="747" spans="1:22"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row>
    <row r="748" spans="1:22"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row>
    <row r="749" spans="1:22"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row>
    <row r="750" spans="1:22"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row>
    <row r="751" spans="1:22"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row>
    <row r="752" spans="1:22"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row>
    <row r="753" spans="1:22"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row>
    <row r="754" spans="1:22"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row>
    <row r="755" spans="1:22"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row>
    <row r="756" spans="1:22"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row>
    <row r="757" spans="1:22"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row>
    <row r="758" spans="1:22"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row>
    <row r="759" spans="1:22"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row>
    <row r="760" spans="1:22"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row>
    <row r="761" spans="1:22"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row>
    <row r="762" spans="1:22"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row>
    <row r="763" spans="1:22"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row>
    <row r="764" spans="1:22"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row>
    <row r="765" spans="1:22"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row>
    <row r="766" spans="1:22"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row>
    <row r="767" spans="1:22"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row>
    <row r="768" spans="1:22"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row>
    <row r="769" spans="1:22"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row>
    <row r="770" spans="1:22"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row>
    <row r="771" spans="1:22"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row>
    <row r="772" spans="1:22"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row>
    <row r="773" spans="1:22"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row>
    <row r="774" spans="1:22"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row>
    <row r="775" spans="1:22"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row>
    <row r="776" spans="1:22"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row>
    <row r="777" spans="1:22"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row>
    <row r="778" spans="1:22"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row>
    <row r="779" spans="1:22"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row>
    <row r="780" spans="1:22"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row>
    <row r="781" spans="1:22"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row>
    <row r="782" spans="1:22"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row>
    <row r="783" spans="1:22"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row>
    <row r="784" spans="1:22"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row>
    <row r="785" spans="1:22"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row>
    <row r="786" spans="1:22"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row>
    <row r="787" spans="1:22"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row>
    <row r="788" spans="1:22"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row>
    <row r="789" spans="1:22"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row>
    <row r="790" spans="1:22"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row>
    <row r="791" spans="1:22"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row>
    <row r="792" spans="1:22"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row>
    <row r="793" spans="1:22"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row>
    <row r="794" spans="1:22"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row>
    <row r="795" spans="1:22"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row>
    <row r="796" spans="1:22"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row>
    <row r="797" spans="1:22"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row>
    <row r="798" spans="1:22"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row>
    <row r="799" spans="1:22"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row>
    <row r="800" spans="1:22"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row>
    <row r="801" spans="1:22"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row>
    <row r="802" spans="1:22"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row>
    <row r="803" spans="1:22"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row>
    <row r="804" spans="1:22"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row>
    <row r="805" spans="1:22"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row>
    <row r="806" spans="1:22"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row>
    <row r="807" spans="1:22"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row>
    <row r="808" spans="1:22"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row>
    <row r="809" spans="1:22"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row>
    <row r="810" spans="1:22"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row>
    <row r="811" spans="1:22"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row>
    <row r="812" spans="1:22"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row>
    <row r="813" spans="1:22"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row>
    <row r="814" spans="1:22"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row>
    <row r="815" spans="1:22"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row>
    <row r="816" spans="1:22"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row>
    <row r="817" spans="1:22"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row>
    <row r="818" spans="1:22"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row>
    <row r="819" spans="1:22"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row>
    <row r="820" spans="1:22"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row>
    <row r="821" spans="1:22"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row>
    <row r="822" spans="1:22"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row>
    <row r="823" spans="1:22"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row>
    <row r="824" spans="1:22"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row>
    <row r="825" spans="1:22"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row>
    <row r="826" spans="1:22"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row>
    <row r="827" spans="1:22"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row>
    <row r="828" spans="1:22"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row>
    <row r="829" spans="1:22"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row>
    <row r="830" spans="1:22"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row>
    <row r="831" spans="1:22"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row>
    <row r="832" spans="1:22"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row>
    <row r="833" spans="1:22"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row>
    <row r="834" spans="1:22"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row>
    <row r="835" spans="1:22"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row>
    <row r="836" spans="1:22"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row>
    <row r="837" spans="1:22"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row>
    <row r="838" spans="1:22"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row>
    <row r="839" spans="1:22"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row>
    <row r="840" spans="1:22"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row>
    <row r="841" spans="1:22"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row>
    <row r="842" spans="1:22"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row>
    <row r="843" spans="1:22"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row>
    <row r="844" spans="1:22"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row>
    <row r="845" spans="1:22"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row>
    <row r="846" spans="1:22"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row>
    <row r="847" spans="1:22"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row>
    <row r="848" spans="1:22"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row>
    <row r="849" spans="1:22"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row>
    <row r="850" spans="1:22"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row>
    <row r="851" spans="1:22"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row>
    <row r="852" spans="1:22"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row>
    <row r="853" spans="1:22"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row>
    <row r="854" spans="1:22"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row>
    <row r="855" spans="1:22"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row>
    <row r="856" spans="1:22"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row>
    <row r="857" spans="1:22"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row>
    <row r="858" spans="1:22"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row>
    <row r="859" spans="1:22"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row>
    <row r="860" spans="1:22"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row>
    <row r="861" spans="1:22"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row>
    <row r="862" spans="1:22"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row>
    <row r="863" spans="1:22"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row>
    <row r="864" spans="1:22"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row>
    <row r="865" spans="1:22"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row>
    <row r="866" spans="1:22"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row>
    <row r="867" spans="1:22"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row>
    <row r="868" spans="1:22"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row>
    <row r="869" spans="1:22"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row>
    <row r="870" spans="1:22"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row>
    <row r="871" spans="1:22"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row>
    <row r="872" spans="1:22"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row>
    <row r="873" spans="1:22"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row>
    <row r="874" spans="1:22"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row>
    <row r="875" spans="1:22"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row>
    <row r="876" spans="1:22"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row>
    <row r="877" spans="1:22"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row>
    <row r="878" spans="1:22"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row>
    <row r="879" spans="1:22"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row>
    <row r="880" spans="1:22"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row>
    <row r="881" spans="1:22"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row>
    <row r="882" spans="1:22"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row>
    <row r="883" spans="1:22"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row>
    <row r="884" spans="1:22"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row>
    <row r="885" spans="1:22"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row>
    <row r="886" spans="1:22"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row>
    <row r="887" spans="1:22"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row>
    <row r="888" spans="1:22"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row>
    <row r="889" spans="1:22"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row>
    <row r="890" spans="1:22"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row>
    <row r="891" spans="1:22"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row>
    <row r="892" spans="1:22"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row>
    <row r="893" spans="1:22"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row>
    <row r="894" spans="1:22"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row>
    <row r="895" spans="1:22"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row>
    <row r="896" spans="1:22"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row>
    <row r="897" spans="1:22"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row>
    <row r="898" spans="1:22"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row>
    <row r="899" spans="1:22"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row>
    <row r="900" spans="1:22"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row>
    <row r="901" spans="1:22"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row>
    <row r="902" spans="1:22"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row>
    <row r="903" spans="1:22"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row>
    <row r="904" spans="1:22"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row>
    <row r="905" spans="1:22"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row>
    <row r="906" spans="1:22"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row>
    <row r="907" spans="1:22"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row>
    <row r="908" spans="1:22"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row>
    <row r="909" spans="1:22"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row>
    <row r="910" spans="1:22"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row>
    <row r="911" spans="1:22"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row>
    <row r="912" spans="1:22"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row>
    <row r="913" spans="1:22"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row>
    <row r="914" spans="1:22"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row>
    <row r="915" spans="1:22"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row>
    <row r="916" spans="1:22"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row>
    <row r="917" spans="1:22"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row>
    <row r="918" spans="1:22"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row>
    <row r="919" spans="1:22"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row>
    <row r="920" spans="1:22"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row>
    <row r="921" spans="1:22"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row>
    <row r="922" spans="1:22"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row>
    <row r="923" spans="1:22"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row>
    <row r="924" spans="1:22"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row>
    <row r="925" spans="1:22"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row>
    <row r="926" spans="1:22"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row>
    <row r="927" spans="1:22"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row>
    <row r="928" spans="1:22"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row>
    <row r="929" spans="1:22"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row>
    <row r="930" spans="1:22"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row>
    <row r="931" spans="1:22"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row>
    <row r="932" spans="1:22"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row>
    <row r="933" spans="1:22"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row>
    <row r="934" spans="1:22"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row>
    <row r="935" spans="1:22"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row>
    <row r="936" spans="1:22"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row>
    <row r="937" spans="1:22"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row>
    <row r="938" spans="1:22"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row>
    <row r="939" spans="1:22"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row>
    <row r="940" spans="1:22"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row>
    <row r="941" spans="1:22"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row>
    <row r="942" spans="1:22"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row>
    <row r="943" spans="1:22"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row>
    <row r="944" spans="1:22"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row>
    <row r="945" spans="1:22"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row>
    <row r="946" spans="1:22"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row>
    <row r="947" spans="1:22"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row>
    <row r="948" spans="1:22"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row>
    <row r="949" spans="1:22"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row>
    <row r="950" spans="1:22"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row>
    <row r="951" spans="1:22"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row>
    <row r="952" spans="1:22"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row>
    <row r="953" spans="1:22"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row>
    <row r="954" spans="1:22"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row>
    <row r="955" spans="1:22"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row>
    <row r="956" spans="1:22"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row>
    <row r="957" spans="1:22"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row>
    <row r="958" spans="1:22"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row>
    <row r="959" spans="1:22"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row>
    <row r="960" spans="1:22"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row>
    <row r="961" spans="1:22"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row>
    <row r="962" spans="1:22"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row>
    <row r="963" spans="1:22"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row>
    <row r="964" spans="1:22"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row>
    <row r="965" spans="1:22"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row>
    <row r="966" spans="1:22"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row>
    <row r="967" spans="1:22"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row>
    <row r="968" spans="1:22"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row>
    <row r="969" spans="1:22"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row>
    <row r="970" spans="1:22"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row>
    <row r="971" spans="1:22"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row>
    <row r="972" spans="1:22"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row>
    <row r="973" spans="1:22"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row>
    <row r="974" spans="1:22"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row>
    <row r="975" spans="1:22"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row>
    <row r="976" spans="1:22"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row>
    <row r="977" spans="1:22"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row>
    <row r="978" spans="1:22"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row>
    <row r="979" spans="1:22"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row>
    <row r="980" spans="1:22"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row>
    <row r="981" spans="1:22"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row>
    <row r="982" spans="1:22"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row>
    <row r="983" spans="1:22"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row>
    <row r="984" spans="1:22"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row>
    <row r="985" spans="1:22"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row>
    <row r="986" spans="1:22"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row>
    <row r="987" spans="1:22"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row>
    <row r="988" spans="1:22"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row>
    <row r="989" spans="1:22"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row>
    <row r="990" spans="1:22"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row>
    <row r="991" spans="1:22"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row>
    <row r="992" spans="1:22"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row>
    <row r="993" spans="1:22"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row>
    <row r="994" spans="1:22"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row>
    <row r="995" spans="1:22"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row>
    <row r="996" spans="1:22"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row>
    <row r="997" spans="1:22"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row>
    <row r="998" spans="1:22"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row>
    <row r="999" spans="1:22"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row>
    <row r="1000" spans="1:22"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row>
    <row r="1001" spans="1:22" ht="12.75" customHeight="1"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row>
    <row r="1002" spans="1:22" ht="12.75" customHeight="1"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row>
  </sheetData>
  <mergeCells count="10">
    <mergeCell ref="A1:L1"/>
    <mergeCell ref="A2:B2"/>
    <mergeCell ref="A3:B3"/>
    <mergeCell ref="E3:F3"/>
    <mergeCell ref="E2:F2"/>
    <mergeCell ref="C2:D2"/>
    <mergeCell ref="C3:D3"/>
    <mergeCell ref="K3:L3"/>
    <mergeCell ref="I3:J3"/>
    <mergeCell ref="G3:H3"/>
  </mergeCells>
  <pageMargins left="0.75" right="0.75" top="1" bottom="1" header="0.3" footer="0.3"/>
  <pageSetup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1006"/>
  <sheetViews>
    <sheetView workbookViewId="0">
      <pane xSplit="1" ySplit="4" topLeftCell="B5" activePane="bottomRight" state="frozen"/>
      <selection pane="topRight" activeCell="B1" sqref="B1"/>
      <selection pane="bottomLeft" activeCell="A5" sqref="A5"/>
      <selection pane="bottomRight" activeCell="P25" sqref="P25"/>
    </sheetView>
  </sheetViews>
  <sheetFormatPr defaultColWidth="17.28515625" defaultRowHeight="15" customHeight="1" x14ac:dyDescent="0.2"/>
  <cols>
    <col min="1" max="1" width="9.140625" customWidth="1"/>
    <col min="2" max="2" width="10.85546875" customWidth="1"/>
    <col min="3" max="3" width="10" customWidth="1"/>
    <col min="4" max="4" width="11.5703125" customWidth="1"/>
    <col min="5" max="5" width="7.5703125" customWidth="1"/>
    <col min="6" max="6" width="8.140625" customWidth="1"/>
    <col min="7" max="7" width="6.140625" customWidth="1"/>
    <col min="8" max="8" width="8.7109375" customWidth="1"/>
    <col min="9" max="9" width="6.140625" customWidth="1"/>
    <col min="10" max="10" width="8.85546875" customWidth="1"/>
    <col min="11" max="11" width="6.140625" customWidth="1"/>
    <col min="12" max="12" width="8" customWidth="1"/>
    <col min="13" max="13" width="7" customWidth="1"/>
    <col min="14" max="14" width="8.5703125" customWidth="1"/>
    <col min="15" max="24" width="11.42578125" customWidth="1"/>
  </cols>
  <sheetData>
    <row r="1" spans="1:24" ht="12.75" customHeight="1" x14ac:dyDescent="0.2">
      <c r="A1" s="163" t="s">
        <v>244</v>
      </c>
      <c r="B1" s="162"/>
      <c r="C1" s="162"/>
      <c r="D1" s="162"/>
      <c r="E1" s="162"/>
      <c r="F1" s="162"/>
      <c r="G1" s="162"/>
      <c r="H1" s="162"/>
      <c r="I1" s="162"/>
      <c r="J1" s="162"/>
      <c r="K1" s="162"/>
      <c r="L1" s="162"/>
      <c r="M1" s="162"/>
      <c r="N1" s="160"/>
      <c r="O1" s="1"/>
      <c r="P1" s="1"/>
      <c r="Q1" s="1"/>
      <c r="R1" s="1"/>
      <c r="S1" s="1"/>
      <c r="T1" s="1"/>
      <c r="U1" s="1"/>
      <c r="V1" s="1"/>
      <c r="W1" s="1"/>
      <c r="X1" s="1"/>
    </row>
    <row r="2" spans="1:24" ht="12" customHeight="1" x14ac:dyDescent="0.2">
      <c r="A2" s="181" t="s">
        <v>103</v>
      </c>
      <c r="B2" s="160"/>
      <c r="C2" s="156" t="s">
        <v>245</v>
      </c>
      <c r="D2" s="167"/>
      <c r="E2" s="157" t="s">
        <v>493</v>
      </c>
      <c r="F2" s="164"/>
      <c r="G2" s="182" t="s">
        <v>492</v>
      </c>
      <c r="H2" s="180"/>
      <c r="I2" s="161"/>
      <c r="J2" s="162"/>
      <c r="K2" s="162"/>
      <c r="L2" s="162"/>
      <c r="M2" s="162"/>
      <c r="N2" s="160"/>
      <c r="O2" s="1"/>
      <c r="P2" s="1"/>
      <c r="Q2" s="1"/>
      <c r="R2" s="1"/>
      <c r="S2" s="1"/>
      <c r="T2" s="1"/>
      <c r="U2" s="1"/>
      <c r="V2" s="1"/>
      <c r="W2" s="1"/>
      <c r="X2" s="1"/>
    </row>
    <row r="3" spans="1:24" ht="12" customHeight="1" x14ac:dyDescent="0.2">
      <c r="A3" s="154" t="s">
        <v>101</v>
      </c>
      <c r="B3" s="160"/>
      <c r="C3" s="152" t="s">
        <v>40</v>
      </c>
      <c r="D3" s="167"/>
      <c r="E3" s="148" t="s">
        <v>43</v>
      </c>
      <c r="F3" s="164"/>
      <c r="G3" s="179" t="s">
        <v>63</v>
      </c>
      <c r="H3" s="180"/>
      <c r="I3" s="147" t="s">
        <v>107</v>
      </c>
      <c r="J3" s="160"/>
      <c r="K3" s="147" t="s">
        <v>30</v>
      </c>
      <c r="L3" s="160"/>
      <c r="M3" s="147" t="s">
        <v>108</v>
      </c>
      <c r="N3" s="160"/>
      <c r="O3" s="1"/>
      <c r="P3" s="1"/>
      <c r="Q3" s="1"/>
      <c r="R3" s="1"/>
      <c r="S3" s="1"/>
      <c r="T3" s="1"/>
      <c r="U3" s="1"/>
      <c r="V3" s="1"/>
      <c r="W3" s="1"/>
      <c r="X3" s="1"/>
    </row>
    <row r="4" spans="1:24" ht="12" customHeight="1" x14ac:dyDescent="0.2">
      <c r="A4" s="12"/>
      <c r="B4" s="12">
        <f>+B13+B14+B21+B22+B27+B28+B32+B33+B35+B36+B40+B41+B45++B46</f>
        <v>7858</v>
      </c>
      <c r="C4" s="78">
        <f>SUM(C13,C21,C27,C32,C35,C40,C45,C46)</f>
        <v>2104</v>
      </c>
      <c r="D4" s="79">
        <f>IF((K4=0),"",(C4/K4))</f>
        <v>0.43979933110367891</v>
      </c>
      <c r="E4" s="63">
        <f>SUM(E13,E21,E27,E32,E35,E40,E45,E46)</f>
        <v>2564</v>
      </c>
      <c r="F4" s="64">
        <f>IF((K4=0),"",(E4/K4))</f>
        <v>0.53595317725752512</v>
      </c>
      <c r="G4" s="129">
        <f>SUM(G13,G21,G27,G32,G35,G40,G45,G46)</f>
        <v>3</v>
      </c>
      <c r="H4" s="130">
        <f>IF((K4=0),"",(G4/K4))</f>
        <v>6.270903010033445E-4</v>
      </c>
      <c r="I4" s="12">
        <f>SUM(I13,I21,I27,I32,I35,I40,I45,I46)</f>
        <v>113</v>
      </c>
      <c r="J4" s="13">
        <f>IF((K4=0),"",(I4/K4))</f>
        <v>2.3620401337792644E-2</v>
      </c>
      <c r="K4" s="12">
        <f>SUM(C4,E4,G4,I4)</f>
        <v>4784</v>
      </c>
      <c r="L4" s="13">
        <f>IF((B4=0),"",(K4/B4))</f>
        <v>0.60880631203868674</v>
      </c>
      <c r="M4" s="12">
        <f>+M13+M21+M27+M32+M35+M40+M45</f>
        <v>3016</v>
      </c>
      <c r="N4" s="13">
        <f>IF((B4=0),"",(M4/B4))</f>
        <v>0.38381267498091115</v>
      </c>
      <c r="O4" s="1"/>
      <c r="P4" s="1"/>
      <c r="Q4" s="1"/>
      <c r="R4" s="1"/>
      <c r="S4" s="1"/>
      <c r="T4" s="1"/>
      <c r="U4" s="1"/>
      <c r="V4" s="1"/>
      <c r="W4" s="1"/>
      <c r="X4" s="1"/>
    </row>
    <row r="5" spans="1:24" ht="12" customHeight="1" x14ac:dyDescent="0.2">
      <c r="A5" s="14" t="s">
        <v>246</v>
      </c>
      <c r="B5" s="32" t="s">
        <v>247</v>
      </c>
      <c r="C5" s="86"/>
      <c r="D5" s="86"/>
      <c r="E5" s="90"/>
      <c r="F5" s="90"/>
      <c r="G5" s="131"/>
      <c r="H5" s="131"/>
      <c r="I5" s="16"/>
      <c r="J5" s="16"/>
      <c r="K5" s="16"/>
      <c r="L5" s="16"/>
      <c r="M5" s="16"/>
      <c r="N5" s="16"/>
      <c r="O5" s="1"/>
      <c r="P5" s="1"/>
      <c r="Q5" s="1"/>
      <c r="R5" s="1"/>
      <c r="S5" s="1"/>
      <c r="T5" s="1"/>
      <c r="U5" s="1"/>
      <c r="V5" s="1"/>
      <c r="W5" s="1"/>
      <c r="X5" s="1"/>
    </row>
    <row r="6" spans="1:24" ht="12" customHeight="1" x14ac:dyDescent="0.2">
      <c r="A6" s="15" t="s">
        <v>111</v>
      </c>
      <c r="B6" s="15">
        <v>375</v>
      </c>
      <c r="C6" s="81">
        <v>104</v>
      </c>
      <c r="D6" s="82">
        <f t="shared" ref="D6:D13" si="0">IF((K6=0),"",(C6/K6))</f>
        <v>0.44444444444444442</v>
      </c>
      <c r="E6" s="66">
        <v>129</v>
      </c>
      <c r="F6" s="67">
        <f t="shared" ref="F6:F13" si="1">IF((K6=0),"",(E6/K6))</f>
        <v>0.55128205128205132</v>
      </c>
      <c r="G6" s="132">
        <v>0</v>
      </c>
      <c r="H6" s="133">
        <f t="shared" ref="H6:H13" si="2">IF((K6=0),"",(G6/K6))</f>
        <v>0</v>
      </c>
      <c r="I6" s="15">
        <v>1</v>
      </c>
      <c r="J6" s="17">
        <f t="shared" ref="J6:J13" si="3">IF((K6=0),"",(I6/K6))</f>
        <v>4.2735042735042739E-3</v>
      </c>
      <c r="K6" s="15">
        <f>SUM(C6,E6,G6,I6)</f>
        <v>234</v>
      </c>
      <c r="L6" s="17">
        <f t="shared" ref="L6:L13" si="4">IF((B6=0),"",(K6/B6))</f>
        <v>0.624</v>
      </c>
      <c r="M6" s="15">
        <f>B6-K6</f>
        <v>141</v>
      </c>
      <c r="N6" s="17">
        <f t="shared" ref="N6:N13" si="5">IF((B6=0),"",(M6/B6))</f>
        <v>0.376</v>
      </c>
      <c r="O6" s="1"/>
      <c r="P6" s="1"/>
      <c r="Q6" s="1"/>
      <c r="R6" s="1"/>
      <c r="S6" s="1"/>
      <c r="T6" s="1"/>
      <c r="U6" s="1"/>
      <c r="V6" s="1"/>
      <c r="W6" s="1"/>
      <c r="X6" s="1"/>
    </row>
    <row r="7" spans="1:24" ht="12" customHeight="1" x14ac:dyDescent="0.2">
      <c r="A7" s="15" t="s">
        <v>131</v>
      </c>
      <c r="B7" s="15">
        <v>380</v>
      </c>
      <c r="C7" s="81">
        <v>72</v>
      </c>
      <c r="D7" s="82">
        <f t="shared" si="0"/>
        <v>0.30508474576271188</v>
      </c>
      <c r="E7" s="66">
        <v>160</v>
      </c>
      <c r="F7" s="67">
        <f t="shared" si="1"/>
        <v>0.67796610169491522</v>
      </c>
      <c r="G7" s="132">
        <v>0</v>
      </c>
      <c r="H7" s="133">
        <f t="shared" si="2"/>
        <v>0</v>
      </c>
      <c r="I7" s="15">
        <v>4</v>
      </c>
      <c r="J7" s="17">
        <f t="shared" si="3"/>
        <v>1.6949152542372881E-2</v>
      </c>
      <c r="K7" s="15">
        <f t="shared" ref="K7:K12" si="6">SUM(C7,E7,G7,I7)</f>
        <v>236</v>
      </c>
      <c r="L7" s="17">
        <f t="shared" si="4"/>
        <v>0.62105263157894741</v>
      </c>
      <c r="M7" s="29">
        <f t="shared" ref="M7:M12" si="7">B7-K7</f>
        <v>144</v>
      </c>
      <c r="N7" s="17">
        <f t="shared" si="5"/>
        <v>0.37894736842105264</v>
      </c>
      <c r="O7" s="1"/>
      <c r="P7" s="1"/>
      <c r="Q7" s="1"/>
      <c r="R7" s="1"/>
      <c r="S7" s="1"/>
      <c r="T7" s="1"/>
      <c r="U7" s="1"/>
      <c r="V7" s="1"/>
      <c r="W7" s="1"/>
      <c r="X7" s="1"/>
    </row>
    <row r="8" spans="1:24" ht="12" customHeight="1" x14ac:dyDescent="0.2">
      <c r="A8" s="15" t="s">
        <v>144</v>
      </c>
      <c r="B8" s="15">
        <v>452</v>
      </c>
      <c r="C8" s="81">
        <v>86</v>
      </c>
      <c r="D8" s="82">
        <f t="shared" si="0"/>
        <v>0.30175438596491228</v>
      </c>
      <c r="E8" s="66">
        <v>195</v>
      </c>
      <c r="F8" s="67">
        <f t="shared" si="1"/>
        <v>0.68421052631578949</v>
      </c>
      <c r="G8" s="132">
        <v>0</v>
      </c>
      <c r="H8" s="133">
        <f t="shared" si="2"/>
        <v>0</v>
      </c>
      <c r="I8" s="15">
        <v>4</v>
      </c>
      <c r="J8" s="17">
        <f t="shared" si="3"/>
        <v>1.4035087719298246E-2</v>
      </c>
      <c r="K8" s="15">
        <f t="shared" si="6"/>
        <v>285</v>
      </c>
      <c r="L8" s="17">
        <f t="shared" si="4"/>
        <v>0.63053097345132747</v>
      </c>
      <c r="M8" s="29">
        <f t="shared" si="7"/>
        <v>167</v>
      </c>
      <c r="N8" s="17">
        <f t="shared" si="5"/>
        <v>0.36946902654867259</v>
      </c>
      <c r="O8" s="1"/>
      <c r="P8" s="1"/>
      <c r="Q8" s="1"/>
      <c r="R8" s="1"/>
      <c r="S8" s="1"/>
      <c r="T8" s="1"/>
      <c r="U8" s="1"/>
      <c r="V8" s="1"/>
      <c r="W8" s="1"/>
      <c r="X8" s="1"/>
    </row>
    <row r="9" spans="1:24" ht="12" customHeight="1" x14ac:dyDescent="0.2">
      <c r="A9" s="15" t="s">
        <v>243</v>
      </c>
      <c r="B9" s="15">
        <v>328</v>
      </c>
      <c r="C9" s="81">
        <v>77</v>
      </c>
      <c r="D9" s="82">
        <f t="shared" si="0"/>
        <v>0.39086294416243655</v>
      </c>
      <c r="E9" s="66">
        <v>118</v>
      </c>
      <c r="F9" s="67">
        <f t="shared" si="1"/>
        <v>0.59898477157360408</v>
      </c>
      <c r="G9" s="132">
        <v>0</v>
      </c>
      <c r="H9" s="133">
        <f t="shared" si="2"/>
        <v>0</v>
      </c>
      <c r="I9" s="15">
        <v>2</v>
      </c>
      <c r="J9" s="17">
        <f t="shared" si="3"/>
        <v>1.015228426395939E-2</v>
      </c>
      <c r="K9" s="15">
        <f t="shared" si="6"/>
        <v>197</v>
      </c>
      <c r="L9" s="17">
        <f t="shared" si="4"/>
        <v>0.60060975609756095</v>
      </c>
      <c r="M9" s="29">
        <f t="shared" si="7"/>
        <v>131</v>
      </c>
      <c r="N9" s="17">
        <f t="shared" si="5"/>
        <v>0.39939024390243905</v>
      </c>
      <c r="O9" s="1"/>
      <c r="P9" s="1"/>
      <c r="Q9" s="1"/>
      <c r="R9" s="1"/>
      <c r="S9" s="1"/>
      <c r="T9" s="1"/>
      <c r="U9" s="1"/>
      <c r="V9" s="1"/>
      <c r="W9" s="1"/>
      <c r="X9" s="1"/>
    </row>
    <row r="10" spans="1:24" ht="12" customHeight="1" x14ac:dyDescent="0.2">
      <c r="A10" s="15" t="s">
        <v>139</v>
      </c>
      <c r="B10" s="15">
        <v>396</v>
      </c>
      <c r="C10" s="81">
        <v>79</v>
      </c>
      <c r="D10" s="82">
        <f t="shared" si="0"/>
        <v>0.31983805668016196</v>
      </c>
      <c r="E10" s="66">
        <v>158</v>
      </c>
      <c r="F10" s="67">
        <f t="shared" si="1"/>
        <v>0.63967611336032393</v>
      </c>
      <c r="G10" s="132">
        <v>0</v>
      </c>
      <c r="H10" s="133">
        <f t="shared" si="2"/>
        <v>0</v>
      </c>
      <c r="I10" s="15">
        <v>10</v>
      </c>
      <c r="J10" s="17">
        <f t="shared" si="3"/>
        <v>4.048582995951417E-2</v>
      </c>
      <c r="K10" s="15">
        <f t="shared" si="6"/>
        <v>247</v>
      </c>
      <c r="L10" s="17">
        <f t="shared" si="4"/>
        <v>0.6237373737373737</v>
      </c>
      <c r="M10" s="29">
        <f t="shared" si="7"/>
        <v>149</v>
      </c>
      <c r="N10" s="17">
        <f t="shared" si="5"/>
        <v>0.37626262626262624</v>
      </c>
      <c r="O10" s="1"/>
      <c r="P10" s="1"/>
      <c r="Q10" s="1"/>
      <c r="R10" s="1"/>
      <c r="S10" s="1"/>
      <c r="T10" s="1"/>
      <c r="U10" s="1"/>
      <c r="V10" s="1"/>
      <c r="W10" s="1"/>
      <c r="X10" s="1"/>
    </row>
    <row r="11" spans="1:24" ht="12" customHeight="1" x14ac:dyDescent="0.2">
      <c r="A11" s="15" t="s">
        <v>413</v>
      </c>
      <c r="B11" s="15">
        <v>267</v>
      </c>
      <c r="C11" s="81">
        <v>58</v>
      </c>
      <c r="D11" s="82">
        <f t="shared" si="0"/>
        <v>0.35582822085889571</v>
      </c>
      <c r="E11" s="66">
        <v>102</v>
      </c>
      <c r="F11" s="67">
        <f t="shared" si="1"/>
        <v>0.62576687116564422</v>
      </c>
      <c r="G11" s="132">
        <v>0</v>
      </c>
      <c r="H11" s="133">
        <f t="shared" si="2"/>
        <v>0</v>
      </c>
      <c r="I11" s="15">
        <v>3</v>
      </c>
      <c r="J11" s="17">
        <f t="shared" si="3"/>
        <v>1.8404907975460124E-2</v>
      </c>
      <c r="K11" s="15">
        <f t="shared" si="6"/>
        <v>163</v>
      </c>
      <c r="L11" s="17">
        <f t="shared" si="4"/>
        <v>0.61048689138576784</v>
      </c>
      <c r="M11" s="29">
        <f t="shared" si="7"/>
        <v>104</v>
      </c>
      <c r="N11" s="17">
        <f t="shared" si="5"/>
        <v>0.38951310861423222</v>
      </c>
      <c r="O11" s="1"/>
      <c r="P11" s="1"/>
      <c r="Q11" s="1"/>
      <c r="R11" s="1"/>
      <c r="S11" s="1"/>
      <c r="T11" s="1"/>
      <c r="U11" s="1"/>
      <c r="V11" s="1"/>
      <c r="W11" s="1"/>
      <c r="X11" s="1"/>
    </row>
    <row r="12" spans="1:24" ht="12" customHeight="1" x14ac:dyDescent="0.2">
      <c r="A12" s="15" t="s">
        <v>491</v>
      </c>
      <c r="B12" s="15">
        <v>247</v>
      </c>
      <c r="C12" s="81">
        <v>67</v>
      </c>
      <c r="D12" s="82">
        <f t="shared" si="0"/>
        <v>0.43506493506493504</v>
      </c>
      <c r="E12" s="66">
        <v>84</v>
      </c>
      <c r="F12" s="67">
        <f t="shared" si="1"/>
        <v>0.54545454545454541</v>
      </c>
      <c r="G12" s="132">
        <v>0</v>
      </c>
      <c r="H12" s="133">
        <f t="shared" si="2"/>
        <v>0</v>
      </c>
      <c r="I12" s="15">
        <v>3</v>
      </c>
      <c r="J12" s="17">
        <f t="shared" si="3"/>
        <v>1.948051948051948E-2</v>
      </c>
      <c r="K12" s="15">
        <f t="shared" si="6"/>
        <v>154</v>
      </c>
      <c r="L12" s="17">
        <f t="shared" si="4"/>
        <v>0.62348178137651822</v>
      </c>
      <c r="M12" s="29">
        <f t="shared" si="7"/>
        <v>93</v>
      </c>
      <c r="N12" s="17">
        <f t="shared" si="5"/>
        <v>0.37651821862348178</v>
      </c>
      <c r="O12" s="1"/>
      <c r="P12" s="1"/>
      <c r="Q12" s="1"/>
      <c r="R12" s="1"/>
      <c r="S12" s="1"/>
      <c r="T12" s="1"/>
      <c r="U12" s="1"/>
      <c r="V12" s="1"/>
      <c r="W12" s="1"/>
      <c r="X12" s="1"/>
    </row>
    <row r="13" spans="1:24" ht="12" customHeight="1" x14ac:dyDescent="0.2">
      <c r="A13" s="12" t="s">
        <v>120</v>
      </c>
      <c r="B13" s="12">
        <f>SUM(B6:B12)</f>
        <v>2445</v>
      </c>
      <c r="C13" s="78">
        <f>SUM(C6:C12)</f>
        <v>543</v>
      </c>
      <c r="D13" s="79">
        <f t="shared" si="0"/>
        <v>0.35817941952506599</v>
      </c>
      <c r="E13" s="63">
        <f>SUM(E6:E12)</f>
        <v>946</v>
      </c>
      <c r="F13" s="64">
        <f t="shared" si="1"/>
        <v>0.62401055408970973</v>
      </c>
      <c r="G13" s="129">
        <f>SUM(G6:G12)</f>
        <v>0</v>
      </c>
      <c r="H13" s="130">
        <f t="shared" si="2"/>
        <v>0</v>
      </c>
      <c r="I13" s="12">
        <f>SUM(I6:I12)</f>
        <v>27</v>
      </c>
      <c r="J13" s="13">
        <f t="shared" si="3"/>
        <v>1.7810026385224276E-2</v>
      </c>
      <c r="K13" s="12">
        <f>SUM(C13,E13,G13,I13)</f>
        <v>1516</v>
      </c>
      <c r="L13" s="13">
        <f t="shared" si="4"/>
        <v>0.62004089979550103</v>
      </c>
      <c r="M13" s="12">
        <f>SUM(M6:M12)</f>
        <v>929</v>
      </c>
      <c r="N13" s="13">
        <f t="shared" si="5"/>
        <v>0.37995910020449897</v>
      </c>
      <c r="O13" s="1"/>
      <c r="P13" s="1"/>
      <c r="Q13" s="1"/>
      <c r="R13" s="1"/>
      <c r="S13" s="1"/>
      <c r="T13" s="1"/>
      <c r="U13" s="1"/>
      <c r="V13" s="1"/>
      <c r="W13" s="1"/>
      <c r="X13" s="1"/>
    </row>
    <row r="14" spans="1:24" s="51" customFormat="1" ht="12" customHeight="1" x14ac:dyDescent="0.2">
      <c r="A14" s="32" t="s">
        <v>542</v>
      </c>
      <c r="B14" s="32">
        <v>35</v>
      </c>
      <c r="C14" s="78"/>
      <c r="D14" s="79"/>
      <c r="E14" s="63"/>
      <c r="F14" s="64"/>
      <c r="G14" s="129"/>
      <c r="H14" s="130"/>
      <c r="I14" s="32"/>
      <c r="J14" s="28"/>
      <c r="K14" s="32"/>
      <c r="L14" s="28"/>
      <c r="M14" s="32"/>
      <c r="N14" s="28"/>
      <c r="O14" s="1"/>
      <c r="P14" s="1"/>
      <c r="Q14" s="1"/>
      <c r="R14" s="1"/>
      <c r="S14" s="1"/>
      <c r="T14" s="1"/>
      <c r="U14" s="1"/>
      <c r="V14" s="1"/>
      <c r="W14" s="1"/>
      <c r="X14" s="1"/>
    </row>
    <row r="15" spans="1:24" ht="12" customHeight="1" x14ac:dyDescent="0.2">
      <c r="A15" s="14" t="s">
        <v>248</v>
      </c>
      <c r="B15" s="32" t="s">
        <v>249</v>
      </c>
      <c r="C15" s="86"/>
      <c r="D15" s="86"/>
      <c r="E15" s="90"/>
      <c r="F15" s="90"/>
      <c r="G15" s="131"/>
      <c r="H15" s="131"/>
      <c r="I15" s="16"/>
      <c r="J15" s="16"/>
      <c r="K15" s="16"/>
      <c r="L15" s="16"/>
      <c r="M15" s="16"/>
      <c r="N15" s="16"/>
      <c r="O15" s="1"/>
      <c r="P15" s="1"/>
      <c r="Q15" s="1"/>
      <c r="R15" s="1"/>
      <c r="S15" s="1"/>
      <c r="T15" s="1"/>
      <c r="U15" s="1"/>
      <c r="V15" s="1"/>
      <c r="W15" s="1"/>
      <c r="X15" s="1"/>
    </row>
    <row r="16" spans="1:24" ht="12" customHeight="1" x14ac:dyDescent="0.2">
      <c r="A16" s="15" t="s">
        <v>136</v>
      </c>
      <c r="B16" s="15">
        <v>409</v>
      </c>
      <c r="C16" s="81">
        <v>94</v>
      </c>
      <c r="D16" s="82">
        <f>IF((K16=0),"",(C16/K16))</f>
        <v>0.4177777777777778</v>
      </c>
      <c r="E16" s="66">
        <v>125</v>
      </c>
      <c r="F16" s="67">
        <f>IF((K16=0),"",(E16/K16))</f>
        <v>0.55555555555555558</v>
      </c>
      <c r="G16" s="132">
        <v>0</v>
      </c>
      <c r="H16" s="133">
        <f>IF((K16=0),"",(G16/K16))</f>
        <v>0</v>
      </c>
      <c r="I16" s="15">
        <v>6</v>
      </c>
      <c r="J16" s="17">
        <f>IF((K16=0),"",(I16/K16))</f>
        <v>2.6666666666666668E-2</v>
      </c>
      <c r="K16" s="15">
        <f>SUM(C16,E16,G16,I16)</f>
        <v>225</v>
      </c>
      <c r="L16" s="17">
        <f>IF((B16=0),"",(K16/B16))</f>
        <v>0.55012224938875309</v>
      </c>
      <c r="M16" s="29">
        <f>B16-K16</f>
        <v>184</v>
      </c>
      <c r="N16" s="17">
        <f t="shared" ref="N16:N21" si="8">IF((B16=0),"",(M16/B16))</f>
        <v>0.44987775061124696</v>
      </c>
      <c r="O16" s="1"/>
      <c r="P16" s="1"/>
      <c r="Q16" s="1"/>
      <c r="R16" s="1"/>
      <c r="S16" s="1"/>
      <c r="T16" s="1"/>
      <c r="U16" s="1"/>
      <c r="V16" s="1"/>
      <c r="W16" s="1"/>
      <c r="X16" s="1"/>
    </row>
    <row r="17" spans="1:24" ht="12" customHeight="1" x14ac:dyDescent="0.2">
      <c r="A17" s="15" t="s">
        <v>339</v>
      </c>
      <c r="B17" s="15">
        <v>407</v>
      </c>
      <c r="C17" s="81">
        <v>84</v>
      </c>
      <c r="D17" s="82">
        <f>IF((K17=0),"",(C17/K17))</f>
        <v>0.42424242424242425</v>
      </c>
      <c r="E17" s="66">
        <v>112</v>
      </c>
      <c r="F17" s="67">
        <f>IF((K17=0),"",(E17/K17))</f>
        <v>0.56565656565656564</v>
      </c>
      <c r="G17" s="132">
        <v>0</v>
      </c>
      <c r="H17" s="133">
        <f>IF((K17=0),"",(G17/K17))</f>
        <v>0</v>
      </c>
      <c r="I17" s="15">
        <v>2</v>
      </c>
      <c r="J17" s="17">
        <f>IF((K17=0),"",(I17/K17))</f>
        <v>1.0101010101010102E-2</v>
      </c>
      <c r="K17" s="15">
        <f>SUM(C17,E17,G17,I17)</f>
        <v>198</v>
      </c>
      <c r="L17" s="17">
        <f>IF((B17=0),"",(K17/B17))</f>
        <v>0.48648648648648651</v>
      </c>
      <c r="M17" s="29">
        <f>B17-K17</f>
        <v>209</v>
      </c>
      <c r="N17" s="17">
        <f t="shared" si="8"/>
        <v>0.51351351351351349</v>
      </c>
      <c r="O17" s="1"/>
      <c r="P17" s="1"/>
      <c r="Q17" s="1"/>
      <c r="R17" s="1"/>
      <c r="S17" s="1"/>
      <c r="T17" s="1"/>
      <c r="U17" s="1"/>
      <c r="V17" s="1"/>
      <c r="W17" s="1"/>
      <c r="X17" s="1"/>
    </row>
    <row r="18" spans="1:24" ht="12" customHeight="1" x14ac:dyDescent="0.2">
      <c r="A18" s="15" t="s">
        <v>204</v>
      </c>
      <c r="B18" s="15">
        <v>343</v>
      </c>
      <c r="C18" s="81">
        <v>71</v>
      </c>
      <c r="D18" s="82">
        <f>IF((K18=0),"",(C18/K18))</f>
        <v>0.39010989010989011</v>
      </c>
      <c r="E18" s="66">
        <v>105</v>
      </c>
      <c r="F18" s="67">
        <f>IF((K18=0),"",(E18/K18))</f>
        <v>0.57692307692307687</v>
      </c>
      <c r="G18" s="132">
        <v>0</v>
      </c>
      <c r="H18" s="133">
        <f>IF((K18=0),"",(G18/K18))</f>
        <v>0</v>
      </c>
      <c r="I18" s="15">
        <v>6</v>
      </c>
      <c r="J18" s="17">
        <f>IF((K18=0),"",(I18/K18))</f>
        <v>3.2967032967032968E-2</v>
      </c>
      <c r="K18" s="12">
        <f>SUM(C18,E18,G18,I18)</f>
        <v>182</v>
      </c>
      <c r="L18" s="17">
        <f>IF((B18=0),"",(K18/B18))</f>
        <v>0.53061224489795922</v>
      </c>
      <c r="M18" s="29">
        <f>B18-K18</f>
        <v>161</v>
      </c>
      <c r="N18" s="17">
        <f t="shared" si="8"/>
        <v>0.46938775510204084</v>
      </c>
      <c r="O18" s="1"/>
      <c r="P18" s="1"/>
      <c r="Q18" s="1"/>
      <c r="R18" s="1"/>
      <c r="S18" s="1"/>
      <c r="T18" s="1"/>
      <c r="U18" s="1"/>
      <c r="V18" s="1"/>
      <c r="W18" s="1"/>
      <c r="X18" s="1"/>
    </row>
    <row r="19" spans="1:24" s="38" customFormat="1" ht="12" customHeight="1" x14ac:dyDescent="0.2">
      <c r="A19" s="15" t="s">
        <v>153</v>
      </c>
      <c r="B19" s="15">
        <v>252</v>
      </c>
      <c r="C19" s="81">
        <v>48</v>
      </c>
      <c r="D19" s="82">
        <v>0.36630000000000001</v>
      </c>
      <c r="E19" s="66">
        <v>80</v>
      </c>
      <c r="F19" s="67">
        <v>0.60609999999999997</v>
      </c>
      <c r="G19" s="132">
        <v>0</v>
      </c>
      <c r="H19" s="133">
        <v>0</v>
      </c>
      <c r="I19" s="15">
        <v>4</v>
      </c>
      <c r="J19" s="17"/>
      <c r="K19" s="15">
        <v>132</v>
      </c>
      <c r="L19" s="17">
        <v>0.50790000000000002</v>
      </c>
      <c r="M19" s="29">
        <f>B19-K19</f>
        <v>120</v>
      </c>
      <c r="N19" s="17">
        <f t="shared" si="8"/>
        <v>0.47619047619047616</v>
      </c>
      <c r="O19" s="1"/>
      <c r="P19" s="1"/>
      <c r="Q19" s="1"/>
      <c r="R19" s="1"/>
      <c r="S19" s="1"/>
      <c r="T19" s="1"/>
      <c r="U19" s="1"/>
      <c r="V19" s="1"/>
      <c r="W19" s="1"/>
      <c r="X19" s="1"/>
    </row>
    <row r="20" spans="1:24" ht="12" customHeight="1" x14ac:dyDescent="0.2">
      <c r="A20" s="15" t="s">
        <v>145</v>
      </c>
      <c r="B20" s="15">
        <v>222</v>
      </c>
      <c r="C20" s="81">
        <v>41</v>
      </c>
      <c r="D20" s="82">
        <f>IF((K20=0),"",(C20/K20))</f>
        <v>0.34745762711864409</v>
      </c>
      <c r="E20" s="66">
        <v>75</v>
      </c>
      <c r="F20" s="67">
        <f>IF((K20=0),"",(E20/K20))</f>
        <v>0.63559322033898302</v>
      </c>
      <c r="G20" s="132">
        <v>0</v>
      </c>
      <c r="H20" s="133">
        <f>IF((K20=0),"",(G20/K20))</f>
        <v>0</v>
      </c>
      <c r="I20" s="15">
        <v>2</v>
      </c>
      <c r="J20" s="17">
        <f>IF((K20=0),"",(I20/K20))</f>
        <v>1.6949152542372881E-2</v>
      </c>
      <c r="K20" s="15">
        <f>SUM(C20,E20,G20,I20)</f>
        <v>118</v>
      </c>
      <c r="L20" s="17">
        <f>IF((B20=0),"",(K20/B20))</f>
        <v>0.53153153153153154</v>
      </c>
      <c r="M20" s="29">
        <f>B20-K20</f>
        <v>104</v>
      </c>
      <c r="N20" s="17">
        <f t="shared" si="8"/>
        <v>0.46846846846846846</v>
      </c>
      <c r="O20" s="1"/>
      <c r="P20" s="1"/>
      <c r="Q20" s="1"/>
      <c r="R20" s="1"/>
      <c r="S20" s="1"/>
      <c r="T20" s="1"/>
      <c r="U20" s="1"/>
      <c r="V20" s="1"/>
      <c r="W20" s="1"/>
      <c r="X20" s="1"/>
    </row>
    <row r="21" spans="1:24" ht="12" customHeight="1" x14ac:dyDescent="0.2">
      <c r="A21" s="12" t="s">
        <v>120</v>
      </c>
      <c r="B21" s="12">
        <f>SUM(B16:B20)</f>
        <v>1633</v>
      </c>
      <c r="C21" s="78">
        <f>SUM(C16:C20)</f>
        <v>338</v>
      </c>
      <c r="D21" s="79">
        <f>IF((K21=0),"",(C21/K21))</f>
        <v>0.39532163742690057</v>
      </c>
      <c r="E21" s="63">
        <f>SUM(E16:E20)</f>
        <v>497</v>
      </c>
      <c r="F21" s="64">
        <f>IF((K21=0),"",(E21/K21))</f>
        <v>0.5812865497076023</v>
      </c>
      <c r="G21" s="129">
        <f>SUM(G16:G20)</f>
        <v>0</v>
      </c>
      <c r="H21" s="130">
        <f>IF((K21=0),"",(G21/K21))</f>
        <v>0</v>
      </c>
      <c r="I21" s="12">
        <f>SUM(I16:I20)</f>
        <v>20</v>
      </c>
      <c r="J21" s="13">
        <f>IF((K21=0),"",(I21/K21))</f>
        <v>2.3391812865497075E-2</v>
      </c>
      <c r="K21" s="12">
        <f>SUM(C21,E21,G21,I21)</f>
        <v>855</v>
      </c>
      <c r="L21" s="13">
        <f>IF((B21=0),"",(K21/B21))</f>
        <v>0.52357624004898962</v>
      </c>
      <c r="M21" s="12">
        <f>SUM(M16:M20)</f>
        <v>778</v>
      </c>
      <c r="N21" s="13">
        <f t="shared" si="8"/>
        <v>0.47642375995101038</v>
      </c>
      <c r="O21" s="1"/>
      <c r="P21" s="1"/>
      <c r="Q21" s="1"/>
      <c r="R21" s="1"/>
      <c r="S21" s="1"/>
      <c r="T21" s="1"/>
      <c r="U21" s="1"/>
      <c r="V21" s="1"/>
      <c r="W21" s="1"/>
      <c r="X21" s="1"/>
    </row>
    <row r="22" spans="1:24" s="51" customFormat="1" ht="12" customHeight="1" x14ac:dyDescent="0.2">
      <c r="A22" s="32" t="s">
        <v>542</v>
      </c>
      <c r="B22" s="32">
        <v>9</v>
      </c>
      <c r="C22" s="78"/>
      <c r="D22" s="79"/>
      <c r="E22" s="63"/>
      <c r="F22" s="64"/>
      <c r="G22" s="129"/>
      <c r="H22" s="130"/>
      <c r="I22" s="32"/>
      <c r="J22" s="28"/>
      <c r="K22" s="32"/>
      <c r="L22" s="28"/>
      <c r="M22" s="32"/>
      <c r="N22" s="28"/>
      <c r="O22" s="1"/>
      <c r="P22" s="1"/>
      <c r="Q22" s="1"/>
      <c r="R22" s="1"/>
      <c r="S22" s="1"/>
      <c r="T22" s="1"/>
      <c r="U22" s="1"/>
      <c r="V22" s="1"/>
      <c r="W22" s="1"/>
      <c r="X22" s="1"/>
    </row>
    <row r="23" spans="1:24" ht="12" customHeight="1" x14ac:dyDescent="0.2">
      <c r="A23" s="14" t="s">
        <v>250</v>
      </c>
      <c r="B23" s="32" t="s">
        <v>494</v>
      </c>
      <c r="C23" s="86"/>
      <c r="D23" s="86"/>
      <c r="E23" s="90"/>
      <c r="F23" s="90"/>
      <c r="G23" s="131"/>
      <c r="H23" s="131"/>
      <c r="I23" s="16"/>
      <c r="J23" s="16"/>
      <c r="K23" s="16"/>
      <c r="L23" s="16"/>
      <c r="M23" s="16"/>
      <c r="N23" s="16"/>
      <c r="O23" s="1"/>
      <c r="P23" s="1"/>
      <c r="Q23" s="1"/>
      <c r="R23" s="1"/>
      <c r="S23" s="1"/>
      <c r="T23" s="1"/>
      <c r="U23" s="1"/>
      <c r="V23" s="1"/>
      <c r="W23" s="1"/>
      <c r="X23" s="1"/>
    </row>
    <row r="24" spans="1:24" ht="12" customHeight="1" x14ac:dyDescent="0.2">
      <c r="A24" s="15" t="s">
        <v>191</v>
      </c>
      <c r="B24" s="15">
        <v>337</v>
      </c>
      <c r="C24" s="81">
        <v>130</v>
      </c>
      <c r="D24" s="82">
        <f>IF((K24=0),"",(C24/K24))</f>
        <v>0.62200956937799046</v>
      </c>
      <c r="E24" s="66">
        <v>69</v>
      </c>
      <c r="F24" s="67">
        <f>IF((K24=0),"",(E24/K24))</f>
        <v>0.33014354066985646</v>
      </c>
      <c r="G24" s="132">
        <v>0</v>
      </c>
      <c r="H24" s="133">
        <f>IF((K24=0),"",(G24/K24))</f>
        <v>0</v>
      </c>
      <c r="I24" s="15">
        <v>10</v>
      </c>
      <c r="J24" s="17">
        <f>IF((K24=0),"",(I24/K24))</f>
        <v>4.784688995215311E-2</v>
      </c>
      <c r="K24" s="15">
        <f>SUM(C24,E24,G24,I24)</f>
        <v>209</v>
      </c>
      <c r="L24" s="17">
        <f>IF((B24=0),"",(K24/B24))</f>
        <v>0.62017804154302669</v>
      </c>
      <c r="M24" s="29">
        <f>B24-K24</f>
        <v>128</v>
      </c>
      <c r="N24" s="17">
        <f>IF((B24=0),"",(M24/B24))</f>
        <v>0.37982195845697331</v>
      </c>
      <c r="O24" s="1"/>
      <c r="P24" s="1"/>
      <c r="Q24" s="1"/>
      <c r="R24" s="1"/>
      <c r="S24" s="1"/>
      <c r="T24" s="1"/>
      <c r="U24" s="1"/>
      <c r="V24" s="1"/>
      <c r="W24" s="1"/>
      <c r="X24" s="1"/>
    </row>
    <row r="25" spans="1:24" ht="12" customHeight="1" x14ac:dyDescent="0.2">
      <c r="A25" s="15" t="s">
        <v>132</v>
      </c>
      <c r="B25" s="15">
        <v>386</v>
      </c>
      <c r="C25" s="81">
        <v>189</v>
      </c>
      <c r="D25" s="82">
        <f>IF((K25=0),"",(C25/K25))</f>
        <v>0.55425219941348969</v>
      </c>
      <c r="E25" s="66">
        <v>136</v>
      </c>
      <c r="F25" s="67">
        <f>IF((K25=0),"",(E25/K25))</f>
        <v>0.39882697947214074</v>
      </c>
      <c r="G25" s="132">
        <v>0</v>
      </c>
      <c r="H25" s="133">
        <f>IF((K25=0),"",(G25/K25))</f>
        <v>0</v>
      </c>
      <c r="I25" s="15">
        <v>16</v>
      </c>
      <c r="J25" s="17">
        <f>IF((K25=0),"",(I25/K25))</f>
        <v>4.6920821114369501E-2</v>
      </c>
      <c r="K25" s="15">
        <f>SUM(C25,E25,G25,I25)</f>
        <v>341</v>
      </c>
      <c r="L25" s="17">
        <f>IF((B25=0),"",(K25/B25))</f>
        <v>0.88341968911917101</v>
      </c>
      <c r="M25" s="29">
        <f>B25-K25</f>
        <v>45</v>
      </c>
      <c r="N25" s="17">
        <f>IF((B25=0),"",(M25/B25))</f>
        <v>0.11658031088082901</v>
      </c>
      <c r="O25" s="1"/>
      <c r="P25" s="1"/>
      <c r="Q25" s="1"/>
      <c r="R25" s="1"/>
      <c r="S25" s="1"/>
      <c r="T25" s="1"/>
      <c r="U25" s="1"/>
      <c r="V25" s="1"/>
      <c r="W25" s="1"/>
      <c r="X25" s="1"/>
    </row>
    <row r="26" spans="1:24" ht="12" customHeight="1" x14ac:dyDescent="0.2">
      <c r="A26" s="15" t="s">
        <v>186</v>
      </c>
      <c r="B26" s="15">
        <v>444</v>
      </c>
      <c r="C26" s="81">
        <v>194</v>
      </c>
      <c r="D26" s="82">
        <f>IF((K26=0),"",(C26/K26))</f>
        <v>0.71851851851851856</v>
      </c>
      <c r="E26" s="66">
        <v>70</v>
      </c>
      <c r="F26" s="67">
        <f>IF((K26=0),"",(E26/K26))</f>
        <v>0.25925925925925924</v>
      </c>
      <c r="G26" s="132">
        <v>0</v>
      </c>
      <c r="H26" s="133">
        <f>IF((K26=0),"",(G26/K26))</f>
        <v>0</v>
      </c>
      <c r="I26" s="15">
        <v>6</v>
      </c>
      <c r="J26" s="17">
        <f>IF((K26=0),"",(I26/K26))</f>
        <v>2.2222222222222223E-2</v>
      </c>
      <c r="K26" s="15">
        <f>SUM(C26,E26,G26,I26)</f>
        <v>270</v>
      </c>
      <c r="L26" s="17">
        <f>IF((B26=0),"",(K26/B26))</f>
        <v>0.60810810810810811</v>
      </c>
      <c r="M26" s="29">
        <f>B26-K26</f>
        <v>174</v>
      </c>
      <c r="N26" s="17">
        <f>IF((B26=0),"",(M26/B26))</f>
        <v>0.39189189189189189</v>
      </c>
      <c r="O26" s="1"/>
      <c r="P26" s="1"/>
      <c r="Q26" s="1"/>
      <c r="R26" s="1"/>
      <c r="S26" s="1"/>
      <c r="T26" s="1"/>
      <c r="U26" s="1"/>
      <c r="V26" s="1"/>
      <c r="W26" s="1"/>
      <c r="X26" s="1"/>
    </row>
    <row r="27" spans="1:24" ht="12" customHeight="1" x14ac:dyDescent="0.2">
      <c r="A27" s="12" t="s">
        <v>120</v>
      </c>
      <c r="B27" s="12">
        <f>SUM(B24:B26)</f>
        <v>1167</v>
      </c>
      <c r="C27" s="78">
        <f>SUM(C24:C26)</f>
        <v>513</v>
      </c>
      <c r="D27" s="79">
        <f>IF((K27=0),"",(C27/K27))</f>
        <v>0.62560975609756098</v>
      </c>
      <c r="E27" s="63">
        <f>SUM(E24:E26)</f>
        <v>275</v>
      </c>
      <c r="F27" s="64">
        <f>IF((K27=0),"",(E27/K27))</f>
        <v>0.33536585365853661</v>
      </c>
      <c r="G27" s="129">
        <f>SUM(G24:G26)</f>
        <v>0</v>
      </c>
      <c r="H27" s="130">
        <f>IF((K27=0),"",(G27/K27))</f>
        <v>0</v>
      </c>
      <c r="I27" s="12">
        <f>SUM(I24:I26)</f>
        <v>32</v>
      </c>
      <c r="J27" s="13">
        <f>IF((K27=0),"",(I27/K27))</f>
        <v>3.9024390243902439E-2</v>
      </c>
      <c r="K27" s="12">
        <f>SUM(C27,E27,G27,I27)</f>
        <v>820</v>
      </c>
      <c r="L27" s="13">
        <f>IF((B27=0),"",(K27/B27))</f>
        <v>0.70265638389031704</v>
      </c>
      <c r="M27" s="32">
        <f>SUM(M24:M26)</f>
        <v>347</v>
      </c>
      <c r="N27" s="13">
        <f>IF((B27=0),"",(M27/B27))</f>
        <v>0.29734361610968296</v>
      </c>
      <c r="O27" s="1"/>
      <c r="P27" s="1"/>
      <c r="Q27" s="1"/>
      <c r="R27" s="1"/>
      <c r="S27" s="1"/>
      <c r="T27" s="1"/>
      <c r="U27" s="1"/>
      <c r="V27" s="1"/>
      <c r="W27" s="1"/>
      <c r="X27" s="1"/>
    </row>
    <row r="28" spans="1:24" s="51" customFormat="1" ht="12" customHeight="1" x14ac:dyDescent="0.2">
      <c r="A28" s="32" t="s">
        <v>542</v>
      </c>
      <c r="B28" s="32">
        <v>5</v>
      </c>
      <c r="C28" s="78"/>
      <c r="D28" s="79"/>
      <c r="E28" s="63"/>
      <c r="F28" s="64"/>
      <c r="G28" s="129"/>
      <c r="H28" s="130"/>
      <c r="I28" s="32"/>
      <c r="J28" s="28"/>
      <c r="K28" s="32"/>
      <c r="L28" s="28"/>
      <c r="M28" s="32"/>
      <c r="N28" s="28"/>
      <c r="O28" s="1"/>
      <c r="P28" s="1"/>
      <c r="Q28" s="1"/>
      <c r="R28" s="1"/>
      <c r="S28" s="1"/>
      <c r="T28" s="1"/>
      <c r="U28" s="1"/>
      <c r="V28" s="1"/>
      <c r="W28" s="1"/>
      <c r="X28" s="1"/>
    </row>
    <row r="29" spans="1:24" ht="12" customHeight="1" x14ac:dyDescent="0.2">
      <c r="A29" s="14" t="s">
        <v>251</v>
      </c>
      <c r="B29" s="32" t="s">
        <v>495</v>
      </c>
      <c r="C29" s="83"/>
      <c r="D29" s="83"/>
      <c r="E29" s="90"/>
      <c r="F29" s="90"/>
      <c r="G29" s="131"/>
      <c r="H29" s="131"/>
      <c r="I29" s="16"/>
      <c r="J29" s="16"/>
      <c r="K29" s="16"/>
      <c r="L29" s="16"/>
      <c r="M29" s="16"/>
      <c r="N29" s="16"/>
      <c r="O29" s="1"/>
      <c r="P29" s="1"/>
      <c r="Q29" s="1"/>
      <c r="R29" s="1"/>
      <c r="S29" s="1"/>
      <c r="T29" s="1"/>
      <c r="U29" s="1"/>
      <c r="V29" s="1"/>
      <c r="W29" s="1"/>
      <c r="X29" s="1"/>
    </row>
    <row r="30" spans="1:24" ht="12" customHeight="1" x14ac:dyDescent="0.2">
      <c r="A30" s="15" t="s">
        <v>161</v>
      </c>
      <c r="B30" s="15">
        <v>464</v>
      </c>
      <c r="C30" s="81">
        <v>124</v>
      </c>
      <c r="D30" s="82">
        <f>IF((K30=0),"",(C30/K30))</f>
        <v>0.41059602649006621</v>
      </c>
      <c r="E30" s="66">
        <v>176</v>
      </c>
      <c r="F30" s="67">
        <f>IF((K30=0),"",(E30/K30))</f>
        <v>0.58278145695364236</v>
      </c>
      <c r="G30" s="132">
        <v>1</v>
      </c>
      <c r="H30" s="133">
        <f>IF((K30=0),"",(G30/K30))</f>
        <v>3.3112582781456954E-3</v>
      </c>
      <c r="I30" s="15">
        <v>1</v>
      </c>
      <c r="J30" s="17">
        <f>IF((K30=0),"",(I30/K30))</f>
        <v>3.3112582781456954E-3</v>
      </c>
      <c r="K30" s="15">
        <f>SUM(C30,E30,G30,I30)</f>
        <v>302</v>
      </c>
      <c r="L30" s="17">
        <f>IF((B30=0),"",(K30/B30))</f>
        <v>0.65086206896551724</v>
      </c>
      <c r="M30" s="29">
        <f>B30-K30</f>
        <v>162</v>
      </c>
      <c r="N30" s="17">
        <f>IF((B30=0),"",(M30/B30))</f>
        <v>0.34913793103448276</v>
      </c>
      <c r="O30" s="1"/>
      <c r="P30" s="1"/>
      <c r="Q30" s="1"/>
      <c r="R30" s="1"/>
      <c r="S30" s="1"/>
      <c r="T30" s="1"/>
      <c r="U30" s="1"/>
      <c r="V30" s="1"/>
      <c r="W30" s="1"/>
      <c r="X30" s="1"/>
    </row>
    <row r="31" spans="1:24" ht="12" customHeight="1" x14ac:dyDescent="0.2">
      <c r="A31" s="15" t="s">
        <v>162</v>
      </c>
      <c r="B31" s="15">
        <v>439</v>
      </c>
      <c r="C31" s="81">
        <v>106</v>
      </c>
      <c r="D31" s="82">
        <f>IF((K31=0),"",(C31/K31))</f>
        <v>0.38686131386861317</v>
      </c>
      <c r="E31" s="66">
        <v>166</v>
      </c>
      <c r="F31" s="67">
        <f>IF((K31=0),"",(E31/K31))</f>
        <v>0.6058394160583942</v>
      </c>
      <c r="G31" s="132">
        <v>0</v>
      </c>
      <c r="H31" s="133">
        <f>IF((K31=0),"",(G31/K31))</f>
        <v>0</v>
      </c>
      <c r="I31" s="15">
        <v>2</v>
      </c>
      <c r="J31" s="17">
        <f>IF((K31=0),"",(I31/K31))</f>
        <v>7.2992700729927005E-3</v>
      </c>
      <c r="K31" s="15">
        <f>SUM(C31,E31,G31,I31)</f>
        <v>274</v>
      </c>
      <c r="L31" s="17">
        <f>IF((B31=0),"",(K31/B31))</f>
        <v>0.62414578587699321</v>
      </c>
      <c r="M31" s="29">
        <f>B31-K31</f>
        <v>165</v>
      </c>
      <c r="N31" s="17">
        <f>IF((B31=0),"",(M31/B31))</f>
        <v>0.37585421412300685</v>
      </c>
      <c r="O31" s="1"/>
      <c r="P31" s="1"/>
      <c r="Q31" s="1"/>
      <c r="R31" s="1"/>
      <c r="S31" s="1"/>
      <c r="T31" s="1"/>
      <c r="U31" s="1"/>
      <c r="V31" s="1"/>
      <c r="W31" s="1"/>
      <c r="X31" s="1"/>
    </row>
    <row r="32" spans="1:24" ht="12" customHeight="1" x14ac:dyDescent="0.2">
      <c r="A32" s="12" t="s">
        <v>120</v>
      </c>
      <c r="B32" s="12">
        <f>SUM(B30:B31)</f>
        <v>903</v>
      </c>
      <c r="C32" s="78">
        <f>SUM(C30:C31)</f>
        <v>230</v>
      </c>
      <c r="D32" s="79">
        <f>IF((K32=0),"",(C32/K32))</f>
        <v>0.39930555555555558</v>
      </c>
      <c r="E32" s="63">
        <f>SUM(E30:E31)</f>
        <v>342</v>
      </c>
      <c r="F32" s="64">
        <f>IF((K32=0),"",(E32/K32))</f>
        <v>0.59375</v>
      </c>
      <c r="G32" s="129">
        <f>SUM(G30:G31)</f>
        <v>1</v>
      </c>
      <c r="H32" s="130">
        <f>IF((K32=0),"",(G32/K32))</f>
        <v>1.736111111111111E-3</v>
      </c>
      <c r="I32" s="12">
        <f>SUM(I30:I31)</f>
        <v>3</v>
      </c>
      <c r="J32" s="13">
        <f>IF((K32=0),"",(I32/K32))</f>
        <v>5.208333333333333E-3</v>
      </c>
      <c r="K32" s="12">
        <f>SUM(C32,E32,G32,I32)</f>
        <v>576</v>
      </c>
      <c r="L32" s="13">
        <f>IF((B32=0),"",(K32/B32))</f>
        <v>0.63787375415282388</v>
      </c>
      <c r="M32" s="32">
        <f>SUM(M30:M31)</f>
        <v>327</v>
      </c>
      <c r="N32" s="13">
        <f>IF((B32=0),"",(M32/B32))</f>
        <v>0.36212624584717606</v>
      </c>
      <c r="O32" s="1"/>
      <c r="P32" s="1"/>
      <c r="Q32" s="1"/>
      <c r="R32" s="1"/>
      <c r="S32" s="1"/>
      <c r="T32" s="1"/>
      <c r="U32" s="1"/>
      <c r="V32" s="1"/>
      <c r="W32" s="1"/>
      <c r="X32" s="1"/>
    </row>
    <row r="33" spans="1:24" s="51" customFormat="1" ht="12" customHeight="1" x14ac:dyDescent="0.2">
      <c r="A33" s="32" t="s">
        <v>542</v>
      </c>
      <c r="B33" s="32">
        <v>2</v>
      </c>
      <c r="C33" s="78"/>
      <c r="D33" s="79"/>
      <c r="E33" s="63"/>
      <c r="F33" s="64"/>
      <c r="G33" s="129"/>
      <c r="H33" s="130"/>
      <c r="I33" s="32"/>
      <c r="J33" s="28"/>
      <c r="K33" s="32"/>
      <c r="L33" s="28"/>
      <c r="M33" s="32"/>
      <c r="N33" s="28"/>
      <c r="O33" s="1"/>
      <c r="P33" s="1"/>
      <c r="Q33" s="1"/>
      <c r="R33" s="1"/>
      <c r="S33" s="1"/>
      <c r="T33" s="1"/>
      <c r="U33" s="1"/>
      <c r="V33" s="1"/>
      <c r="W33" s="1"/>
      <c r="X33" s="1"/>
    </row>
    <row r="34" spans="1:24" ht="12" customHeight="1" x14ac:dyDescent="0.2">
      <c r="A34" s="14" t="s">
        <v>253</v>
      </c>
      <c r="B34" s="32" t="s">
        <v>254</v>
      </c>
      <c r="C34" s="86"/>
      <c r="D34" s="86"/>
      <c r="E34" s="90"/>
      <c r="F34" s="90"/>
      <c r="G34" s="131"/>
      <c r="H34" s="131"/>
      <c r="I34" s="16"/>
      <c r="J34" s="16"/>
      <c r="K34" s="16"/>
      <c r="L34" s="16"/>
      <c r="M34" s="16"/>
      <c r="N34" s="16"/>
      <c r="O34" s="1"/>
      <c r="P34" s="1"/>
      <c r="Q34" s="1"/>
      <c r="R34" s="1"/>
      <c r="S34" s="1"/>
      <c r="T34" s="1"/>
      <c r="U34" s="1"/>
      <c r="V34" s="1"/>
      <c r="W34" s="1"/>
      <c r="X34" s="1"/>
    </row>
    <row r="35" spans="1:24" ht="12" customHeight="1" x14ac:dyDescent="0.2">
      <c r="A35" s="12" t="s">
        <v>128</v>
      </c>
      <c r="B35" s="12">
        <v>111</v>
      </c>
      <c r="C35" s="78">
        <v>38</v>
      </c>
      <c r="D35" s="79">
        <f>IF((K35=0),"",(C35/K35))</f>
        <v>0.5757575757575758</v>
      </c>
      <c r="E35" s="63">
        <v>28</v>
      </c>
      <c r="F35" s="64">
        <f>IF((K35=0),"",(E35/K35))</f>
        <v>0.42424242424242425</v>
      </c>
      <c r="G35" s="129">
        <v>0</v>
      </c>
      <c r="H35" s="130">
        <f>IF((K35=0),"",(G35/K35))</f>
        <v>0</v>
      </c>
      <c r="I35" s="12">
        <v>0</v>
      </c>
      <c r="J35" s="13">
        <f>IF((K35=0),"",(I35/K35))</f>
        <v>0</v>
      </c>
      <c r="K35" s="12">
        <f>SUM(C35,E35,G35,I35)</f>
        <v>66</v>
      </c>
      <c r="L35" s="13">
        <f>IF((B35=0),"",(K35/B35))</f>
        <v>0.59459459459459463</v>
      </c>
      <c r="M35" s="12">
        <f>B35-K35</f>
        <v>45</v>
      </c>
      <c r="N35" s="13">
        <f>IF((B35=0),"",(M35/B35))</f>
        <v>0.40540540540540543</v>
      </c>
      <c r="O35" s="1"/>
      <c r="P35" s="1"/>
      <c r="Q35" s="1"/>
      <c r="R35" s="1"/>
      <c r="S35" s="1"/>
      <c r="T35" s="1"/>
      <c r="U35" s="1"/>
      <c r="V35" s="1"/>
      <c r="W35" s="1"/>
      <c r="X35" s="1"/>
    </row>
    <row r="36" spans="1:24" s="51" customFormat="1" ht="12" customHeight="1" x14ac:dyDescent="0.2">
      <c r="A36" s="32" t="s">
        <v>542</v>
      </c>
      <c r="B36" s="32">
        <v>2</v>
      </c>
      <c r="C36" s="78"/>
      <c r="D36" s="79"/>
      <c r="E36" s="63"/>
      <c r="F36" s="64"/>
      <c r="G36" s="129"/>
      <c r="H36" s="130"/>
      <c r="I36" s="32"/>
      <c r="J36" s="28"/>
      <c r="K36" s="32"/>
      <c r="L36" s="28"/>
      <c r="M36" s="32"/>
      <c r="N36" s="28"/>
      <c r="O36" s="1"/>
      <c r="P36" s="1"/>
      <c r="Q36" s="1"/>
      <c r="R36" s="1"/>
      <c r="S36" s="1"/>
      <c r="T36" s="1"/>
      <c r="U36" s="1"/>
      <c r="V36" s="1"/>
      <c r="W36" s="1"/>
      <c r="X36" s="1"/>
    </row>
    <row r="37" spans="1:24" ht="12" customHeight="1" x14ac:dyDescent="0.2">
      <c r="A37" s="14" t="s">
        <v>255</v>
      </c>
      <c r="B37" s="32" t="s">
        <v>256</v>
      </c>
      <c r="C37" s="86"/>
      <c r="D37" s="86"/>
      <c r="E37" s="90"/>
      <c r="F37" s="90"/>
      <c r="G37" s="131"/>
      <c r="H37" s="131"/>
      <c r="I37" s="16"/>
      <c r="J37" s="16"/>
      <c r="K37" s="16"/>
      <c r="L37" s="16"/>
      <c r="M37" s="16"/>
      <c r="N37" s="16"/>
      <c r="O37" s="1"/>
      <c r="P37" s="1"/>
      <c r="Q37" s="1"/>
      <c r="R37" s="1"/>
      <c r="S37" s="1"/>
      <c r="T37" s="1"/>
      <c r="U37" s="1"/>
      <c r="V37" s="1"/>
      <c r="W37" s="1"/>
      <c r="X37" s="1"/>
    </row>
    <row r="38" spans="1:24" ht="12" customHeight="1" x14ac:dyDescent="0.2">
      <c r="A38" s="15" t="s">
        <v>496</v>
      </c>
      <c r="B38" s="15">
        <v>407</v>
      </c>
      <c r="C38" s="81">
        <v>126</v>
      </c>
      <c r="D38" s="82">
        <f>IF((K38=0),"",(C38/K38))</f>
        <v>0.50199203187250996</v>
      </c>
      <c r="E38" s="66">
        <v>101</v>
      </c>
      <c r="F38" s="67">
        <f>IF((K38=0),"",(E38/K38))</f>
        <v>0.40239043824701193</v>
      </c>
      <c r="G38" s="132">
        <v>1</v>
      </c>
      <c r="H38" s="133">
        <f>IF((K38=0),"",(G38/K38))</f>
        <v>3.9840637450199202E-3</v>
      </c>
      <c r="I38" s="15">
        <v>23</v>
      </c>
      <c r="J38" s="17">
        <f>IF((K38=0),"",(I38/K38))</f>
        <v>9.1633466135458169E-2</v>
      </c>
      <c r="K38" s="15">
        <f>SUM(C38,E38,G38,I38)</f>
        <v>251</v>
      </c>
      <c r="L38" s="17">
        <f>IF((B38=0),"",(K38/B38))</f>
        <v>0.61670761670761676</v>
      </c>
      <c r="M38" s="29">
        <f>B38-K38</f>
        <v>156</v>
      </c>
      <c r="N38" s="17">
        <f>IF((B38=0),"",(M38/B38))</f>
        <v>0.3832923832923833</v>
      </c>
      <c r="O38" s="1"/>
      <c r="P38" s="1"/>
      <c r="Q38" s="1"/>
      <c r="R38" s="1"/>
      <c r="S38" s="1"/>
      <c r="T38" s="1"/>
      <c r="U38" s="1"/>
      <c r="V38" s="1"/>
      <c r="W38" s="1"/>
      <c r="X38" s="1"/>
    </row>
    <row r="39" spans="1:24" ht="12" customHeight="1" x14ac:dyDescent="0.2">
      <c r="A39" s="15" t="s">
        <v>497</v>
      </c>
      <c r="B39" s="15">
        <v>453</v>
      </c>
      <c r="C39" s="81">
        <v>203</v>
      </c>
      <c r="D39" s="82">
        <f>IF((K39=0),"",(C39/K39))</f>
        <v>0.67441860465116277</v>
      </c>
      <c r="E39" s="66">
        <v>97</v>
      </c>
      <c r="F39" s="67">
        <f>IF((K39=0),"",(E39/K39))</f>
        <v>0.32225913621262459</v>
      </c>
      <c r="G39" s="132">
        <v>0</v>
      </c>
      <c r="H39" s="133">
        <f>IF((K39=0),"",(G39/K39))</f>
        <v>0</v>
      </c>
      <c r="I39" s="15">
        <v>1</v>
      </c>
      <c r="J39" s="17">
        <f>IF((K39=0),"",(I39/K39))</f>
        <v>3.3222591362126247E-3</v>
      </c>
      <c r="K39" s="15">
        <f>SUM(C39,E39,G39,I39)</f>
        <v>301</v>
      </c>
      <c r="L39" s="17">
        <f>IF((B39=0),"",(K39/B39))</f>
        <v>0.66445916114790282</v>
      </c>
      <c r="M39" s="29">
        <f>B39-K39</f>
        <v>152</v>
      </c>
      <c r="N39" s="17">
        <f>IF((B39=0),"",(M39/B39))</f>
        <v>0.33554083885209712</v>
      </c>
      <c r="O39" s="1"/>
      <c r="P39" s="1"/>
      <c r="Q39" s="1"/>
      <c r="R39" s="1"/>
      <c r="S39" s="1"/>
      <c r="T39" s="1"/>
      <c r="U39" s="1"/>
      <c r="V39" s="1"/>
      <c r="W39" s="1"/>
      <c r="X39" s="1"/>
    </row>
    <row r="40" spans="1:24" ht="12" customHeight="1" x14ac:dyDescent="0.2">
      <c r="A40" s="12" t="s">
        <v>120</v>
      </c>
      <c r="B40" s="12">
        <f>SUM(B38:B39)</f>
        <v>860</v>
      </c>
      <c r="C40" s="78">
        <f>SUM(C38:C39)</f>
        <v>329</v>
      </c>
      <c r="D40" s="79">
        <f>IF((K40=0),"",(C40/K40))</f>
        <v>0.59601449275362317</v>
      </c>
      <c r="E40" s="63">
        <f>SUM(E38:E39)</f>
        <v>198</v>
      </c>
      <c r="F40" s="64">
        <f>IF((K40=0),"",(E40/K40))</f>
        <v>0.35869565217391303</v>
      </c>
      <c r="G40" s="129">
        <f>SUM(G38:G39)</f>
        <v>1</v>
      </c>
      <c r="H40" s="130">
        <f>IF((K40=0),"",(G40/K40))</f>
        <v>1.8115942028985507E-3</v>
      </c>
      <c r="I40" s="12">
        <f>SUM(I38:I39)</f>
        <v>24</v>
      </c>
      <c r="J40" s="13">
        <f>IF((K40=0),"",(I40/K40))</f>
        <v>4.3478260869565216E-2</v>
      </c>
      <c r="K40" s="12">
        <f>SUM(C40,E40,G40,I40)</f>
        <v>552</v>
      </c>
      <c r="L40" s="13">
        <f>IF((B40=0),"",(K40/B40))</f>
        <v>0.64186046511627903</v>
      </c>
      <c r="M40" s="32">
        <f>SUM(M38:M39)</f>
        <v>308</v>
      </c>
      <c r="N40" s="13">
        <f>IF((B40=0),"",(M40/B40))</f>
        <v>0.35813953488372091</v>
      </c>
      <c r="O40" s="1"/>
      <c r="P40" s="1"/>
      <c r="Q40" s="1"/>
      <c r="R40" s="1"/>
      <c r="S40" s="1"/>
      <c r="T40" s="1"/>
      <c r="U40" s="1"/>
      <c r="V40" s="1"/>
      <c r="W40" s="1"/>
      <c r="X40" s="1"/>
    </row>
    <row r="41" spans="1:24" s="51" customFormat="1" ht="12" customHeight="1" x14ac:dyDescent="0.2">
      <c r="A41" s="32" t="s">
        <v>542</v>
      </c>
      <c r="B41" s="32">
        <v>1</v>
      </c>
      <c r="C41" s="78"/>
      <c r="D41" s="79"/>
      <c r="E41" s="63"/>
      <c r="F41" s="64"/>
      <c r="G41" s="129"/>
      <c r="H41" s="130"/>
      <c r="I41" s="32"/>
      <c r="J41" s="28"/>
      <c r="K41" s="32"/>
      <c r="L41" s="28"/>
      <c r="M41" s="32"/>
      <c r="N41" s="28"/>
      <c r="O41" s="1"/>
      <c r="P41" s="1"/>
      <c r="Q41" s="1"/>
      <c r="R41" s="1"/>
      <c r="S41" s="1"/>
      <c r="T41" s="1"/>
      <c r="U41" s="1"/>
      <c r="V41" s="1"/>
      <c r="W41" s="1"/>
      <c r="X41" s="1"/>
    </row>
    <row r="42" spans="1:24" ht="12" customHeight="1" x14ac:dyDescent="0.2">
      <c r="A42" s="14" t="s">
        <v>257</v>
      </c>
      <c r="B42" s="32" t="s">
        <v>258</v>
      </c>
      <c r="C42" s="86"/>
      <c r="D42" s="86"/>
      <c r="E42" s="90"/>
      <c r="F42" s="90"/>
      <c r="G42" s="131"/>
      <c r="H42" s="131"/>
      <c r="I42" s="16"/>
      <c r="J42" s="16"/>
      <c r="K42" s="16"/>
      <c r="L42" s="16"/>
      <c r="M42" s="16"/>
      <c r="N42" s="16"/>
      <c r="O42" s="1"/>
      <c r="P42" s="1"/>
      <c r="Q42" s="1"/>
      <c r="R42" s="1"/>
      <c r="S42" s="1"/>
      <c r="T42" s="1"/>
      <c r="U42" s="1"/>
      <c r="V42" s="1"/>
      <c r="W42" s="1"/>
      <c r="X42" s="1"/>
    </row>
    <row r="43" spans="1:24" ht="12" customHeight="1" x14ac:dyDescent="0.2">
      <c r="A43" s="15" t="s">
        <v>161</v>
      </c>
      <c r="B43" s="15">
        <v>306</v>
      </c>
      <c r="C43" s="81">
        <v>44</v>
      </c>
      <c r="D43" s="82">
        <f>IF((K43=0),"",(C43/K43))</f>
        <v>0.24444444444444444</v>
      </c>
      <c r="E43" s="66">
        <v>134</v>
      </c>
      <c r="F43" s="67">
        <f>IF((K43=0),"",(E43/K43))</f>
        <v>0.74444444444444446</v>
      </c>
      <c r="G43" s="132">
        <v>1</v>
      </c>
      <c r="H43" s="133">
        <f>IF((K43=0),"",(G43/K43))</f>
        <v>5.5555555555555558E-3</v>
      </c>
      <c r="I43" s="15">
        <v>1</v>
      </c>
      <c r="J43" s="17">
        <f>IF((K43=0),"",(I43/K43))</f>
        <v>5.5555555555555558E-3</v>
      </c>
      <c r="K43" s="15">
        <f>SUM(C43,E43,G43,I43)</f>
        <v>180</v>
      </c>
      <c r="L43" s="17">
        <f>IF((B43=0),"",(K43/B43))</f>
        <v>0.58823529411764708</v>
      </c>
      <c r="M43" s="29">
        <f>B43-K43</f>
        <v>126</v>
      </c>
      <c r="N43" s="17">
        <f>IF((B43=0),"",(M43/B43))</f>
        <v>0.41176470588235292</v>
      </c>
      <c r="O43" s="1"/>
      <c r="P43" s="1"/>
      <c r="Q43" s="1"/>
      <c r="R43" s="1"/>
      <c r="S43" s="1"/>
      <c r="T43" s="1"/>
      <c r="U43" s="1"/>
      <c r="V43" s="1"/>
      <c r="W43" s="1"/>
      <c r="X43" s="1"/>
    </row>
    <row r="44" spans="1:24" ht="12" customHeight="1" x14ac:dyDescent="0.2">
      <c r="A44" s="15" t="s">
        <v>162</v>
      </c>
      <c r="B44" s="15">
        <v>375</v>
      </c>
      <c r="C44" s="81">
        <v>69</v>
      </c>
      <c r="D44" s="82">
        <f>IF((K44=0),"",(C44/K44))</f>
        <v>0.31506849315068491</v>
      </c>
      <c r="E44" s="66">
        <v>144</v>
      </c>
      <c r="F44" s="67">
        <f>IF((K44=0),"",(E44/K44))</f>
        <v>0.65753424657534243</v>
      </c>
      <c r="G44" s="132">
        <v>0</v>
      </c>
      <c r="H44" s="133">
        <f>IF((K44=0),"",(G44/K44))</f>
        <v>0</v>
      </c>
      <c r="I44" s="15">
        <v>6</v>
      </c>
      <c r="J44" s="17">
        <f>IF((K44=0),"",(I44/K44))</f>
        <v>2.7397260273972601E-2</v>
      </c>
      <c r="K44" s="15">
        <f>SUM(C44,E44,G44,I44)</f>
        <v>219</v>
      </c>
      <c r="L44" s="17">
        <f>IF((B44=0),"",(K44/B44))</f>
        <v>0.58399999999999996</v>
      </c>
      <c r="M44" s="29">
        <f>B44-K44</f>
        <v>156</v>
      </c>
      <c r="N44" s="17">
        <f>IF((B44=0),"",(M44/B44))</f>
        <v>0.41599999999999998</v>
      </c>
      <c r="O44" s="1"/>
      <c r="P44" s="1"/>
      <c r="Q44" s="1"/>
      <c r="R44" s="1"/>
      <c r="S44" s="1"/>
      <c r="T44" s="1"/>
      <c r="U44" s="1"/>
      <c r="V44" s="1"/>
      <c r="W44" s="1"/>
      <c r="X44" s="1"/>
    </row>
    <row r="45" spans="1:24" ht="12" customHeight="1" x14ac:dyDescent="0.2">
      <c r="A45" s="12" t="s">
        <v>120</v>
      </c>
      <c r="B45" s="12">
        <f>SUM(B43:B44)</f>
        <v>681</v>
      </c>
      <c r="C45" s="78">
        <f>SUM(C43:C44)</f>
        <v>113</v>
      </c>
      <c r="D45" s="79">
        <f>IF((K45=0),"",(C45/K45))</f>
        <v>0.2832080200501253</v>
      </c>
      <c r="E45" s="63">
        <f>SUM(E43:E44)</f>
        <v>278</v>
      </c>
      <c r="F45" s="64">
        <f>IF((K45=0),"",(E45/K45))</f>
        <v>0.69674185463659144</v>
      </c>
      <c r="G45" s="129">
        <f>SUM(G43:G44)</f>
        <v>1</v>
      </c>
      <c r="H45" s="130">
        <f>IF((K45=0),"",(G45/K45))</f>
        <v>2.5062656641604009E-3</v>
      </c>
      <c r="I45" s="12">
        <f>SUM(I43:I44)</f>
        <v>7</v>
      </c>
      <c r="J45" s="13">
        <f>IF((K45=0),"",(I45/K45))</f>
        <v>1.7543859649122806E-2</v>
      </c>
      <c r="K45" s="12">
        <f>SUM(C45,E45,G45,I45)</f>
        <v>399</v>
      </c>
      <c r="L45" s="13">
        <f>IF((B45=0),"",(K45/B45))</f>
        <v>0.58590308370044053</v>
      </c>
      <c r="M45" s="12">
        <f>SUM(M43:M44)</f>
        <v>282</v>
      </c>
      <c r="N45" s="13">
        <f>IF((B45=0),"",(M45/B45))</f>
        <v>0.41409691629955947</v>
      </c>
      <c r="O45" s="1"/>
      <c r="P45" s="1"/>
      <c r="Q45" s="1"/>
      <c r="R45" s="1"/>
      <c r="S45" s="1"/>
      <c r="T45" s="1"/>
      <c r="U45" s="1"/>
      <c r="V45" s="1"/>
      <c r="W45" s="1"/>
      <c r="X45" s="1"/>
    </row>
    <row r="46" spans="1:24" ht="12.75" customHeight="1" x14ac:dyDescent="0.2">
      <c r="A46" s="43" t="s">
        <v>542</v>
      </c>
      <c r="B46" s="43">
        <v>4</v>
      </c>
      <c r="C46" s="1"/>
      <c r="D46" s="1"/>
      <c r="E46" s="1"/>
      <c r="F46" s="1"/>
      <c r="G46" s="1"/>
      <c r="H46" s="1"/>
      <c r="I46" s="1"/>
      <c r="J46" s="1"/>
      <c r="K46" s="1"/>
      <c r="L46" s="1"/>
      <c r="M46" s="1"/>
      <c r="N46" s="1"/>
      <c r="O46" s="1"/>
      <c r="P46" s="1"/>
      <c r="Q46" s="1"/>
      <c r="R46" s="1"/>
      <c r="S46" s="1"/>
      <c r="T46" s="1"/>
      <c r="U46" s="1"/>
      <c r="V46" s="1"/>
      <c r="W46" s="1"/>
      <c r="X46" s="1"/>
    </row>
    <row r="47" spans="1:24" ht="12.75" customHeight="1" x14ac:dyDescent="0.2">
      <c r="A47" s="1"/>
      <c r="B47" s="1"/>
      <c r="C47" s="1"/>
      <c r="D47" s="1"/>
      <c r="E47" s="1"/>
      <c r="F47" s="1"/>
      <c r="G47" s="1"/>
      <c r="H47" s="1"/>
      <c r="I47" s="1"/>
      <c r="J47" s="1"/>
      <c r="K47" s="1"/>
      <c r="L47" s="1"/>
      <c r="M47" s="1"/>
      <c r="N47" s="1"/>
      <c r="O47" s="1"/>
      <c r="P47" s="1"/>
      <c r="Q47" s="1"/>
      <c r="R47" s="1"/>
      <c r="S47" s="1"/>
      <c r="T47" s="1"/>
      <c r="U47" s="1"/>
      <c r="V47" s="1"/>
      <c r="W47" s="1"/>
      <c r="X47" s="1"/>
    </row>
    <row r="48" spans="1:24" ht="12.75" customHeight="1" x14ac:dyDescent="0.2">
      <c r="A48" s="1"/>
      <c r="B48" s="1"/>
      <c r="C48" s="1"/>
      <c r="D48" s="1"/>
      <c r="E48" s="1"/>
      <c r="F48" s="1"/>
      <c r="G48" s="1"/>
      <c r="H48" s="1"/>
      <c r="I48" s="1"/>
      <c r="J48" s="1"/>
      <c r="K48" s="1"/>
      <c r="L48" s="1"/>
      <c r="M48" s="1"/>
      <c r="N48" s="1"/>
      <c r="O48" s="1"/>
      <c r="P48" s="1"/>
      <c r="Q48" s="1"/>
      <c r="R48" s="1"/>
      <c r="S48" s="1"/>
      <c r="T48" s="1"/>
      <c r="U48" s="1"/>
      <c r="V48" s="1"/>
      <c r="W48" s="1"/>
      <c r="X48" s="1"/>
    </row>
    <row r="49" spans="1:24" ht="12.75" customHeight="1" x14ac:dyDescent="0.2">
      <c r="A49" s="1"/>
      <c r="B49" s="1"/>
      <c r="C49" s="1"/>
      <c r="D49" s="1"/>
      <c r="E49" s="1"/>
      <c r="F49" s="1"/>
      <c r="G49" s="1"/>
      <c r="H49" s="1"/>
      <c r="I49" s="1"/>
      <c r="J49" s="1"/>
      <c r="K49" s="1"/>
      <c r="L49" s="1"/>
      <c r="M49" s="1"/>
      <c r="N49" s="1"/>
      <c r="O49" s="1"/>
      <c r="P49" s="1"/>
      <c r="Q49" s="1"/>
      <c r="R49" s="1"/>
      <c r="S49" s="1"/>
      <c r="T49" s="1"/>
      <c r="U49" s="1"/>
      <c r="V49" s="1"/>
      <c r="W49" s="1"/>
      <c r="X49" s="1"/>
    </row>
    <row r="50" spans="1:24" ht="12.75" customHeight="1" x14ac:dyDescent="0.2">
      <c r="A50" s="1"/>
      <c r="B50" s="1"/>
      <c r="C50" s="1"/>
      <c r="D50" s="1"/>
      <c r="E50" s="1"/>
      <c r="F50" s="1"/>
      <c r="G50" s="1"/>
      <c r="H50" s="1"/>
      <c r="I50" s="1"/>
      <c r="J50" s="1"/>
      <c r="K50" s="1"/>
      <c r="L50" s="1"/>
      <c r="M50" s="1"/>
      <c r="N50" s="1"/>
      <c r="O50" s="1"/>
      <c r="P50" s="1"/>
      <c r="Q50" s="1"/>
      <c r="R50" s="1"/>
      <c r="S50" s="1"/>
      <c r="T50" s="1"/>
      <c r="U50" s="1"/>
      <c r="V50" s="1"/>
      <c r="W50" s="1"/>
      <c r="X50" s="1"/>
    </row>
    <row r="51" spans="1:24" ht="12.75" customHeight="1" x14ac:dyDescent="0.2">
      <c r="A51" s="1"/>
      <c r="B51" s="1"/>
      <c r="C51" s="1"/>
      <c r="D51" s="1"/>
      <c r="E51" s="1"/>
      <c r="F51" s="1"/>
      <c r="G51" s="1"/>
      <c r="H51" s="1"/>
      <c r="I51" s="1"/>
      <c r="J51" s="1"/>
      <c r="K51" s="1"/>
      <c r="L51" s="1"/>
      <c r="M51" s="1"/>
      <c r="N51" s="1"/>
      <c r="O51" s="1"/>
      <c r="P51" s="1"/>
      <c r="Q51" s="1"/>
      <c r="R51" s="1"/>
      <c r="S51" s="1"/>
      <c r="T51" s="1"/>
      <c r="U51" s="1"/>
      <c r="V51" s="1"/>
      <c r="W51" s="1"/>
      <c r="X51" s="1"/>
    </row>
    <row r="52" spans="1:24" ht="12.75" customHeight="1" x14ac:dyDescent="0.2">
      <c r="A52" s="1"/>
      <c r="B52" s="1"/>
      <c r="C52" s="1"/>
      <c r="D52" s="1"/>
      <c r="E52" s="1"/>
      <c r="F52" s="1"/>
      <c r="G52" s="1"/>
      <c r="H52" s="1"/>
      <c r="I52" s="1"/>
      <c r="J52" s="1"/>
      <c r="K52" s="1"/>
      <c r="L52" s="1"/>
      <c r="M52" s="1"/>
      <c r="N52" s="1"/>
      <c r="O52" s="1"/>
      <c r="P52" s="1"/>
      <c r="Q52" s="1"/>
      <c r="R52" s="1"/>
      <c r="S52" s="1"/>
      <c r="T52" s="1"/>
      <c r="U52" s="1"/>
      <c r="V52" s="1"/>
      <c r="W52" s="1"/>
      <c r="X52" s="1"/>
    </row>
    <row r="53" spans="1:24" ht="12.75" customHeight="1" x14ac:dyDescent="0.2">
      <c r="A53" s="1"/>
      <c r="B53" s="1"/>
      <c r="C53" s="1"/>
      <c r="D53" s="1"/>
      <c r="E53" s="1"/>
      <c r="F53" s="1"/>
      <c r="G53" s="1"/>
      <c r="H53" s="1"/>
      <c r="I53" s="1"/>
      <c r="J53" s="1"/>
      <c r="K53" s="1"/>
      <c r="L53" s="1"/>
      <c r="M53" s="1"/>
      <c r="N53" s="1"/>
      <c r="O53" s="1"/>
      <c r="P53" s="1"/>
      <c r="Q53" s="1"/>
      <c r="R53" s="1"/>
      <c r="S53" s="1"/>
      <c r="T53" s="1"/>
      <c r="U53" s="1"/>
      <c r="V53" s="1"/>
      <c r="W53" s="1"/>
      <c r="X53" s="1"/>
    </row>
    <row r="54" spans="1:24" ht="12.75" customHeight="1" x14ac:dyDescent="0.2">
      <c r="A54" s="1"/>
      <c r="B54" s="1"/>
      <c r="C54" s="1"/>
      <c r="D54" s="1"/>
      <c r="E54" s="1"/>
      <c r="F54" s="1"/>
      <c r="G54" s="1"/>
      <c r="H54" s="1"/>
      <c r="I54" s="1"/>
      <c r="J54" s="1"/>
      <c r="K54" s="1"/>
      <c r="L54" s="1"/>
      <c r="M54" s="1"/>
      <c r="N54" s="1"/>
      <c r="O54" s="1"/>
      <c r="P54" s="1"/>
      <c r="Q54" s="1"/>
      <c r="R54" s="1"/>
      <c r="S54" s="1"/>
      <c r="T54" s="1"/>
      <c r="U54" s="1"/>
      <c r="V54" s="1"/>
      <c r="W54" s="1"/>
      <c r="X54" s="1"/>
    </row>
    <row r="55" spans="1:24" ht="12.75" customHeight="1" x14ac:dyDescent="0.2">
      <c r="A55" s="1"/>
      <c r="B55" s="1"/>
      <c r="C55" s="1"/>
      <c r="D55" s="1"/>
      <c r="E55" s="1"/>
      <c r="F55" s="1"/>
      <c r="G55" s="1"/>
      <c r="H55" s="1"/>
      <c r="I55" s="1"/>
      <c r="J55" s="1"/>
      <c r="K55" s="1"/>
      <c r="L55" s="1"/>
      <c r="M55" s="1"/>
      <c r="N55" s="1"/>
      <c r="O55" s="1"/>
      <c r="P55" s="1"/>
      <c r="Q55" s="1"/>
      <c r="R55" s="1"/>
      <c r="S55" s="1"/>
      <c r="T55" s="1"/>
      <c r="U55" s="1"/>
      <c r="V55" s="1"/>
      <c r="W55" s="1"/>
      <c r="X55" s="1"/>
    </row>
    <row r="56" spans="1:24" ht="12.75" customHeight="1" x14ac:dyDescent="0.2">
      <c r="A56" s="1"/>
      <c r="B56" s="1"/>
      <c r="C56" s="1"/>
      <c r="D56" s="1"/>
      <c r="E56" s="1"/>
      <c r="F56" s="1"/>
      <c r="G56" s="1"/>
      <c r="H56" s="1"/>
      <c r="I56" s="1"/>
      <c r="J56" s="1"/>
      <c r="K56" s="1"/>
      <c r="L56" s="1"/>
      <c r="M56" s="1"/>
      <c r="N56" s="1"/>
      <c r="O56" s="1"/>
      <c r="P56" s="1"/>
      <c r="Q56" s="1"/>
      <c r="R56" s="1"/>
      <c r="S56" s="1"/>
      <c r="T56" s="1"/>
      <c r="U56" s="1"/>
      <c r="V56" s="1"/>
      <c r="W56" s="1"/>
      <c r="X56" s="1"/>
    </row>
    <row r="57" spans="1:24" ht="12.75" customHeight="1" x14ac:dyDescent="0.2">
      <c r="A57" s="1"/>
      <c r="B57" s="1"/>
      <c r="C57" s="1"/>
      <c r="D57" s="1"/>
      <c r="E57" s="1"/>
      <c r="F57" s="1"/>
      <c r="G57" s="1"/>
      <c r="H57" s="1"/>
      <c r="I57" s="1"/>
      <c r="J57" s="1"/>
      <c r="K57" s="1"/>
      <c r="L57" s="1"/>
      <c r="M57" s="1"/>
      <c r="N57" s="1"/>
      <c r="O57" s="1"/>
      <c r="P57" s="1"/>
      <c r="Q57" s="1"/>
      <c r="R57" s="1"/>
      <c r="S57" s="1"/>
      <c r="T57" s="1"/>
      <c r="U57" s="1"/>
      <c r="V57" s="1"/>
      <c r="W57" s="1"/>
      <c r="X57" s="1"/>
    </row>
    <row r="58" spans="1:24" ht="12.75" customHeight="1" x14ac:dyDescent="0.2">
      <c r="A58" s="1"/>
      <c r="B58" s="1"/>
      <c r="C58" s="1"/>
      <c r="D58" s="1"/>
      <c r="E58" s="1"/>
      <c r="F58" s="1"/>
      <c r="G58" s="1"/>
      <c r="H58" s="1"/>
      <c r="I58" s="1"/>
      <c r="J58" s="1"/>
      <c r="K58" s="1"/>
      <c r="L58" s="1"/>
      <c r="M58" s="1"/>
      <c r="N58" s="1"/>
      <c r="O58" s="1"/>
      <c r="P58" s="1"/>
      <c r="Q58" s="1"/>
      <c r="R58" s="1"/>
      <c r="S58" s="1"/>
      <c r="T58" s="1"/>
      <c r="U58" s="1"/>
      <c r="V58" s="1"/>
      <c r="W58" s="1"/>
      <c r="X58" s="1"/>
    </row>
    <row r="59" spans="1:24" ht="12.75" customHeight="1" x14ac:dyDescent="0.2">
      <c r="A59" s="1"/>
      <c r="B59" s="1"/>
      <c r="C59" s="1"/>
      <c r="D59" s="1"/>
      <c r="E59" s="1"/>
      <c r="F59" s="1"/>
      <c r="G59" s="1"/>
      <c r="H59" s="1"/>
      <c r="I59" s="1"/>
      <c r="J59" s="1"/>
      <c r="K59" s="1"/>
      <c r="L59" s="1"/>
      <c r="M59" s="1"/>
      <c r="N59" s="1"/>
      <c r="O59" s="1"/>
      <c r="P59" s="1"/>
      <c r="Q59" s="1"/>
      <c r="R59" s="1"/>
      <c r="S59" s="1"/>
      <c r="T59" s="1"/>
      <c r="U59" s="1"/>
      <c r="V59" s="1"/>
      <c r="W59" s="1"/>
      <c r="X59" s="1"/>
    </row>
    <row r="60" spans="1:24" ht="12.75" customHeight="1" x14ac:dyDescent="0.2">
      <c r="A60" s="1"/>
      <c r="B60" s="1"/>
      <c r="C60" s="1"/>
      <c r="D60" s="1"/>
      <c r="E60" s="1"/>
      <c r="F60" s="1"/>
      <c r="G60" s="1"/>
      <c r="H60" s="1"/>
      <c r="I60" s="1"/>
      <c r="J60" s="1"/>
      <c r="K60" s="1"/>
      <c r="L60" s="1"/>
      <c r="M60" s="1"/>
      <c r="N60" s="1"/>
      <c r="O60" s="1"/>
      <c r="P60" s="1"/>
      <c r="Q60" s="1"/>
      <c r="R60" s="1"/>
      <c r="S60" s="1"/>
      <c r="T60" s="1"/>
      <c r="U60" s="1"/>
      <c r="V60" s="1"/>
      <c r="W60" s="1"/>
      <c r="X60" s="1"/>
    </row>
    <row r="61" spans="1:24" ht="12.75" customHeight="1" x14ac:dyDescent="0.2">
      <c r="A61" s="1"/>
      <c r="B61" s="1"/>
      <c r="C61" s="1"/>
      <c r="D61" s="1"/>
      <c r="E61" s="1"/>
      <c r="F61" s="1"/>
      <c r="G61" s="1"/>
      <c r="H61" s="1"/>
      <c r="I61" s="1"/>
      <c r="J61" s="1"/>
      <c r="K61" s="1"/>
      <c r="L61" s="1"/>
      <c r="M61" s="1"/>
      <c r="N61" s="1"/>
      <c r="O61" s="1"/>
      <c r="P61" s="1"/>
      <c r="Q61" s="1"/>
      <c r="R61" s="1"/>
      <c r="S61" s="1"/>
      <c r="T61" s="1"/>
      <c r="U61" s="1"/>
      <c r="V61" s="1"/>
      <c r="W61" s="1"/>
      <c r="X61" s="1"/>
    </row>
    <row r="62" spans="1:24" ht="12.75" customHeight="1" x14ac:dyDescent="0.2">
      <c r="A62" s="1"/>
      <c r="B62" s="1"/>
      <c r="C62" s="1"/>
      <c r="D62" s="1"/>
      <c r="E62" s="1"/>
      <c r="F62" s="1"/>
      <c r="G62" s="1"/>
      <c r="H62" s="1"/>
      <c r="I62" s="1"/>
      <c r="J62" s="1"/>
      <c r="K62" s="1"/>
      <c r="L62" s="1"/>
      <c r="M62" s="1"/>
      <c r="N62" s="1"/>
      <c r="O62" s="1"/>
      <c r="P62" s="1"/>
      <c r="Q62" s="1"/>
      <c r="R62" s="1"/>
      <c r="S62" s="1"/>
      <c r="T62" s="1"/>
      <c r="U62" s="1"/>
      <c r="V62" s="1"/>
      <c r="W62" s="1"/>
      <c r="X62" s="1"/>
    </row>
    <row r="63" spans="1:24" ht="12.75" customHeight="1" x14ac:dyDescent="0.2">
      <c r="A63" s="1"/>
      <c r="B63" s="1"/>
      <c r="C63" s="1"/>
      <c r="D63" s="1"/>
      <c r="E63" s="1"/>
      <c r="F63" s="1"/>
      <c r="G63" s="1"/>
      <c r="H63" s="1"/>
      <c r="I63" s="1"/>
      <c r="J63" s="1"/>
      <c r="K63" s="1"/>
      <c r="L63" s="1"/>
      <c r="M63" s="1"/>
      <c r="N63" s="1"/>
      <c r="O63" s="1"/>
      <c r="P63" s="1"/>
      <c r="Q63" s="1"/>
      <c r="R63" s="1"/>
      <c r="S63" s="1"/>
      <c r="T63" s="1"/>
      <c r="U63" s="1"/>
      <c r="V63" s="1"/>
      <c r="W63" s="1"/>
      <c r="X63" s="1"/>
    </row>
    <row r="64" spans="1:24" ht="12.75" customHeight="1" x14ac:dyDescent="0.2">
      <c r="A64" s="1"/>
      <c r="B64" s="1"/>
      <c r="C64" s="1"/>
      <c r="D64" s="1"/>
      <c r="E64" s="1"/>
      <c r="F64" s="1"/>
      <c r="G64" s="1"/>
      <c r="H64" s="1"/>
      <c r="I64" s="1"/>
      <c r="J64" s="1"/>
      <c r="K64" s="1"/>
      <c r="L64" s="1"/>
      <c r="M64" s="1"/>
      <c r="N64" s="1"/>
      <c r="O64" s="1"/>
      <c r="P64" s="1"/>
      <c r="Q64" s="1"/>
      <c r="R64" s="1"/>
      <c r="S64" s="1"/>
      <c r="T64" s="1"/>
      <c r="U64" s="1"/>
      <c r="V64" s="1"/>
      <c r="W64" s="1"/>
      <c r="X64" s="1"/>
    </row>
    <row r="65" spans="1:24" ht="12.75" customHeight="1" x14ac:dyDescent="0.2">
      <c r="A65" s="1"/>
      <c r="B65" s="1"/>
      <c r="C65" s="1"/>
      <c r="D65" s="1"/>
      <c r="E65" s="1"/>
      <c r="F65" s="1"/>
      <c r="G65" s="1"/>
      <c r="H65" s="1"/>
      <c r="I65" s="1"/>
      <c r="J65" s="1"/>
      <c r="K65" s="1"/>
      <c r="L65" s="1"/>
      <c r="M65" s="1"/>
      <c r="N65" s="1"/>
      <c r="O65" s="1"/>
      <c r="P65" s="1"/>
      <c r="Q65" s="1"/>
      <c r="R65" s="1"/>
      <c r="S65" s="1"/>
      <c r="T65" s="1"/>
      <c r="U65" s="1"/>
      <c r="V65" s="1"/>
      <c r="W65" s="1"/>
      <c r="X65" s="1"/>
    </row>
    <row r="66" spans="1:24" ht="12.75" customHeight="1" x14ac:dyDescent="0.2">
      <c r="A66" s="1"/>
      <c r="B66" s="1"/>
      <c r="C66" s="1"/>
      <c r="D66" s="1"/>
      <c r="E66" s="1"/>
      <c r="F66" s="1"/>
      <c r="G66" s="1"/>
      <c r="H66" s="1"/>
      <c r="I66" s="1"/>
      <c r="J66" s="1"/>
      <c r="K66" s="1"/>
      <c r="L66" s="1"/>
      <c r="M66" s="1"/>
      <c r="N66" s="1"/>
      <c r="O66" s="1"/>
      <c r="P66" s="1"/>
      <c r="Q66" s="1"/>
      <c r="R66" s="1"/>
      <c r="S66" s="1"/>
      <c r="T66" s="1"/>
      <c r="U66" s="1"/>
      <c r="V66" s="1"/>
      <c r="W66" s="1"/>
      <c r="X66" s="1"/>
    </row>
    <row r="67" spans="1:24" ht="12.75" customHeight="1" x14ac:dyDescent="0.2">
      <c r="A67" s="1"/>
      <c r="B67" s="1"/>
      <c r="C67" s="1"/>
      <c r="D67" s="1"/>
      <c r="E67" s="1"/>
      <c r="F67" s="1"/>
      <c r="G67" s="1"/>
      <c r="H67" s="1"/>
      <c r="I67" s="1"/>
      <c r="J67" s="1"/>
      <c r="K67" s="1"/>
      <c r="L67" s="1"/>
      <c r="M67" s="1"/>
      <c r="N67" s="1"/>
      <c r="O67" s="1"/>
      <c r="P67" s="1"/>
      <c r="Q67" s="1"/>
      <c r="R67" s="1"/>
      <c r="S67" s="1"/>
      <c r="T67" s="1"/>
      <c r="U67" s="1"/>
      <c r="V67" s="1"/>
      <c r="W67" s="1"/>
      <c r="X67" s="1"/>
    </row>
    <row r="68" spans="1:24" ht="12.75" customHeight="1" x14ac:dyDescent="0.2">
      <c r="A68" s="1"/>
      <c r="B68" s="1"/>
      <c r="C68" s="1"/>
      <c r="D68" s="1"/>
      <c r="E68" s="1"/>
      <c r="F68" s="1"/>
      <c r="G68" s="1"/>
      <c r="H68" s="1"/>
      <c r="I68" s="1"/>
      <c r="J68" s="1"/>
      <c r="K68" s="1"/>
      <c r="L68" s="1"/>
      <c r="M68" s="1"/>
      <c r="N68" s="1"/>
      <c r="O68" s="1"/>
      <c r="P68" s="1"/>
      <c r="Q68" s="1"/>
      <c r="R68" s="1"/>
      <c r="S68" s="1"/>
      <c r="T68" s="1"/>
      <c r="U68" s="1"/>
      <c r="V68" s="1"/>
      <c r="W68" s="1"/>
      <c r="X68" s="1"/>
    </row>
    <row r="69" spans="1:24" ht="12.75" customHeight="1" x14ac:dyDescent="0.2">
      <c r="A69" s="1"/>
      <c r="B69" s="1"/>
      <c r="C69" s="1"/>
      <c r="D69" s="1"/>
      <c r="E69" s="1"/>
      <c r="F69" s="1"/>
      <c r="G69" s="1"/>
      <c r="H69" s="1"/>
      <c r="I69" s="1"/>
      <c r="J69" s="1"/>
      <c r="K69" s="1"/>
      <c r="L69" s="1"/>
      <c r="M69" s="1"/>
      <c r="N69" s="1"/>
      <c r="O69" s="1"/>
      <c r="P69" s="1"/>
      <c r="Q69" s="1"/>
      <c r="R69" s="1"/>
      <c r="S69" s="1"/>
      <c r="T69" s="1"/>
      <c r="U69" s="1"/>
      <c r="V69" s="1"/>
      <c r="W69" s="1"/>
      <c r="X69" s="1"/>
    </row>
    <row r="70" spans="1:24" ht="12.75" customHeight="1" x14ac:dyDescent="0.2">
      <c r="A70" s="1"/>
      <c r="B70" s="1"/>
      <c r="C70" s="1"/>
      <c r="D70" s="1"/>
      <c r="E70" s="1"/>
      <c r="F70" s="1"/>
      <c r="G70" s="1"/>
      <c r="H70" s="1"/>
      <c r="I70" s="1"/>
      <c r="J70" s="1"/>
      <c r="K70" s="1"/>
      <c r="L70" s="1"/>
      <c r="M70" s="1"/>
      <c r="N70" s="1"/>
      <c r="O70" s="1"/>
      <c r="P70" s="1"/>
      <c r="Q70" s="1"/>
      <c r="R70" s="1"/>
      <c r="S70" s="1"/>
      <c r="T70" s="1"/>
      <c r="U70" s="1"/>
      <c r="V70" s="1"/>
      <c r="W70" s="1"/>
      <c r="X70" s="1"/>
    </row>
    <row r="71" spans="1:24" ht="12.75" customHeight="1" x14ac:dyDescent="0.2">
      <c r="A71" s="1"/>
      <c r="B71" s="1"/>
      <c r="C71" s="1"/>
      <c r="D71" s="1"/>
      <c r="E71" s="1"/>
      <c r="F71" s="1"/>
      <c r="G71" s="1"/>
      <c r="H71" s="1"/>
      <c r="I71" s="1"/>
      <c r="J71" s="1"/>
      <c r="K71" s="1"/>
      <c r="L71" s="1"/>
      <c r="M71" s="1"/>
      <c r="N71" s="1"/>
      <c r="O71" s="1"/>
      <c r="P71" s="1"/>
      <c r="Q71" s="1"/>
      <c r="R71" s="1"/>
      <c r="S71" s="1"/>
      <c r="T71" s="1"/>
      <c r="U71" s="1"/>
      <c r="V71" s="1"/>
      <c r="W71" s="1"/>
      <c r="X71" s="1"/>
    </row>
    <row r="72" spans="1:24" ht="12.75" customHeight="1" x14ac:dyDescent="0.2">
      <c r="A72" s="1"/>
      <c r="B72" s="1"/>
      <c r="C72" s="1"/>
      <c r="D72" s="1"/>
      <c r="E72" s="1"/>
      <c r="F72" s="1"/>
      <c r="G72" s="1"/>
      <c r="H72" s="1"/>
      <c r="I72" s="1"/>
      <c r="J72" s="1"/>
      <c r="K72" s="1"/>
      <c r="L72" s="1"/>
      <c r="M72" s="1"/>
      <c r="N72" s="1"/>
      <c r="O72" s="1"/>
      <c r="P72" s="1"/>
      <c r="Q72" s="1"/>
      <c r="R72" s="1"/>
      <c r="S72" s="1"/>
      <c r="T72" s="1"/>
      <c r="U72" s="1"/>
      <c r="V72" s="1"/>
      <c r="W72" s="1"/>
      <c r="X72" s="1"/>
    </row>
    <row r="73" spans="1:24" ht="12.75" customHeight="1" x14ac:dyDescent="0.2">
      <c r="A73" s="1"/>
      <c r="B73" s="1"/>
      <c r="C73" s="1"/>
      <c r="D73" s="1"/>
      <c r="E73" s="1"/>
      <c r="F73" s="1"/>
      <c r="G73" s="1"/>
      <c r="H73" s="1"/>
      <c r="I73" s="1"/>
      <c r="J73" s="1"/>
      <c r="K73" s="1"/>
      <c r="L73" s="1"/>
      <c r="M73" s="1"/>
      <c r="N73" s="1"/>
      <c r="O73" s="1"/>
      <c r="P73" s="1"/>
      <c r="Q73" s="1"/>
      <c r="R73" s="1"/>
      <c r="S73" s="1"/>
      <c r="T73" s="1"/>
      <c r="U73" s="1"/>
      <c r="V73" s="1"/>
      <c r="W73" s="1"/>
      <c r="X73" s="1"/>
    </row>
    <row r="74" spans="1:24" ht="12.75" customHeight="1" x14ac:dyDescent="0.2">
      <c r="A74" s="1"/>
      <c r="B74" s="1"/>
      <c r="C74" s="1"/>
      <c r="D74" s="1"/>
      <c r="E74" s="1"/>
      <c r="F74" s="1"/>
      <c r="G74" s="1"/>
      <c r="H74" s="1"/>
      <c r="I74" s="1"/>
      <c r="J74" s="1"/>
      <c r="K74" s="1"/>
      <c r="L74" s="1"/>
      <c r="M74" s="1"/>
      <c r="N74" s="1"/>
      <c r="O74" s="1"/>
      <c r="P74" s="1"/>
      <c r="Q74" s="1"/>
      <c r="R74" s="1"/>
      <c r="S74" s="1"/>
      <c r="T74" s="1"/>
      <c r="U74" s="1"/>
      <c r="V74" s="1"/>
      <c r="W74" s="1"/>
      <c r="X74" s="1"/>
    </row>
    <row r="75" spans="1:24" ht="12.75" customHeight="1" x14ac:dyDescent="0.2">
      <c r="A75" s="1"/>
      <c r="B75" s="1"/>
      <c r="C75" s="1"/>
      <c r="D75" s="1"/>
      <c r="E75" s="1"/>
      <c r="F75" s="1"/>
      <c r="G75" s="1"/>
      <c r="H75" s="1"/>
      <c r="I75" s="1"/>
      <c r="J75" s="1"/>
      <c r="K75" s="1"/>
      <c r="L75" s="1"/>
      <c r="M75" s="1"/>
      <c r="N75" s="1"/>
      <c r="O75" s="1"/>
      <c r="P75" s="1"/>
      <c r="Q75" s="1"/>
      <c r="R75" s="1"/>
      <c r="S75" s="1"/>
      <c r="T75" s="1"/>
      <c r="U75" s="1"/>
      <c r="V75" s="1"/>
      <c r="W75" s="1"/>
      <c r="X75" s="1"/>
    </row>
    <row r="76" spans="1:24" ht="12.75" customHeight="1" x14ac:dyDescent="0.2">
      <c r="A76" s="1"/>
      <c r="B76" s="1"/>
      <c r="C76" s="1"/>
      <c r="D76" s="1"/>
      <c r="E76" s="1"/>
      <c r="F76" s="1"/>
      <c r="G76" s="1"/>
      <c r="H76" s="1"/>
      <c r="I76" s="1"/>
      <c r="J76" s="1"/>
      <c r="K76" s="1"/>
      <c r="L76" s="1"/>
      <c r="M76" s="1"/>
      <c r="N76" s="1"/>
      <c r="O76" s="1"/>
      <c r="P76" s="1"/>
      <c r="Q76" s="1"/>
      <c r="R76" s="1"/>
      <c r="S76" s="1"/>
      <c r="T76" s="1"/>
      <c r="U76" s="1"/>
      <c r="V76" s="1"/>
      <c r="W76" s="1"/>
      <c r="X76" s="1"/>
    </row>
    <row r="77" spans="1:24" ht="12.75" customHeight="1" x14ac:dyDescent="0.2">
      <c r="A77" s="1"/>
      <c r="B77" s="1"/>
      <c r="C77" s="1"/>
      <c r="D77" s="1"/>
      <c r="E77" s="1"/>
      <c r="F77" s="1"/>
      <c r="G77" s="1"/>
      <c r="H77" s="1"/>
      <c r="I77" s="1"/>
      <c r="J77" s="1"/>
      <c r="K77" s="1"/>
      <c r="L77" s="1"/>
      <c r="M77" s="1"/>
      <c r="N77" s="1"/>
      <c r="O77" s="1"/>
      <c r="P77" s="1"/>
      <c r="Q77" s="1"/>
      <c r="R77" s="1"/>
      <c r="S77" s="1"/>
      <c r="T77" s="1"/>
      <c r="U77" s="1"/>
      <c r="V77" s="1"/>
      <c r="W77" s="1"/>
      <c r="X77" s="1"/>
    </row>
    <row r="78" spans="1:24" ht="12.75" customHeight="1" x14ac:dyDescent="0.2">
      <c r="A78" s="1"/>
      <c r="B78" s="1"/>
      <c r="C78" s="1"/>
      <c r="D78" s="1"/>
      <c r="E78" s="1"/>
      <c r="F78" s="1"/>
      <c r="G78" s="1"/>
      <c r="H78" s="1"/>
      <c r="I78" s="1"/>
      <c r="J78" s="1"/>
      <c r="K78" s="1"/>
      <c r="L78" s="1"/>
      <c r="M78" s="1"/>
      <c r="N78" s="1"/>
      <c r="O78" s="1"/>
      <c r="P78" s="1"/>
      <c r="Q78" s="1"/>
      <c r="R78" s="1"/>
      <c r="S78" s="1"/>
      <c r="T78" s="1"/>
      <c r="U78" s="1"/>
      <c r="V78" s="1"/>
      <c r="W78" s="1"/>
      <c r="X78" s="1"/>
    </row>
    <row r="79" spans="1:24" ht="12.75" customHeight="1" x14ac:dyDescent="0.2">
      <c r="A79" s="1"/>
      <c r="B79" s="1"/>
      <c r="C79" s="1"/>
      <c r="D79" s="1"/>
      <c r="E79" s="1"/>
      <c r="F79" s="1"/>
      <c r="G79" s="1"/>
      <c r="H79" s="1"/>
      <c r="I79" s="1"/>
      <c r="J79" s="1"/>
      <c r="K79" s="1"/>
      <c r="L79" s="1"/>
      <c r="M79" s="1"/>
      <c r="N79" s="1"/>
      <c r="O79" s="1"/>
      <c r="P79" s="1"/>
      <c r="Q79" s="1"/>
      <c r="R79" s="1"/>
      <c r="S79" s="1"/>
      <c r="T79" s="1"/>
      <c r="U79" s="1"/>
      <c r="V79" s="1"/>
      <c r="W79" s="1"/>
      <c r="X79" s="1"/>
    </row>
    <row r="80" spans="1:24" ht="12.75" customHeight="1" x14ac:dyDescent="0.2">
      <c r="A80" s="1"/>
      <c r="B80" s="1"/>
      <c r="C80" s="1"/>
      <c r="D80" s="1"/>
      <c r="E80" s="1"/>
      <c r="F80" s="1"/>
      <c r="G80" s="1"/>
      <c r="H80" s="1"/>
      <c r="I80" s="1"/>
      <c r="J80" s="1"/>
      <c r="K80" s="1"/>
      <c r="L80" s="1"/>
      <c r="M80" s="1"/>
      <c r="N80" s="1"/>
      <c r="O80" s="1"/>
      <c r="P80" s="1"/>
      <c r="Q80" s="1"/>
      <c r="R80" s="1"/>
      <c r="S80" s="1"/>
      <c r="T80" s="1"/>
      <c r="U80" s="1"/>
      <c r="V80" s="1"/>
      <c r="W80" s="1"/>
      <c r="X80" s="1"/>
    </row>
    <row r="81" spans="1:24" ht="12.75" customHeight="1" x14ac:dyDescent="0.2">
      <c r="A81" s="1"/>
      <c r="B81" s="1"/>
      <c r="C81" s="1"/>
      <c r="D81" s="1"/>
      <c r="E81" s="1"/>
      <c r="F81" s="1"/>
      <c r="G81" s="1"/>
      <c r="H81" s="1"/>
      <c r="I81" s="1"/>
      <c r="J81" s="1"/>
      <c r="K81" s="1"/>
      <c r="L81" s="1"/>
      <c r="M81" s="1"/>
      <c r="N81" s="1"/>
      <c r="O81" s="1"/>
      <c r="P81" s="1"/>
      <c r="Q81" s="1"/>
      <c r="R81" s="1"/>
      <c r="S81" s="1"/>
      <c r="T81" s="1"/>
      <c r="U81" s="1"/>
      <c r="V81" s="1"/>
      <c r="W81" s="1"/>
      <c r="X81" s="1"/>
    </row>
    <row r="82" spans="1:24" ht="12.75" customHeight="1" x14ac:dyDescent="0.2">
      <c r="A82" s="1"/>
      <c r="B82" s="1"/>
      <c r="C82" s="1"/>
      <c r="D82" s="1"/>
      <c r="E82" s="1"/>
      <c r="F82" s="1"/>
      <c r="G82" s="1"/>
      <c r="H82" s="1"/>
      <c r="I82" s="1"/>
      <c r="J82" s="1"/>
      <c r="K82" s="1"/>
      <c r="L82" s="1"/>
      <c r="M82" s="1"/>
      <c r="N82" s="1"/>
      <c r="O82" s="1"/>
      <c r="P82" s="1"/>
      <c r="Q82" s="1"/>
      <c r="R82" s="1"/>
      <c r="S82" s="1"/>
      <c r="T82" s="1"/>
      <c r="U82" s="1"/>
      <c r="V82" s="1"/>
      <c r="W82" s="1"/>
      <c r="X82" s="1"/>
    </row>
    <row r="83" spans="1:24" ht="12.75" customHeight="1" x14ac:dyDescent="0.2">
      <c r="A83" s="1"/>
      <c r="B83" s="1"/>
      <c r="C83" s="1"/>
      <c r="D83" s="1"/>
      <c r="E83" s="1"/>
      <c r="F83" s="1"/>
      <c r="G83" s="1"/>
      <c r="H83" s="1"/>
      <c r="I83" s="1"/>
      <c r="J83" s="1"/>
      <c r="K83" s="1"/>
      <c r="L83" s="1"/>
      <c r="M83" s="1"/>
      <c r="N83" s="1"/>
      <c r="O83" s="1"/>
      <c r="P83" s="1"/>
      <c r="Q83" s="1"/>
      <c r="R83" s="1"/>
      <c r="S83" s="1"/>
      <c r="T83" s="1"/>
      <c r="U83" s="1"/>
      <c r="V83" s="1"/>
      <c r="W83" s="1"/>
      <c r="X83" s="1"/>
    </row>
    <row r="84" spans="1:24" ht="12.75" customHeight="1" x14ac:dyDescent="0.2">
      <c r="A84" s="1"/>
      <c r="B84" s="1"/>
      <c r="C84" s="1"/>
      <c r="D84" s="1"/>
      <c r="E84" s="1"/>
      <c r="F84" s="1"/>
      <c r="G84" s="1"/>
      <c r="H84" s="1"/>
      <c r="I84" s="1"/>
      <c r="J84" s="1"/>
      <c r="K84" s="1"/>
      <c r="L84" s="1"/>
      <c r="M84" s="1"/>
      <c r="N84" s="1"/>
      <c r="O84" s="1"/>
      <c r="P84" s="1"/>
      <c r="Q84" s="1"/>
      <c r="R84" s="1"/>
      <c r="S84" s="1"/>
      <c r="T84" s="1"/>
      <c r="U84" s="1"/>
      <c r="V84" s="1"/>
      <c r="W84" s="1"/>
      <c r="X84" s="1"/>
    </row>
    <row r="85" spans="1:24" ht="12.75" customHeight="1" x14ac:dyDescent="0.2">
      <c r="A85" s="1"/>
      <c r="B85" s="1"/>
      <c r="C85" s="1"/>
      <c r="D85" s="1"/>
      <c r="E85" s="1"/>
      <c r="F85" s="1"/>
      <c r="G85" s="1"/>
      <c r="H85" s="1"/>
      <c r="I85" s="1"/>
      <c r="J85" s="1"/>
      <c r="K85" s="1"/>
      <c r="L85" s="1"/>
      <c r="M85" s="1"/>
      <c r="N85" s="1"/>
      <c r="O85" s="1"/>
      <c r="P85" s="1"/>
      <c r="Q85" s="1"/>
      <c r="R85" s="1"/>
      <c r="S85" s="1"/>
      <c r="T85" s="1"/>
      <c r="U85" s="1"/>
      <c r="V85" s="1"/>
      <c r="W85" s="1"/>
      <c r="X85" s="1"/>
    </row>
    <row r="86" spans="1:24" ht="12.75" customHeight="1" x14ac:dyDescent="0.2">
      <c r="A86" s="1"/>
      <c r="B86" s="1"/>
      <c r="C86" s="1"/>
      <c r="D86" s="1"/>
      <c r="E86" s="1"/>
      <c r="F86" s="1"/>
      <c r="G86" s="1"/>
      <c r="H86" s="1"/>
      <c r="I86" s="1"/>
      <c r="J86" s="1"/>
      <c r="K86" s="1"/>
      <c r="L86" s="1"/>
      <c r="M86" s="1"/>
      <c r="N86" s="1"/>
      <c r="O86" s="1"/>
      <c r="P86" s="1"/>
      <c r="Q86" s="1"/>
      <c r="R86" s="1"/>
      <c r="S86" s="1"/>
      <c r="T86" s="1"/>
      <c r="U86" s="1"/>
      <c r="V86" s="1"/>
      <c r="W86" s="1"/>
      <c r="X86" s="1"/>
    </row>
    <row r="87" spans="1:24" ht="12.75" customHeight="1" x14ac:dyDescent="0.2">
      <c r="A87" s="1"/>
      <c r="B87" s="1"/>
      <c r="C87" s="1"/>
      <c r="D87" s="1"/>
      <c r="E87" s="1"/>
      <c r="F87" s="1"/>
      <c r="G87" s="1"/>
      <c r="H87" s="1"/>
      <c r="I87" s="1"/>
      <c r="J87" s="1"/>
      <c r="K87" s="1"/>
      <c r="L87" s="1"/>
      <c r="M87" s="1"/>
      <c r="N87" s="1"/>
      <c r="O87" s="1"/>
      <c r="P87" s="1"/>
      <c r="Q87" s="1"/>
      <c r="R87" s="1"/>
      <c r="S87" s="1"/>
      <c r="T87" s="1"/>
      <c r="U87" s="1"/>
      <c r="V87" s="1"/>
      <c r="W87" s="1"/>
      <c r="X87" s="1"/>
    </row>
    <row r="88" spans="1:24" ht="12.75" customHeight="1" x14ac:dyDescent="0.2">
      <c r="A88" s="1"/>
      <c r="B88" s="1"/>
      <c r="C88" s="1"/>
      <c r="D88" s="1"/>
      <c r="E88" s="1"/>
      <c r="F88" s="1"/>
      <c r="G88" s="1"/>
      <c r="H88" s="1"/>
      <c r="I88" s="1"/>
      <c r="J88" s="1"/>
      <c r="K88" s="1"/>
      <c r="L88" s="1"/>
      <c r="M88" s="1"/>
      <c r="N88" s="1"/>
      <c r="O88" s="1"/>
      <c r="P88" s="1"/>
      <c r="Q88" s="1"/>
      <c r="R88" s="1"/>
      <c r="S88" s="1"/>
      <c r="T88" s="1"/>
      <c r="U88" s="1"/>
      <c r="V88" s="1"/>
      <c r="W88" s="1"/>
      <c r="X88" s="1"/>
    </row>
    <row r="89" spans="1:24" ht="12.75" customHeight="1" x14ac:dyDescent="0.2">
      <c r="A89" s="1"/>
      <c r="B89" s="1"/>
      <c r="C89" s="1"/>
      <c r="D89" s="1"/>
      <c r="E89" s="1"/>
      <c r="F89" s="1"/>
      <c r="G89" s="1"/>
      <c r="H89" s="1"/>
      <c r="I89" s="1"/>
      <c r="J89" s="1"/>
      <c r="K89" s="1"/>
      <c r="L89" s="1"/>
      <c r="M89" s="1"/>
      <c r="N89" s="1"/>
      <c r="O89" s="1"/>
      <c r="P89" s="1"/>
      <c r="Q89" s="1"/>
      <c r="R89" s="1"/>
      <c r="S89" s="1"/>
      <c r="T89" s="1"/>
      <c r="U89" s="1"/>
      <c r="V89" s="1"/>
      <c r="W89" s="1"/>
      <c r="X89" s="1"/>
    </row>
    <row r="90" spans="1:24" ht="12.75" customHeight="1" x14ac:dyDescent="0.2">
      <c r="A90" s="1"/>
      <c r="B90" s="1"/>
      <c r="C90" s="1"/>
      <c r="D90" s="1"/>
      <c r="E90" s="1"/>
      <c r="F90" s="1"/>
      <c r="G90" s="1"/>
      <c r="H90" s="1"/>
      <c r="I90" s="1"/>
      <c r="J90" s="1"/>
      <c r="K90" s="1"/>
      <c r="L90" s="1"/>
      <c r="M90" s="1"/>
      <c r="N90" s="1"/>
      <c r="O90" s="1"/>
      <c r="P90" s="1"/>
      <c r="Q90" s="1"/>
      <c r="R90" s="1"/>
      <c r="S90" s="1"/>
      <c r="T90" s="1"/>
      <c r="U90" s="1"/>
      <c r="V90" s="1"/>
      <c r="W90" s="1"/>
      <c r="X90" s="1"/>
    </row>
    <row r="91" spans="1:24" ht="12.75" customHeight="1" x14ac:dyDescent="0.2">
      <c r="A91" s="1"/>
      <c r="B91" s="1"/>
      <c r="C91" s="1"/>
      <c r="D91" s="1"/>
      <c r="E91" s="1"/>
      <c r="F91" s="1"/>
      <c r="G91" s="1"/>
      <c r="H91" s="1"/>
      <c r="I91" s="1"/>
      <c r="J91" s="1"/>
      <c r="K91" s="1"/>
      <c r="L91" s="1"/>
      <c r="M91" s="1"/>
      <c r="N91" s="1"/>
      <c r="O91" s="1"/>
      <c r="P91" s="1"/>
      <c r="Q91" s="1"/>
      <c r="R91" s="1"/>
      <c r="S91" s="1"/>
      <c r="T91" s="1"/>
      <c r="U91" s="1"/>
      <c r="V91" s="1"/>
      <c r="W91" s="1"/>
      <c r="X91" s="1"/>
    </row>
    <row r="92" spans="1:24" ht="12.75" customHeight="1" x14ac:dyDescent="0.2">
      <c r="A92" s="1"/>
      <c r="B92" s="1"/>
      <c r="C92" s="1"/>
      <c r="D92" s="1"/>
      <c r="E92" s="1"/>
      <c r="F92" s="1"/>
      <c r="G92" s="1"/>
      <c r="H92" s="1"/>
      <c r="I92" s="1"/>
      <c r="J92" s="1"/>
      <c r="K92" s="1"/>
      <c r="L92" s="1"/>
      <c r="M92" s="1"/>
      <c r="N92" s="1"/>
      <c r="O92" s="1"/>
      <c r="P92" s="1"/>
      <c r="Q92" s="1"/>
      <c r="R92" s="1"/>
      <c r="S92" s="1"/>
      <c r="T92" s="1"/>
      <c r="U92" s="1"/>
      <c r="V92" s="1"/>
      <c r="W92" s="1"/>
      <c r="X92" s="1"/>
    </row>
    <row r="93" spans="1:24" ht="12.75" customHeight="1" x14ac:dyDescent="0.2">
      <c r="A93" s="1"/>
      <c r="B93" s="1"/>
      <c r="C93" s="1"/>
      <c r="D93" s="1"/>
      <c r="E93" s="1"/>
      <c r="F93" s="1"/>
      <c r="G93" s="1"/>
      <c r="H93" s="1"/>
      <c r="I93" s="1"/>
      <c r="J93" s="1"/>
      <c r="K93" s="1"/>
      <c r="L93" s="1"/>
      <c r="M93" s="1"/>
      <c r="N93" s="1"/>
      <c r="O93" s="1"/>
      <c r="P93" s="1"/>
      <c r="Q93" s="1"/>
      <c r="R93" s="1"/>
      <c r="S93" s="1"/>
      <c r="T93" s="1"/>
      <c r="U93" s="1"/>
      <c r="V93" s="1"/>
      <c r="W93" s="1"/>
      <c r="X93" s="1"/>
    </row>
    <row r="94" spans="1:24" ht="12.75" customHeight="1" x14ac:dyDescent="0.2">
      <c r="A94" s="1"/>
      <c r="B94" s="1"/>
      <c r="C94" s="1"/>
      <c r="D94" s="1"/>
      <c r="E94" s="1"/>
      <c r="F94" s="1"/>
      <c r="G94" s="1"/>
      <c r="H94" s="1"/>
      <c r="I94" s="1"/>
      <c r="J94" s="1"/>
      <c r="K94" s="1"/>
      <c r="L94" s="1"/>
      <c r="M94" s="1"/>
      <c r="N94" s="1"/>
      <c r="O94" s="1"/>
      <c r="P94" s="1"/>
      <c r="Q94" s="1"/>
      <c r="R94" s="1"/>
      <c r="S94" s="1"/>
      <c r="T94" s="1"/>
      <c r="U94" s="1"/>
      <c r="V94" s="1"/>
      <c r="W94" s="1"/>
      <c r="X94" s="1"/>
    </row>
    <row r="95" spans="1:24" ht="12.75" customHeight="1" x14ac:dyDescent="0.2">
      <c r="A95" s="1"/>
      <c r="B95" s="1"/>
      <c r="C95" s="1"/>
      <c r="D95" s="1"/>
      <c r="E95" s="1"/>
      <c r="F95" s="1"/>
      <c r="G95" s="1"/>
      <c r="H95" s="1"/>
      <c r="I95" s="1"/>
      <c r="J95" s="1"/>
      <c r="K95" s="1"/>
      <c r="L95" s="1"/>
      <c r="M95" s="1"/>
      <c r="N95" s="1"/>
      <c r="O95" s="1"/>
      <c r="P95" s="1"/>
      <c r="Q95" s="1"/>
      <c r="R95" s="1"/>
      <c r="S95" s="1"/>
      <c r="T95" s="1"/>
      <c r="U95" s="1"/>
      <c r="V95" s="1"/>
      <c r="W95" s="1"/>
      <c r="X95" s="1"/>
    </row>
    <row r="96" spans="1:24" ht="12.75" customHeight="1" x14ac:dyDescent="0.2">
      <c r="A96" s="1"/>
      <c r="B96" s="1"/>
      <c r="C96" s="1"/>
      <c r="D96" s="1"/>
      <c r="E96" s="1"/>
      <c r="F96" s="1"/>
      <c r="G96" s="1"/>
      <c r="H96" s="1"/>
      <c r="I96" s="1"/>
      <c r="J96" s="1"/>
      <c r="K96" s="1"/>
      <c r="L96" s="1"/>
      <c r="M96" s="1"/>
      <c r="N96" s="1"/>
      <c r="O96" s="1"/>
      <c r="P96" s="1"/>
      <c r="Q96" s="1"/>
      <c r="R96" s="1"/>
      <c r="S96" s="1"/>
      <c r="T96" s="1"/>
      <c r="U96" s="1"/>
      <c r="V96" s="1"/>
      <c r="W96" s="1"/>
      <c r="X96" s="1"/>
    </row>
    <row r="97" spans="1:24" ht="12.75" customHeight="1" x14ac:dyDescent="0.2">
      <c r="A97" s="1"/>
      <c r="B97" s="1"/>
      <c r="C97" s="1"/>
      <c r="D97" s="1"/>
      <c r="E97" s="1"/>
      <c r="F97" s="1"/>
      <c r="G97" s="1"/>
      <c r="H97" s="1"/>
      <c r="I97" s="1"/>
      <c r="J97" s="1"/>
      <c r="K97" s="1"/>
      <c r="L97" s="1"/>
      <c r="M97" s="1"/>
      <c r="N97" s="1"/>
      <c r="O97" s="1"/>
      <c r="P97" s="1"/>
      <c r="Q97" s="1"/>
      <c r="R97" s="1"/>
      <c r="S97" s="1"/>
      <c r="T97" s="1"/>
      <c r="U97" s="1"/>
      <c r="V97" s="1"/>
      <c r="W97" s="1"/>
      <c r="X97" s="1"/>
    </row>
    <row r="98" spans="1:24" ht="12.75" customHeight="1" x14ac:dyDescent="0.2">
      <c r="A98" s="1"/>
      <c r="B98" s="1"/>
      <c r="C98" s="1"/>
      <c r="D98" s="1"/>
      <c r="E98" s="1"/>
      <c r="F98" s="1"/>
      <c r="G98" s="1"/>
      <c r="H98" s="1"/>
      <c r="I98" s="1"/>
      <c r="J98" s="1"/>
      <c r="K98" s="1"/>
      <c r="L98" s="1"/>
      <c r="M98" s="1"/>
      <c r="N98" s="1"/>
      <c r="O98" s="1"/>
      <c r="P98" s="1"/>
      <c r="Q98" s="1"/>
      <c r="R98" s="1"/>
      <c r="S98" s="1"/>
      <c r="T98" s="1"/>
      <c r="U98" s="1"/>
      <c r="V98" s="1"/>
      <c r="W98" s="1"/>
      <c r="X98" s="1"/>
    </row>
    <row r="99" spans="1:24" ht="12.75" customHeight="1" x14ac:dyDescent="0.2">
      <c r="A99" s="1"/>
      <c r="B99" s="1"/>
      <c r="C99" s="1"/>
      <c r="D99" s="1"/>
      <c r="E99" s="1"/>
      <c r="F99" s="1"/>
      <c r="G99" s="1"/>
      <c r="H99" s="1"/>
      <c r="I99" s="1"/>
      <c r="J99" s="1"/>
      <c r="K99" s="1"/>
      <c r="L99" s="1"/>
      <c r="M99" s="1"/>
      <c r="N99" s="1"/>
      <c r="O99" s="1"/>
      <c r="P99" s="1"/>
      <c r="Q99" s="1"/>
      <c r="R99" s="1"/>
      <c r="S99" s="1"/>
      <c r="T99" s="1"/>
      <c r="U99" s="1"/>
      <c r="V99" s="1"/>
      <c r="W99" s="1"/>
      <c r="X99" s="1"/>
    </row>
    <row r="100" spans="1:24"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row>
    <row r="101" spans="1:24"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row>
    <row r="102" spans="1:24"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row>
    <row r="103" spans="1:24"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row>
    <row r="104" spans="1:24"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row>
    <row r="105" spans="1:24"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row>
    <row r="106" spans="1:24"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row>
    <row r="107" spans="1:24"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row>
    <row r="108" spans="1:24"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row>
    <row r="109" spans="1:24"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row>
    <row r="110" spans="1:24"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row>
    <row r="111" spans="1:24"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row>
    <row r="112" spans="1:24"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row>
    <row r="113" spans="1:24"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row>
    <row r="114" spans="1:24"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row>
    <row r="115" spans="1:24"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row>
    <row r="116" spans="1:24"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row>
    <row r="117" spans="1:24"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row>
    <row r="118" spans="1:24"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row>
    <row r="119" spans="1:24"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row>
    <row r="120" spans="1:24"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row>
    <row r="121" spans="1:24"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row>
    <row r="122" spans="1:24"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row>
    <row r="123" spans="1:24"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row>
    <row r="124" spans="1:24"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row>
    <row r="125" spans="1:24"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row>
    <row r="126" spans="1:24"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row>
    <row r="127" spans="1:24"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row>
    <row r="128" spans="1:24"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row>
    <row r="129" spans="1:24"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row>
    <row r="130" spans="1:24"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row>
    <row r="131" spans="1:24"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row>
    <row r="132" spans="1:24"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row>
    <row r="133" spans="1:24"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row>
    <row r="134" spans="1:24"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row>
    <row r="135" spans="1:24"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row>
    <row r="136" spans="1:24"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row>
    <row r="137" spans="1:24"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row>
    <row r="138" spans="1:24"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row>
    <row r="139" spans="1:24"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row>
    <row r="140" spans="1:24"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row>
    <row r="141" spans="1:24"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row>
    <row r="142" spans="1:24"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row>
    <row r="143" spans="1:24"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row>
    <row r="144" spans="1:24"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row>
    <row r="145" spans="1:24"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row>
    <row r="146" spans="1:24"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row>
    <row r="147" spans="1:24"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row>
    <row r="148" spans="1:24"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row>
    <row r="149" spans="1:24"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row>
    <row r="222" spans="1:24"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row>
    <row r="223" spans="1:24"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row>
    <row r="224" spans="1:24"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row>
    <row r="225" spans="1:24"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row>
    <row r="226" spans="1:24"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row>
    <row r="227" spans="1:24"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row>
    <row r="228" spans="1:24"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row>
    <row r="229" spans="1:24"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row>
    <row r="230" spans="1:24"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row>
    <row r="231" spans="1:24"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row>
    <row r="232" spans="1:24"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row>
    <row r="233" spans="1:24"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row>
    <row r="234" spans="1:24"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row>
    <row r="235" spans="1:24"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row>
    <row r="236" spans="1:24"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row>
    <row r="237" spans="1:24"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row>
    <row r="238" spans="1:24"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row>
    <row r="239" spans="1:24"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row>
    <row r="240" spans="1:24"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row>
    <row r="241" spans="1:24"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row>
    <row r="242" spans="1:24"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row>
    <row r="243" spans="1:24"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row>
    <row r="244" spans="1:24"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row>
    <row r="245" spans="1:24"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row>
    <row r="246" spans="1:24"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row>
    <row r="247" spans="1:24"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row>
    <row r="248" spans="1:24"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row>
    <row r="249" spans="1:24"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row>
    <row r="250" spans="1:24"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row>
    <row r="251" spans="1:24"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row>
    <row r="252" spans="1:24"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row>
    <row r="253" spans="1:24"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row>
    <row r="254" spans="1:24"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row>
    <row r="255" spans="1:24"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row>
    <row r="256" spans="1:24"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row>
    <row r="257" spans="1:24"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row>
    <row r="258" spans="1:24"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row>
    <row r="259" spans="1:24"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row>
    <row r="260" spans="1:24"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row>
    <row r="261" spans="1:24"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row>
    <row r="262" spans="1:24"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row>
    <row r="263" spans="1:24"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row>
    <row r="264" spans="1:24"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row>
    <row r="265" spans="1:24"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row>
    <row r="266" spans="1:24"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row>
    <row r="267" spans="1:24"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row>
    <row r="268" spans="1:24"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row>
    <row r="269" spans="1:24"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row>
    <row r="270" spans="1:24"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row>
    <row r="271" spans="1:24"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row>
    <row r="272" spans="1:24"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row>
    <row r="273" spans="1:24"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row>
    <row r="274" spans="1:24"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row>
    <row r="275" spans="1:24"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row>
    <row r="276" spans="1:24"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row>
    <row r="277" spans="1:24"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row>
    <row r="278" spans="1:24"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row>
    <row r="279" spans="1:24"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row>
    <row r="280" spans="1:24"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row>
    <row r="281" spans="1:24"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row>
    <row r="282" spans="1:24"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row>
    <row r="283" spans="1:24"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row>
    <row r="284" spans="1:24"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row>
    <row r="285" spans="1:24"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row>
    <row r="286" spans="1:24"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row>
    <row r="287" spans="1:24"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row>
    <row r="288" spans="1:24"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row>
    <row r="289" spans="1:24"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row>
    <row r="290" spans="1:24"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row>
    <row r="291" spans="1:24"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row>
    <row r="292" spans="1:24"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row>
    <row r="293" spans="1:24"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row>
    <row r="294" spans="1:24"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row>
    <row r="295" spans="1:24"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row>
    <row r="296" spans="1:24"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row>
    <row r="297" spans="1:24"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row>
    <row r="298" spans="1:24"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row>
    <row r="299" spans="1:24"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row>
    <row r="300" spans="1:24"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row>
    <row r="301" spans="1:24"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row>
    <row r="302" spans="1:24"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row>
    <row r="303" spans="1:24"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row>
    <row r="304" spans="1:24"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row>
    <row r="305" spans="1:24"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row>
    <row r="306" spans="1:24"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row>
    <row r="307" spans="1:24"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row>
    <row r="308" spans="1:24"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row>
    <row r="309" spans="1:24"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row>
    <row r="310" spans="1:24"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row>
    <row r="311" spans="1:24"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row>
    <row r="312" spans="1:24"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row>
    <row r="313" spans="1:24"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row>
    <row r="314" spans="1:24"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row>
    <row r="315" spans="1:24"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row>
    <row r="316" spans="1:24"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row>
    <row r="317" spans="1:24"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row>
    <row r="318" spans="1:24"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row>
    <row r="319" spans="1:24"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row>
    <row r="320" spans="1:24"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row>
    <row r="321" spans="1:24"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row>
    <row r="322" spans="1:24"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row>
    <row r="323" spans="1:24"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row>
    <row r="324" spans="1:24"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row>
    <row r="325" spans="1:24"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row>
    <row r="326" spans="1:24"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row>
    <row r="327" spans="1:24"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row>
    <row r="328" spans="1:24"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row>
    <row r="329" spans="1:24"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row>
    <row r="330" spans="1:24"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row>
    <row r="331" spans="1:24"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row>
    <row r="332" spans="1:24"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row>
    <row r="333" spans="1:24"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row>
    <row r="334" spans="1:24"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row>
    <row r="335" spans="1:24"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row>
    <row r="336" spans="1:24"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row>
    <row r="337" spans="1:24"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row>
    <row r="338" spans="1:24"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row>
    <row r="339" spans="1:24"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row>
    <row r="340" spans="1:24"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row>
    <row r="341" spans="1:24"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row>
    <row r="342" spans="1:24"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row>
    <row r="343" spans="1:24"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row>
    <row r="344" spans="1:24"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row>
    <row r="345" spans="1:24"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row>
    <row r="346" spans="1:24"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row>
    <row r="347" spans="1:24"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row>
    <row r="348" spans="1:24"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row>
    <row r="349" spans="1:24"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row>
    <row r="350" spans="1:24"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row>
    <row r="351" spans="1:24"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row>
    <row r="352" spans="1:24"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row>
    <row r="353" spans="1:24"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row>
    <row r="354" spans="1:24"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row>
    <row r="355" spans="1:24"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row>
    <row r="356" spans="1:24"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row>
    <row r="357" spans="1:24"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row>
    <row r="358" spans="1:24"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row>
    <row r="359" spans="1:24"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row>
    <row r="360" spans="1:24"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row>
    <row r="361" spans="1:24"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row>
    <row r="362" spans="1:24"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row>
    <row r="363" spans="1:24"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row>
    <row r="364" spans="1:24"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row>
    <row r="365" spans="1:24"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row>
    <row r="366" spans="1:24"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row>
    <row r="367" spans="1:24"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row>
    <row r="368" spans="1:24"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row>
    <row r="369" spans="1:24"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row>
    <row r="370" spans="1:24"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row>
    <row r="371" spans="1:24"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row>
    <row r="372" spans="1:24"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row>
    <row r="373" spans="1:24"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row>
    <row r="374" spans="1:24"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row>
    <row r="375" spans="1:24"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row>
    <row r="376" spans="1:24"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row>
    <row r="377" spans="1:24"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row>
    <row r="378" spans="1:24"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row>
    <row r="379" spans="1:24"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row>
    <row r="380" spans="1:24"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row>
    <row r="381" spans="1:24"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row>
    <row r="382" spans="1:24"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row>
    <row r="383" spans="1:24"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row>
    <row r="384" spans="1:24"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row>
    <row r="385" spans="1:24"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row>
    <row r="386" spans="1:24"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row>
    <row r="387" spans="1:24"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row>
    <row r="388" spans="1:24"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row>
    <row r="389" spans="1:24"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row>
    <row r="390" spans="1:24"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row>
    <row r="391" spans="1:24"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row>
    <row r="392" spans="1:24"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row>
    <row r="393" spans="1:24"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row>
    <row r="394" spans="1:24"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row>
    <row r="395" spans="1:24"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row>
    <row r="396" spans="1:24"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row>
    <row r="397" spans="1:24"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row>
    <row r="398" spans="1:24"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row>
    <row r="399" spans="1:24"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row>
    <row r="400" spans="1:24"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row>
    <row r="401" spans="1:24"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row>
    <row r="402" spans="1:24"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row>
    <row r="403" spans="1:24"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row>
    <row r="404" spans="1:24"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row>
    <row r="405" spans="1:24"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row>
    <row r="406" spans="1:24"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row>
    <row r="407" spans="1:24"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row>
    <row r="408" spans="1:24"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row>
    <row r="409" spans="1:24"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row>
    <row r="410" spans="1:24"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row>
    <row r="411" spans="1:24"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row>
    <row r="412" spans="1:24"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row>
    <row r="413" spans="1:24"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row>
    <row r="414" spans="1:24"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row>
    <row r="415" spans="1:24"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row>
    <row r="416" spans="1:24"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row>
    <row r="417" spans="1:24"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row>
    <row r="418" spans="1:24"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row>
    <row r="419" spans="1:24"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row>
    <row r="420" spans="1:24"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row>
    <row r="421" spans="1:24"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row>
    <row r="422" spans="1:24"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row>
    <row r="423" spans="1:24"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row>
    <row r="424" spans="1:24"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row>
    <row r="425" spans="1:24"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row>
    <row r="426" spans="1:24"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row>
    <row r="427" spans="1:24"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row>
    <row r="428" spans="1:24"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row>
    <row r="429" spans="1:24"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row>
    <row r="430" spans="1:24"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row>
    <row r="431" spans="1:24"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row>
    <row r="432" spans="1:24"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row>
    <row r="433" spans="1:24"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row>
    <row r="434" spans="1:24"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row>
    <row r="435" spans="1:24"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row>
    <row r="436" spans="1:24"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row>
    <row r="437" spans="1:24"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row>
    <row r="438" spans="1:24"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row>
    <row r="439" spans="1:24"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row>
    <row r="440" spans="1:24"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row>
    <row r="441" spans="1:24"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row>
    <row r="442" spans="1:24"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row>
    <row r="443" spans="1:24"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row>
    <row r="444" spans="1:24"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row>
    <row r="445" spans="1:24"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row>
    <row r="446" spans="1:24"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row>
    <row r="447" spans="1:24"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row>
    <row r="448" spans="1:24"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row>
    <row r="449" spans="1:24"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row>
    <row r="450" spans="1:24"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row>
    <row r="451" spans="1:24"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row>
    <row r="452" spans="1:24"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row>
    <row r="453" spans="1:24"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row>
    <row r="454" spans="1:24"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row>
    <row r="455" spans="1:24"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row>
    <row r="456" spans="1:24"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row>
    <row r="457" spans="1:24"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row>
    <row r="458" spans="1:24"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row>
    <row r="459" spans="1:24"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row>
    <row r="460" spans="1:24"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row>
    <row r="461" spans="1:24"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row>
    <row r="462" spans="1:24"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row>
    <row r="463" spans="1:24"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row>
    <row r="464" spans="1:24"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row>
    <row r="465" spans="1:24"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row>
    <row r="466" spans="1:24"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row>
    <row r="467" spans="1:24"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row>
    <row r="468" spans="1:24"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row>
    <row r="469" spans="1:24"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row>
    <row r="470" spans="1:24"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row>
    <row r="471" spans="1:24"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row>
    <row r="472" spans="1:24"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row>
    <row r="473" spans="1:24"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row>
    <row r="474" spans="1:24"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row>
    <row r="475" spans="1:24"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row>
    <row r="476" spans="1:24"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row>
    <row r="477" spans="1:24"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row>
    <row r="478" spans="1:24"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row>
    <row r="479" spans="1:24"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row>
    <row r="480" spans="1:24"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row>
    <row r="481" spans="1:24"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row>
    <row r="482" spans="1:24"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row>
    <row r="483" spans="1:24"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row>
    <row r="484" spans="1:24"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row>
    <row r="485" spans="1:24"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row>
    <row r="486" spans="1:24"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row>
    <row r="487" spans="1:24"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row>
    <row r="488" spans="1:24"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row>
    <row r="489" spans="1:24"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row>
    <row r="490" spans="1:24"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row>
    <row r="491" spans="1:24"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row>
    <row r="492" spans="1:24"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row>
    <row r="493" spans="1:24"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row>
    <row r="494" spans="1:24"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row>
    <row r="495" spans="1:24"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row>
    <row r="496" spans="1:24"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row>
    <row r="497" spans="1:24"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row>
    <row r="498" spans="1:24"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row>
    <row r="499" spans="1:24"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row>
    <row r="500" spans="1:24"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row>
    <row r="501" spans="1:24"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row>
    <row r="502" spans="1:24"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row>
    <row r="503" spans="1:24"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row>
    <row r="504" spans="1:24"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row>
    <row r="505" spans="1:24"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row>
    <row r="506" spans="1:24"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row>
    <row r="507" spans="1:24"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row>
    <row r="508" spans="1:24"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row>
    <row r="509" spans="1:24"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row>
    <row r="510" spans="1:24"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row>
    <row r="511" spans="1:24"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row>
    <row r="512" spans="1:24"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row>
    <row r="513" spans="1:24"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row>
    <row r="514" spans="1:24"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row>
    <row r="515" spans="1:24"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row>
    <row r="516" spans="1:24"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row>
    <row r="517" spans="1:24"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row>
    <row r="518" spans="1:24"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row>
    <row r="519" spans="1:24"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row>
    <row r="520" spans="1:24"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row>
    <row r="521" spans="1:24"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row>
    <row r="522" spans="1:24"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row>
    <row r="523" spans="1:24"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row>
    <row r="524" spans="1:24"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row>
    <row r="525" spans="1:24"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row>
    <row r="526" spans="1:24"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row>
    <row r="527" spans="1:24"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row>
    <row r="528" spans="1:24"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row>
    <row r="529" spans="1:24"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row>
    <row r="530" spans="1:24"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row>
    <row r="531" spans="1:24"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row>
    <row r="532" spans="1:24"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row>
    <row r="533" spans="1:24"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row>
    <row r="534" spans="1:24"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row>
    <row r="535" spans="1:24"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row>
    <row r="536" spans="1:24"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row>
    <row r="537" spans="1:24"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row>
    <row r="538" spans="1:24"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row>
    <row r="539" spans="1:24"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row>
    <row r="540" spans="1:24"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row>
    <row r="541" spans="1:24"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row>
    <row r="542" spans="1:24"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row>
    <row r="543" spans="1:24"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row>
    <row r="544" spans="1:24"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row>
    <row r="545" spans="1:24"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row>
    <row r="546" spans="1:24"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row>
    <row r="547" spans="1:24"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row>
    <row r="548" spans="1:24"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row>
    <row r="549" spans="1:24"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row>
    <row r="550" spans="1:24"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row>
    <row r="551" spans="1:24"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row>
    <row r="552" spans="1:24"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row>
    <row r="553" spans="1:24"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row>
    <row r="554" spans="1:24"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row>
    <row r="555" spans="1:24"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row>
    <row r="556" spans="1:24"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row>
    <row r="557" spans="1:24"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row>
    <row r="558" spans="1:24"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row>
    <row r="559" spans="1:24"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row>
    <row r="560" spans="1:24"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row>
    <row r="561" spans="1:24"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row>
    <row r="562" spans="1:24"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row>
    <row r="563" spans="1:24"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row>
    <row r="564" spans="1:24"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row>
    <row r="565" spans="1:24"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row>
    <row r="566" spans="1:24"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row>
    <row r="567" spans="1:24"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row>
    <row r="568" spans="1:24"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row>
    <row r="569" spans="1:24"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row>
    <row r="570" spans="1:24"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row>
    <row r="571" spans="1:24"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row>
    <row r="572" spans="1:24"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row>
    <row r="573" spans="1:24"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row>
    <row r="574" spans="1:24"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row>
    <row r="575" spans="1:24"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row>
    <row r="576" spans="1:24"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row>
    <row r="577" spans="1:24"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row>
    <row r="578" spans="1:24"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row>
    <row r="579" spans="1:24"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row>
    <row r="580" spans="1:24"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row>
    <row r="581" spans="1:24"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row>
    <row r="582" spans="1:24"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row>
    <row r="583" spans="1:24"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row>
    <row r="584" spans="1:24"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row>
    <row r="585" spans="1:24"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row>
    <row r="586" spans="1:24"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row>
    <row r="587" spans="1:24"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row>
    <row r="588" spans="1:24"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row>
    <row r="589" spans="1:24"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row>
    <row r="590" spans="1:24"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row>
    <row r="591" spans="1:24"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row>
    <row r="592" spans="1:24"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row>
    <row r="593" spans="1:24"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row>
    <row r="594" spans="1:24"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row>
    <row r="595" spans="1:24"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row>
    <row r="596" spans="1:24"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row>
    <row r="597" spans="1:24"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row>
    <row r="598" spans="1:24"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row>
    <row r="599" spans="1:24"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row>
    <row r="600" spans="1:24"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row>
    <row r="601" spans="1:24"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row>
    <row r="602" spans="1:24"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row>
    <row r="603" spans="1:24"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row>
    <row r="604" spans="1:24"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row>
    <row r="605" spans="1:24"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row>
    <row r="606" spans="1:24"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row>
    <row r="607" spans="1:24"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row>
    <row r="608" spans="1:24"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row>
    <row r="609" spans="1:24"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row>
    <row r="610" spans="1:24"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row>
    <row r="611" spans="1:24"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row>
    <row r="612" spans="1:24"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row>
    <row r="613" spans="1:24"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row>
    <row r="614" spans="1:24"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row>
    <row r="615" spans="1:24"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row>
    <row r="616" spans="1:24"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row>
    <row r="617" spans="1:24"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row>
    <row r="618" spans="1:24"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row>
    <row r="619" spans="1:24"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row>
    <row r="620" spans="1:24"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row>
    <row r="621" spans="1:24"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row>
    <row r="622" spans="1:24"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row>
    <row r="623" spans="1:24"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row>
    <row r="624" spans="1:24"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row>
    <row r="625" spans="1:24"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row>
    <row r="626" spans="1:24"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row>
    <row r="627" spans="1:24"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row>
    <row r="628" spans="1:24"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row>
    <row r="629" spans="1:24"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row>
    <row r="630" spans="1:24"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row>
    <row r="631" spans="1:24"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row>
    <row r="632" spans="1:24"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row>
    <row r="633" spans="1:24"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row>
    <row r="634" spans="1:24"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row>
    <row r="635" spans="1:24"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row>
    <row r="636" spans="1:24"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row>
    <row r="637" spans="1:24"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row>
    <row r="638" spans="1:24"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row>
    <row r="639" spans="1:24"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row>
    <row r="640" spans="1:24"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row>
    <row r="641" spans="1:24"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row>
    <row r="642" spans="1:24"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row>
    <row r="643" spans="1:24"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row>
    <row r="644" spans="1:24"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row>
    <row r="645" spans="1:24"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row>
    <row r="646" spans="1:24"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row>
    <row r="647" spans="1:24"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row>
    <row r="648" spans="1:24"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row>
    <row r="649" spans="1:24"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row>
    <row r="650" spans="1:24"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row>
    <row r="651" spans="1:24"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row>
    <row r="652" spans="1:24"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row>
    <row r="653" spans="1:24"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row>
    <row r="654" spans="1:24"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row>
    <row r="655" spans="1:24"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row>
    <row r="656" spans="1:24"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row>
    <row r="657" spans="1:24"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row>
    <row r="658" spans="1:24"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row>
    <row r="659" spans="1:24"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row>
    <row r="660" spans="1:24"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row>
    <row r="661" spans="1:24"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row>
    <row r="662" spans="1:24"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row>
    <row r="663" spans="1:24"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row>
    <row r="664" spans="1:24"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row>
    <row r="665" spans="1:24"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row>
    <row r="666" spans="1:24"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row>
    <row r="667" spans="1:24"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row>
    <row r="668" spans="1:24"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row>
    <row r="669" spans="1:24"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row>
    <row r="670" spans="1:24"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row>
    <row r="671" spans="1:24"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row>
    <row r="672" spans="1:24"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row>
    <row r="673" spans="1:24"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row>
    <row r="674" spans="1:24"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row>
    <row r="675" spans="1:24"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row>
    <row r="676" spans="1:24"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row>
    <row r="677" spans="1:24"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row>
    <row r="678" spans="1:24"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row>
    <row r="679" spans="1:24"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row>
    <row r="680" spans="1:24"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row>
    <row r="681" spans="1:24"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row>
    <row r="682" spans="1:24"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row>
    <row r="683" spans="1:24"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row>
    <row r="684" spans="1:24"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row>
    <row r="685" spans="1:24"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row>
    <row r="686" spans="1:24"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row>
    <row r="687" spans="1:24"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row>
    <row r="688" spans="1:24"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row>
    <row r="689" spans="1:24"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row>
    <row r="690" spans="1:24"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row>
    <row r="691" spans="1:24"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row>
    <row r="692" spans="1:24"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row>
    <row r="693" spans="1:24"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row>
    <row r="694" spans="1:24"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row>
    <row r="695" spans="1:24"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row>
    <row r="696" spans="1:24"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row>
    <row r="697" spans="1:24"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row>
    <row r="698" spans="1:24"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row>
    <row r="699" spans="1:24"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row>
    <row r="700" spans="1:24"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row>
    <row r="701" spans="1:24"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row>
    <row r="702" spans="1:24"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row>
    <row r="703" spans="1:24"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row>
    <row r="704" spans="1:24"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row>
    <row r="705" spans="1:24"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row>
    <row r="706" spans="1:24"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row>
    <row r="707" spans="1:24"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row>
    <row r="708" spans="1:24"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row>
    <row r="709" spans="1:24"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row>
    <row r="710" spans="1:24"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row>
    <row r="711" spans="1:24"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row>
    <row r="712" spans="1:24"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row>
    <row r="713" spans="1:24"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row>
    <row r="714" spans="1:24"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row>
    <row r="715" spans="1:24"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row>
    <row r="716" spans="1:24"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row>
    <row r="717" spans="1:24"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row>
    <row r="718" spans="1:24"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row>
    <row r="719" spans="1:24"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row>
    <row r="720" spans="1:24"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row>
    <row r="721" spans="1:24"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row>
    <row r="722" spans="1:24"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row>
    <row r="723" spans="1:24"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row>
    <row r="724" spans="1:24"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row>
    <row r="725" spans="1:24"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row>
    <row r="726" spans="1:24"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row>
    <row r="727" spans="1:24"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row>
    <row r="728" spans="1:24"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row>
    <row r="729" spans="1:24"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row>
    <row r="730" spans="1:24"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row>
    <row r="731" spans="1:24"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row>
    <row r="732" spans="1:24"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row>
    <row r="733" spans="1:24"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row>
    <row r="734" spans="1:24"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row>
    <row r="735" spans="1:24"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row>
    <row r="736" spans="1:24"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row>
    <row r="737" spans="1:24"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row>
    <row r="738" spans="1:24"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row>
    <row r="739" spans="1:24"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row>
    <row r="740" spans="1:24"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row>
    <row r="741" spans="1:24"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row>
    <row r="742" spans="1:24"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row>
    <row r="743" spans="1:24"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row>
    <row r="744" spans="1:24"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row>
    <row r="745" spans="1:24"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row>
    <row r="746" spans="1:24"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row>
    <row r="747" spans="1:24"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row>
    <row r="748" spans="1:24"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row>
    <row r="749" spans="1:24"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row>
    <row r="750" spans="1:24"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row>
    <row r="751" spans="1:24"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row>
    <row r="752" spans="1:24"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row>
    <row r="753" spans="1:24"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row>
    <row r="754" spans="1:24"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row>
    <row r="755" spans="1:24"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row>
    <row r="756" spans="1:24"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row>
    <row r="757" spans="1:24"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row>
    <row r="758" spans="1:24"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row>
    <row r="759" spans="1:24"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row>
    <row r="760" spans="1:24"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row>
    <row r="761" spans="1:24"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row>
    <row r="762" spans="1:24"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row>
    <row r="763" spans="1:24"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row>
    <row r="764" spans="1:24"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row>
    <row r="765" spans="1:24"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row>
    <row r="766" spans="1:24"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row>
    <row r="767" spans="1:24"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row>
    <row r="768" spans="1:24"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row>
    <row r="769" spans="1:24"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row>
    <row r="770" spans="1:24"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row>
    <row r="771" spans="1:24"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row>
    <row r="772" spans="1:24"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row>
    <row r="773" spans="1:24"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row>
    <row r="774" spans="1:24"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row>
    <row r="775" spans="1:24"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row>
    <row r="776" spans="1:24"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row>
    <row r="777" spans="1:24"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row>
    <row r="778" spans="1:24"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row>
    <row r="779" spans="1:24"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row>
    <row r="780" spans="1:24"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row>
    <row r="781" spans="1:24"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row>
    <row r="782" spans="1:24"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row>
    <row r="783" spans="1:24"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row>
    <row r="784" spans="1:24"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row>
    <row r="785" spans="1:24"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row>
    <row r="786" spans="1:24"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row>
    <row r="787" spans="1:24"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row>
    <row r="788" spans="1:24"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row>
    <row r="789" spans="1:24"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row>
    <row r="790" spans="1:24"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row>
    <row r="791" spans="1:24"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row>
    <row r="792" spans="1:24"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row>
    <row r="793" spans="1:24"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row>
    <row r="794" spans="1:24"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row>
    <row r="795" spans="1:24"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row>
    <row r="796" spans="1:24"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row>
    <row r="797" spans="1:24"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row>
    <row r="798" spans="1:24"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row>
    <row r="799" spans="1:24"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row>
    <row r="800" spans="1:24"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row>
    <row r="801" spans="1:24"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row>
    <row r="802" spans="1:24"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row>
    <row r="803" spans="1:24"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row>
    <row r="804" spans="1:24"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row>
    <row r="805" spans="1:24"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row>
    <row r="806" spans="1:24"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row>
    <row r="807" spans="1:24"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row>
    <row r="808" spans="1:24"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row>
    <row r="809" spans="1:24"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row>
    <row r="810" spans="1:24"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row>
    <row r="811" spans="1:24"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row>
    <row r="812" spans="1:24"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row>
    <row r="813" spans="1:24"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row>
    <row r="814" spans="1:24"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row>
    <row r="815" spans="1:24"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row>
    <row r="816" spans="1:24"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row>
    <row r="817" spans="1:24"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row>
    <row r="818" spans="1:24"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row>
    <row r="819" spans="1:24"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row>
    <row r="820" spans="1:24"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row>
    <row r="821" spans="1:24"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row>
    <row r="822" spans="1:24"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row>
    <row r="823" spans="1:24"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row>
    <row r="824" spans="1:24"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row>
    <row r="825" spans="1:24"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row>
    <row r="826" spans="1:24"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row>
    <row r="827" spans="1:24"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row>
    <row r="828" spans="1:24"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row>
    <row r="829" spans="1:24"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row>
    <row r="830" spans="1:24"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row>
    <row r="831" spans="1:24"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row>
    <row r="832" spans="1:24"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row>
    <row r="833" spans="1:24"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row>
    <row r="834" spans="1:24"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row>
    <row r="835" spans="1:24"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row>
    <row r="836" spans="1:24"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row>
    <row r="837" spans="1:24"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row>
    <row r="838" spans="1:24"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row>
    <row r="839" spans="1:24"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row>
    <row r="840" spans="1:24"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row>
    <row r="841" spans="1:24"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row>
    <row r="842" spans="1:24"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row>
    <row r="843" spans="1:24"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row>
    <row r="844" spans="1:24"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row>
    <row r="845" spans="1:24"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row>
    <row r="846" spans="1:24"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row>
    <row r="847" spans="1:24"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row>
    <row r="848" spans="1:24"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row>
    <row r="849" spans="1:24"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row>
    <row r="850" spans="1:24"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row>
    <row r="851" spans="1:24"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row>
    <row r="852" spans="1:24"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row>
    <row r="853" spans="1:24"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row>
    <row r="854" spans="1:24"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row>
    <row r="855" spans="1:24"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row>
    <row r="856" spans="1:24"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row>
    <row r="857" spans="1:24"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row>
    <row r="858" spans="1:24"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row>
    <row r="859" spans="1:24"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row>
    <row r="860" spans="1:24"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row>
    <row r="861" spans="1:24"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row>
    <row r="862" spans="1:24"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row>
    <row r="863" spans="1:24"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row>
    <row r="864" spans="1:24"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row>
    <row r="865" spans="1:24"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row>
    <row r="866" spans="1:24"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row>
    <row r="867" spans="1:24"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row>
    <row r="868" spans="1:24"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row>
    <row r="869" spans="1:24"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row>
    <row r="870" spans="1:24"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row>
    <row r="871" spans="1:24"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row>
    <row r="872" spans="1:24"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row>
    <row r="873" spans="1:24"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row>
    <row r="874" spans="1:24"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row>
    <row r="875" spans="1:24"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row>
    <row r="876" spans="1:24"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row>
    <row r="877" spans="1:24"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row>
    <row r="878" spans="1:24"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row>
    <row r="879" spans="1:24"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row>
    <row r="880" spans="1:24"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row>
    <row r="881" spans="1:24"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row>
    <row r="882" spans="1:24"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row>
    <row r="883" spans="1:24"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row>
    <row r="884" spans="1:24"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row>
    <row r="885" spans="1:24"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row>
    <row r="886" spans="1:24"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row>
    <row r="887" spans="1:24"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row>
    <row r="888" spans="1:24"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row>
    <row r="889" spans="1:24"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row>
    <row r="890" spans="1:24"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row>
    <row r="891" spans="1:24"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row>
    <row r="892" spans="1:24"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row>
    <row r="893" spans="1:24"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row>
    <row r="894" spans="1:24"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row>
    <row r="895" spans="1:24"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row>
    <row r="896" spans="1:24"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row>
    <row r="897" spans="1:24"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row>
    <row r="898" spans="1:24"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row>
    <row r="899" spans="1:24"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row>
    <row r="900" spans="1:24"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row>
    <row r="901" spans="1:24"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row>
    <row r="902" spans="1:24"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row>
    <row r="903" spans="1:24"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row>
    <row r="904" spans="1:24"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row>
    <row r="905" spans="1:24"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row>
    <row r="906" spans="1:24"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row>
    <row r="907" spans="1:24"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row>
    <row r="908" spans="1:24"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row>
    <row r="909" spans="1:24"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row>
    <row r="910" spans="1:24"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row>
    <row r="911" spans="1:24"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row>
    <row r="912" spans="1:24"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row>
    <row r="913" spans="1:24"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row>
    <row r="914" spans="1:24"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row>
    <row r="915" spans="1:24"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row>
    <row r="916" spans="1:24"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row>
    <row r="917" spans="1:24"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row>
    <row r="918" spans="1:24"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row>
    <row r="919" spans="1:24"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row>
    <row r="920" spans="1:24"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row>
    <row r="921" spans="1:24"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row>
    <row r="922" spans="1:24"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row>
    <row r="923" spans="1:24"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row>
    <row r="924" spans="1:24"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row>
    <row r="925" spans="1:24"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row>
    <row r="926" spans="1:24"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row>
    <row r="927" spans="1:24"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row>
    <row r="928" spans="1:24"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row>
    <row r="929" spans="1:24"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row>
    <row r="930" spans="1:24"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row>
    <row r="931" spans="1:24"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row>
    <row r="932" spans="1:24"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row>
    <row r="933" spans="1:24"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row>
    <row r="934" spans="1:24"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row>
    <row r="935" spans="1:24"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row>
    <row r="936" spans="1:24"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row>
    <row r="937" spans="1:24"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row>
    <row r="938" spans="1:24"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row>
    <row r="939" spans="1:24"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row>
    <row r="940" spans="1:24"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row>
    <row r="941" spans="1:24"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row>
    <row r="942" spans="1:24"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row>
    <row r="943" spans="1:24"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row>
    <row r="944" spans="1:24"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row>
    <row r="945" spans="1:24"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row>
    <row r="946" spans="1:24"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row>
    <row r="947" spans="1:24"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row>
    <row r="948" spans="1:24"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row>
    <row r="949" spans="1:24"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row>
    <row r="950" spans="1:24"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row>
    <row r="951" spans="1:24"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row>
    <row r="952" spans="1:24"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row>
    <row r="953" spans="1:24"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row>
    <row r="954" spans="1:24"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row>
    <row r="955" spans="1:24"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row>
    <row r="956" spans="1:24"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row>
    <row r="957" spans="1:24"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row>
    <row r="958" spans="1:24"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row>
    <row r="959" spans="1:24"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row>
    <row r="960" spans="1:24"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row>
    <row r="961" spans="1:24"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row>
    <row r="962" spans="1:24"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row>
    <row r="963" spans="1:24"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row>
    <row r="964" spans="1:24"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row>
    <row r="965" spans="1:24"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row>
    <row r="966" spans="1:24"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row>
    <row r="967" spans="1:24"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row>
    <row r="968" spans="1:24"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row>
    <row r="969" spans="1:24"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row>
    <row r="970" spans="1:24"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row>
    <row r="971" spans="1:24"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row>
    <row r="972" spans="1:24"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row>
    <row r="973" spans="1:24"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row>
    <row r="974" spans="1:24"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row>
    <row r="975" spans="1:24"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row>
    <row r="976" spans="1:24"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row>
    <row r="977" spans="1:24"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row>
    <row r="978" spans="1:24"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row>
    <row r="979" spans="1:24"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row>
    <row r="980" spans="1:24"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row>
    <row r="981" spans="1:24"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row>
    <row r="982" spans="1:24"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row>
    <row r="983" spans="1:24"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row>
    <row r="984" spans="1:24"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row>
    <row r="985" spans="1:24"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row>
    <row r="986" spans="1:24"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row>
    <row r="987" spans="1:24"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row>
    <row r="988" spans="1:24"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row>
    <row r="989" spans="1:24"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row>
    <row r="990" spans="1:24"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row>
    <row r="991" spans="1:24"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row>
    <row r="992" spans="1:24"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row>
    <row r="993" spans="1:24"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row>
    <row r="994" spans="1:24"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row>
    <row r="995" spans="1:24"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row>
    <row r="996" spans="1:24"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row>
    <row r="997" spans="1:24"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row>
    <row r="998" spans="1:24"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row>
    <row r="999" spans="1:24"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row>
    <row r="1000" spans="1:24"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row>
    <row r="1001" spans="1:24" ht="12.75" customHeight="1"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row>
    <row r="1002" spans="1:24" ht="12.75" customHeight="1"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row>
    <row r="1003" spans="1:24" ht="12.75" customHeight="1" x14ac:dyDescent="0.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row>
    <row r="1004" spans="1:24" ht="12.75" customHeight="1" x14ac:dyDescent="0.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row>
    <row r="1005" spans="1:24" ht="12.75" customHeight="1" x14ac:dyDescent="0.2">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row>
    <row r="1006" spans="1:24" ht="12.75" customHeight="1" x14ac:dyDescent="0.2">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row>
  </sheetData>
  <mergeCells count="13">
    <mergeCell ref="C3:D3"/>
    <mergeCell ref="E3:F3"/>
    <mergeCell ref="G3:H3"/>
    <mergeCell ref="A1:N1"/>
    <mergeCell ref="A3:B3"/>
    <mergeCell ref="A2:B2"/>
    <mergeCell ref="C2:D2"/>
    <mergeCell ref="E2:F2"/>
    <mergeCell ref="G2:H2"/>
    <mergeCell ref="I2:N2"/>
    <mergeCell ref="K3:L3"/>
    <mergeCell ref="M3:N3"/>
    <mergeCell ref="I3:J3"/>
  </mergeCells>
  <pageMargins left="0.75" right="0.75" top="1" bottom="1" header="0.3" footer="0.3"/>
  <pageSetup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7"/>
  <sheetViews>
    <sheetView workbookViewId="0">
      <pane xSplit="1" ySplit="4" topLeftCell="B5" activePane="bottomRight" state="frozen"/>
      <selection pane="topRight" activeCell="B1" sqref="B1"/>
      <selection pane="bottomLeft" activeCell="A5" sqref="A5"/>
      <selection pane="bottomRight" activeCell="B4" sqref="B4"/>
    </sheetView>
  </sheetViews>
  <sheetFormatPr defaultColWidth="17.28515625" defaultRowHeight="15" customHeight="1" x14ac:dyDescent="0.2"/>
  <cols>
    <col min="1" max="1" width="6.140625" customWidth="1"/>
    <col min="2" max="2" width="10.28515625" customWidth="1"/>
    <col min="3" max="3" width="8.140625" customWidth="1"/>
    <col min="4" max="4" width="14.42578125" customWidth="1"/>
    <col min="5" max="5" width="8.7109375" customWidth="1"/>
    <col min="6" max="6" width="11.28515625" customWidth="1"/>
    <col min="7" max="7" width="6.85546875" customWidth="1"/>
    <col min="8" max="8" width="9.7109375" customWidth="1"/>
    <col min="9" max="9" width="8" customWidth="1"/>
    <col min="10" max="10" width="10.28515625" customWidth="1"/>
    <col min="11" max="11" width="8.5703125" customWidth="1"/>
    <col min="12" max="12" width="10.42578125" customWidth="1"/>
    <col min="13" max="22" width="11.42578125" customWidth="1"/>
    <col min="23" max="26" width="10" customWidth="1"/>
  </cols>
  <sheetData>
    <row r="1" spans="1:26" ht="12.75" customHeight="1" x14ac:dyDescent="0.2">
      <c r="A1" s="163" t="s">
        <v>259</v>
      </c>
      <c r="B1" s="162"/>
      <c r="C1" s="162"/>
      <c r="D1" s="162"/>
      <c r="E1" s="162"/>
      <c r="F1" s="162"/>
      <c r="G1" s="162"/>
      <c r="H1" s="162"/>
      <c r="I1" s="162"/>
      <c r="J1" s="162"/>
      <c r="K1" s="162"/>
      <c r="L1" s="160"/>
      <c r="M1" s="1"/>
      <c r="N1" s="1"/>
      <c r="O1" s="1"/>
      <c r="P1" s="1"/>
      <c r="Q1" s="1"/>
      <c r="R1" s="1"/>
      <c r="S1" s="1"/>
      <c r="T1" s="1"/>
      <c r="U1" s="1"/>
      <c r="V1" s="1"/>
      <c r="W1" s="1"/>
      <c r="X1" s="1"/>
      <c r="Y1" s="1"/>
      <c r="Z1" s="1"/>
    </row>
    <row r="2" spans="1:26" ht="12" customHeight="1" x14ac:dyDescent="0.2">
      <c r="A2" s="21" t="s">
        <v>103</v>
      </c>
      <c r="B2" s="22"/>
      <c r="C2" s="156" t="s">
        <v>260</v>
      </c>
      <c r="D2" s="167"/>
      <c r="E2" s="157" t="s">
        <v>499</v>
      </c>
      <c r="F2" s="164"/>
      <c r="G2" s="161"/>
      <c r="H2" s="162"/>
      <c r="I2" s="162"/>
      <c r="J2" s="162"/>
      <c r="K2" s="162"/>
      <c r="L2" s="160"/>
      <c r="M2" s="1"/>
      <c r="N2" s="1"/>
      <c r="O2" s="1"/>
      <c r="P2" s="1"/>
      <c r="Q2" s="1"/>
      <c r="R2" s="1"/>
      <c r="S2" s="1"/>
      <c r="T2" s="1"/>
      <c r="U2" s="1"/>
      <c r="V2" s="1"/>
      <c r="W2" s="1"/>
      <c r="X2" s="1"/>
      <c r="Y2" s="1"/>
      <c r="Z2" s="1"/>
    </row>
    <row r="3" spans="1:26" ht="12" customHeight="1" x14ac:dyDescent="0.2">
      <c r="A3" s="147" t="s">
        <v>101</v>
      </c>
      <c r="B3" s="160"/>
      <c r="C3" s="152" t="s">
        <v>40</v>
      </c>
      <c r="D3" s="167"/>
      <c r="E3" s="148" t="s">
        <v>43</v>
      </c>
      <c r="F3" s="164"/>
      <c r="G3" s="147" t="s">
        <v>107</v>
      </c>
      <c r="H3" s="160"/>
      <c r="I3" s="147" t="s">
        <v>30</v>
      </c>
      <c r="J3" s="160"/>
      <c r="K3" s="147" t="s">
        <v>108</v>
      </c>
      <c r="L3" s="160"/>
      <c r="M3" s="1"/>
      <c r="N3" s="1"/>
      <c r="O3" s="1"/>
      <c r="P3" s="1"/>
      <c r="Q3" s="1"/>
      <c r="R3" s="1"/>
      <c r="S3" s="1"/>
      <c r="T3" s="1"/>
      <c r="U3" s="1"/>
      <c r="V3" s="1"/>
      <c r="W3" s="1"/>
      <c r="X3" s="1"/>
      <c r="Y3" s="1"/>
      <c r="Z3" s="1"/>
    </row>
    <row r="4" spans="1:26" ht="12" customHeight="1" x14ac:dyDescent="0.2">
      <c r="A4" s="12"/>
      <c r="B4" s="12">
        <f>+B10+B11+B16+B17+B23+B24+B28+B29+B34+B35+B37+B38+B43+B44+B49+B50+B54+B55</f>
        <v>8987</v>
      </c>
      <c r="C4" s="78">
        <f>SUM(C10,C16,C23,C28,C34,C37,C43,C49,C54,C55)</f>
        <v>2298</v>
      </c>
      <c r="D4" s="79">
        <f>IF((I4=0),"",(C4/I4))</f>
        <v>0.40486257928118391</v>
      </c>
      <c r="E4" s="63">
        <f>SUM(E10,E16,E23,E28,E34,E37,E43,E49,E54,E55)</f>
        <v>3192</v>
      </c>
      <c r="F4" s="64">
        <f>IF((I4=0),"",(E4/I4))</f>
        <v>0.56236786469344613</v>
      </c>
      <c r="G4" s="12">
        <f>SUM(G10,G16,G23,G28,G34,G37,G43,G49,G54,G55)</f>
        <v>186</v>
      </c>
      <c r="H4" s="13">
        <f>IF((I4=0),"",(G4/I4))</f>
        <v>3.2769556025369982E-2</v>
      </c>
      <c r="I4" s="12">
        <f>SUM(I10,I16,I23,I28,I34,I37,I43,I49,I54,I55)</f>
        <v>5676</v>
      </c>
      <c r="J4" s="13">
        <f>IF((B4=0),"",(I4/B4))</f>
        <v>0.63157894736842102</v>
      </c>
      <c r="K4" s="12">
        <f>B4-I4</f>
        <v>3311</v>
      </c>
      <c r="L4" s="13">
        <f>IF((B4=0),"",(K4/B4))</f>
        <v>0.36842105263157893</v>
      </c>
      <c r="M4" s="1"/>
      <c r="N4" s="1"/>
      <c r="O4" s="1"/>
      <c r="P4" s="1"/>
      <c r="Q4" s="1"/>
      <c r="R4" s="1"/>
      <c r="S4" s="1"/>
      <c r="T4" s="1"/>
      <c r="U4" s="1"/>
      <c r="V4" s="1"/>
      <c r="W4" s="1"/>
      <c r="X4" s="1"/>
      <c r="Y4" s="1"/>
      <c r="Z4" s="1"/>
    </row>
    <row r="5" spans="1:26" ht="12" customHeight="1" x14ac:dyDescent="0.2">
      <c r="A5" s="14" t="s">
        <v>261</v>
      </c>
      <c r="B5" s="32" t="s">
        <v>262</v>
      </c>
      <c r="C5" s="86"/>
      <c r="D5" s="86"/>
      <c r="E5" s="90"/>
      <c r="F5" s="90"/>
      <c r="G5" s="16"/>
      <c r="H5" s="16"/>
      <c r="I5" s="16"/>
      <c r="J5" s="16"/>
      <c r="K5" s="16"/>
      <c r="L5" s="16"/>
      <c r="M5" s="1"/>
      <c r="N5" s="1"/>
      <c r="O5" s="1"/>
      <c r="P5" s="1"/>
      <c r="Q5" s="1"/>
      <c r="R5" s="1"/>
      <c r="S5" s="1"/>
      <c r="T5" s="1"/>
      <c r="U5" s="1"/>
      <c r="V5" s="1"/>
      <c r="W5" s="1"/>
      <c r="X5" s="1"/>
      <c r="Y5" s="1"/>
      <c r="Z5" s="1"/>
    </row>
    <row r="6" spans="1:26" ht="12" customHeight="1" x14ac:dyDescent="0.2">
      <c r="A6" s="29" t="s">
        <v>265</v>
      </c>
      <c r="B6" s="15">
        <v>378</v>
      </c>
      <c r="C6" s="81">
        <v>48</v>
      </c>
      <c r="D6" s="82">
        <f>IF((I6=0),"",(C6/I6))</f>
        <v>0.18823529411764706</v>
      </c>
      <c r="E6" s="66">
        <v>198</v>
      </c>
      <c r="F6" s="67">
        <f>IF((I6=0),"",(E6/I6))</f>
        <v>0.77647058823529413</v>
      </c>
      <c r="G6" s="15">
        <v>9</v>
      </c>
      <c r="H6" s="17">
        <f>IF((I6=0),"",(G6/I6))</f>
        <v>3.5294117647058823E-2</v>
      </c>
      <c r="I6" s="15">
        <f>SUM(C6,E6,G6)</f>
        <v>255</v>
      </c>
      <c r="J6" s="17">
        <f>IF((B6=0),"",(I6/B6))</f>
        <v>0.67460317460317465</v>
      </c>
      <c r="K6" s="15">
        <f>B6-I6</f>
        <v>123</v>
      </c>
      <c r="L6" s="17">
        <f>IF((B6=0),"",(K6/B6))</f>
        <v>0.32539682539682541</v>
      </c>
      <c r="M6" s="1"/>
      <c r="N6" s="1"/>
      <c r="O6" s="1"/>
      <c r="P6" s="1"/>
      <c r="Q6" s="1"/>
      <c r="R6" s="1"/>
      <c r="S6" s="1"/>
      <c r="T6" s="1"/>
      <c r="U6" s="1"/>
      <c r="V6" s="1"/>
      <c r="W6" s="1"/>
      <c r="X6" s="1"/>
      <c r="Y6" s="1"/>
      <c r="Z6" s="1"/>
    </row>
    <row r="7" spans="1:26" ht="12" customHeight="1" x14ac:dyDescent="0.2">
      <c r="A7" s="29" t="s">
        <v>330</v>
      </c>
      <c r="B7" s="15">
        <v>344</v>
      </c>
      <c r="C7" s="81">
        <v>39</v>
      </c>
      <c r="D7" s="82">
        <f>IF((I7=0),"",(C7/I7))</f>
        <v>0.16738197424892703</v>
      </c>
      <c r="E7" s="66">
        <v>194</v>
      </c>
      <c r="F7" s="67">
        <f>IF((I7=0),"",(E7/I7))</f>
        <v>0.83261802575107291</v>
      </c>
      <c r="G7" s="15">
        <v>0</v>
      </c>
      <c r="H7" s="17">
        <f>IF((I7=0),"",(G7/I7))</f>
        <v>0</v>
      </c>
      <c r="I7" s="15">
        <f>SUM(C7,E7,G7)</f>
        <v>233</v>
      </c>
      <c r="J7" s="17">
        <f>IF((B7=0),"",(I7/B7))</f>
        <v>0.67732558139534882</v>
      </c>
      <c r="K7" s="29">
        <f>B7-I7</f>
        <v>111</v>
      </c>
      <c r="L7" s="17">
        <f>IF((B7=0),"",(K7/B7))</f>
        <v>0.32267441860465118</v>
      </c>
      <c r="M7" s="1"/>
      <c r="N7" s="1"/>
      <c r="O7" s="1"/>
      <c r="P7" s="1"/>
      <c r="Q7" s="1"/>
      <c r="R7" s="1"/>
      <c r="S7" s="1"/>
      <c r="T7" s="1"/>
      <c r="U7" s="1"/>
      <c r="V7" s="1"/>
      <c r="W7" s="1"/>
      <c r="X7" s="1"/>
      <c r="Y7" s="1"/>
      <c r="Z7" s="1"/>
    </row>
    <row r="8" spans="1:26" ht="12" customHeight="1" x14ac:dyDescent="0.2">
      <c r="A8" s="29" t="s">
        <v>116</v>
      </c>
      <c r="B8" s="15">
        <v>265</v>
      </c>
      <c r="C8" s="81">
        <v>37</v>
      </c>
      <c r="D8" s="82">
        <f>IF((I8=0),"",(C8/I8))</f>
        <v>0.20441988950276244</v>
      </c>
      <c r="E8" s="66">
        <v>139</v>
      </c>
      <c r="F8" s="67">
        <f>IF((I8=0),"",(E8/I8))</f>
        <v>0.76795580110497241</v>
      </c>
      <c r="G8" s="15">
        <v>5</v>
      </c>
      <c r="H8" s="17">
        <f>IF((I8=0),"",(G8/I8))</f>
        <v>2.7624309392265192E-2</v>
      </c>
      <c r="I8" s="15">
        <f>SUM(C8,E8,G8)</f>
        <v>181</v>
      </c>
      <c r="J8" s="17">
        <f>IF((B8=0),"",(I8/B8))</f>
        <v>0.68301886792452826</v>
      </c>
      <c r="K8" s="29">
        <f>B8-I8</f>
        <v>84</v>
      </c>
      <c r="L8" s="17">
        <f>IF((B8=0),"",(K8/B8))</f>
        <v>0.31698113207547168</v>
      </c>
      <c r="M8" s="1"/>
      <c r="N8" s="1"/>
      <c r="O8" s="1"/>
      <c r="P8" s="1"/>
      <c r="Q8" s="1"/>
      <c r="R8" s="1"/>
      <c r="S8" s="1"/>
      <c r="T8" s="1"/>
      <c r="U8" s="1"/>
      <c r="V8" s="1"/>
      <c r="W8" s="1"/>
      <c r="X8" s="1"/>
      <c r="Y8" s="1"/>
      <c r="Z8" s="1"/>
    </row>
    <row r="9" spans="1:26" ht="12" customHeight="1" x14ac:dyDescent="0.2">
      <c r="A9" s="29" t="s">
        <v>498</v>
      </c>
      <c r="B9" s="15">
        <v>220</v>
      </c>
      <c r="C9" s="81">
        <v>36</v>
      </c>
      <c r="D9" s="82">
        <f>IF((I9=0),"",(C9/I9))</f>
        <v>0.22784810126582278</v>
      </c>
      <c r="E9" s="66">
        <v>116</v>
      </c>
      <c r="F9" s="67">
        <f>IF((I9=0),"",(E9/I9))</f>
        <v>0.73417721518987344</v>
      </c>
      <c r="G9" s="15">
        <v>6</v>
      </c>
      <c r="H9" s="17">
        <f>IF((I9=0),"",(G9/I9))</f>
        <v>3.7974683544303799E-2</v>
      </c>
      <c r="I9" s="15">
        <f>SUM(C9,E9,G9)</f>
        <v>158</v>
      </c>
      <c r="J9" s="17">
        <f>IF((B9=0),"",(I9/B9))</f>
        <v>0.71818181818181814</v>
      </c>
      <c r="K9" s="29">
        <f>B9-I9</f>
        <v>62</v>
      </c>
      <c r="L9" s="17">
        <f>IF((B9=0),"",(K9/B9))</f>
        <v>0.2818181818181818</v>
      </c>
      <c r="M9" s="1"/>
      <c r="N9" s="1"/>
      <c r="O9" s="1"/>
      <c r="P9" s="1"/>
      <c r="Q9" s="1"/>
      <c r="R9" s="1"/>
      <c r="S9" s="1"/>
      <c r="T9" s="1"/>
      <c r="U9" s="1"/>
      <c r="V9" s="1"/>
      <c r="W9" s="1"/>
      <c r="X9" s="1"/>
      <c r="Y9" s="1"/>
      <c r="Z9" s="1"/>
    </row>
    <row r="10" spans="1:26" ht="12" customHeight="1" x14ac:dyDescent="0.2">
      <c r="A10" s="12" t="s">
        <v>120</v>
      </c>
      <c r="B10" s="12">
        <f>SUM(B6:B9)</f>
        <v>1207</v>
      </c>
      <c r="C10" s="78">
        <f>SUM(C6:C9)</f>
        <v>160</v>
      </c>
      <c r="D10" s="79">
        <f>IF((I10=0),"",(C10/I10))</f>
        <v>0.19347037484885127</v>
      </c>
      <c r="E10" s="63">
        <f>SUM(E6:E9)</f>
        <v>647</v>
      </c>
      <c r="F10" s="64">
        <f>IF((I10=0),"",(E10/I10))</f>
        <v>0.78234582829504229</v>
      </c>
      <c r="G10" s="12">
        <f>SUM(G6:G9)</f>
        <v>20</v>
      </c>
      <c r="H10" s="13">
        <f>IF((I10=0),"",(G10/I10))</f>
        <v>2.4183796856106408E-2</v>
      </c>
      <c r="I10" s="12">
        <f>SUM(I6:I9)</f>
        <v>827</v>
      </c>
      <c r="J10" s="13">
        <f>IF((B10=0),"",(I10/B10))</f>
        <v>0.68516984258492131</v>
      </c>
      <c r="K10" s="12">
        <f>SUM(K6:K9)</f>
        <v>380</v>
      </c>
      <c r="L10" s="13">
        <f>IF((B10=0),"",(K10/B10))</f>
        <v>0.31483015741507869</v>
      </c>
      <c r="M10" s="1"/>
      <c r="N10" s="1"/>
      <c r="O10" s="1"/>
      <c r="P10" s="1"/>
      <c r="Q10" s="1"/>
      <c r="R10" s="1"/>
      <c r="S10" s="1"/>
      <c r="T10" s="1"/>
      <c r="U10" s="1"/>
      <c r="V10" s="1"/>
      <c r="W10" s="1"/>
      <c r="X10" s="1"/>
      <c r="Y10" s="1"/>
      <c r="Z10" s="1"/>
    </row>
    <row r="11" spans="1:26" s="52" customFormat="1" ht="12" customHeight="1" x14ac:dyDescent="0.2">
      <c r="A11" s="32" t="s">
        <v>542</v>
      </c>
      <c r="B11" s="32">
        <v>15</v>
      </c>
      <c r="C11" s="78"/>
      <c r="D11" s="79"/>
      <c r="E11" s="63"/>
      <c r="F11" s="64"/>
      <c r="G11" s="32"/>
      <c r="H11" s="28"/>
      <c r="I11" s="32"/>
      <c r="J11" s="28"/>
      <c r="K11" s="32"/>
      <c r="L11" s="28"/>
      <c r="M11" s="1"/>
      <c r="N11" s="1"/>
      <c r="O11" s="1"/>
      <c r="P11" s="1"/>
      <c r="Q11" s="1"/>
      <c r="R11" s="1"/>
      <c r="S11" s="1"/>
      <c r="T11" s="1"/>
      <c r="U11" s="1"/>
      <c r="V11" s="1"/>
      <c r="W11" s="1"/>
      <c r="X11" s="1"/>
      <c r="Y11" s="1"/>
      <c r="Z11" s="1"/>
    </row>
    <row r="12" spans="1:26" ht="12" customHeight="1" x14ac:dyDescent="0.2">
      <c r="A12" s="14" t="s">
        <v>263</v>
      </c>
      <c r="B12" s="32" t="s">
        <v>264</v>
      </c>
      <c r="C12" s="86"/>
      <c r="D12" s="86"/>
      <c r="E12" s="90"/>
      <c r="F12" s="90"/>
      <c r="G12" s="16"/>
      <c r="H12" s="16"/>
      <c r="I12" s="16"/>
      <c r="J12" s="16"/>
      <c r="K12" s="16"/>
      <c r="L12" s="16"/>
      <c r="M12" s="1"/>
      <c r="N12" s="1"/>
      <c r="O12" s="1"/>
      <c r="P12" s="1"/>
      <c r="Q12" s="1"/>
      <c r="R12" s="1"/>
      <c r="S12" s="1"/>
      <c r="T12" s="1"/>
      <c r="U12" s="1"/>
      <c r="V12" s="1"/>
      <c r="W12" s="1"/>
      <c r="X12" s="1"/>
      <c r="Y12" s="1"/>
      <c r="Z12" s="1"/>
    </row>
    <row r="13" spans="1:26" ht="12" customHeight="1" x14ac:dyDescent="0.2">
      <c r="A13" s="15" t="s">
        <v>265</v>
      </c>
      <c r="B13" s="15">
        <v>372</v>
      </c>
      <c r="C13" s="81">
        <v>122</v>
      </c>
      <c r="D13" s="82">
        <f>IF((I13=0),"",(C13/I13))</f>
        <v>0.5213675213675214</v>
      </c>
      <c r="E13" s="66">
        <v>95</v>
      </c>
      <c r="F13" s="67">
        <f>IF((I13=0),"",(E13/I13))</f>
        <v>0.40598290598290598</v>
      </c>
      <c r="G13" s="15">
        <v>17</v>
      </c>
      <c r="H13" s="17">
        <f>IF((I13=0),"",(G13/I13))</f>
        <v>7.2649572649572655E-2</v>
      </c>
      <c r="I13" s="15">
        <f>SUM(C13,E13,G13)</f>
        <v>234</v>
      </c>
      <c r="J13" s="17">
        <f>IF((B13=0),"",(I13/B13))</f>
        <v>0.62903225806451613</v>
      </c>
      <c r="K13" s="29">
        <f>B13-I13</f>
        <v>138</v>
      </c>
      <c r="L13" s="17">
        <f>IF((B13=0),"",(K13/B13))</f>
        <v>0.37096774193548387</v>
      </c>
      <c r="M13" s="1"/>
      <c r="N13" s="1"/>
      <c r="O13" s="1"/>
      <c r="P13" s="1"/>
      <c r="Q13" s="1"/>
      <c r="R13" s="1"/>
      <c r="S13" s="1"/>
      <c r="T13" s="1"/>
      <c r="U13" s="1"/>
      <c r="V13" s="1"/>
      <c r="W13" s="1"/>
      <c r="X13" s="1"/>
      <c r="Y13" s="1"/>
      <c r="Z13" s="1"/>
    </row>
    <row r="14" spans="1:26" ht="12" customHeight="1" x14ac:dyDescent="0.2">
      <c r="A14" s="15" t="s">
        <v>192</v>
      </c>
      <c r="B14" s="15">
        <v>375</v>
      </c>
      <c r="C14" s="81">
        <v>109</v>
      </c>
      <c r="D14" s="82">
        <f>IF((I14=0),"",(C14/I14))</f>
        <v>0.49545454545454548</v>
      </c>
      <c r="E14" s="66">
        <v>92</v>
      </c>
      <c r="F14" s="67">
        <f>IF((I14=0),"",(E14/I14))</f>
        <v>0.41818181818181815</v>
      </c>
      <c r="G14" s="15">
        <v>19</v>
      </c>
      <c r="H14" s="17">
        <f>IF((I14=0),"",(G14/I14))</f>
        <v>8.6363636363636365E-2</v>
      </c>
      <c r="I14" s="15">
        <f>SUM(C14,E14,G14)</f>
        <v>220</v>
      </c>
      <c r="J14" s="17">
        <f>IF((B14=0),"",(I14/B14))</f>
        <v>0.58666666666666667</v>
      </c>
      <c r="K14" s="29">
        <f>B14-I14</f>
        <v>155</v>
      </c>
      <c r="L14" s="17">
        <f>IF((B14=0),"",(K14/B14))</f>
        <v>0.41333333333333333</v>
      </c>
      <c r="M14" s="1"/>
      <c r="N14" s="1"/>
      <c r="O14" s="1"/>
      <c r="P14" s="1"/>
      <c r="Q14" s="1"/>
      <c r="R14" s="1"/>
      <c r="S14" s="1"/>
      <c r="T14" s="1"/>
      <c r="U14" s="1"/>
      <c r="V14" s="1"/>
      <c r="W14" s="1"/>
      <c r="X14" s="1"/>
      <c r="Y14" s="1"/>
      <c r="Z14" s="1"/>
    </row>
    <row r="15" spans="1:26" ht="12" customHeight="1" x14ac:dyDescent="0.2">
      <c r="A15" s="15" t="s">
        <v>193</v>
      </c>
      <c r="B15" s="15">
        <v>412</v>
      </c>
      <c r="C15" s="81">
        <v>130</v>
      </c>
      <c r="D15" s="82">
        <f>IF((I15=0),"",(C15/I15))</f>
        <v>0.49618320610687022</v>
      </c>
      <c r="E15" s="66">
        <v>114</v>
      </c>
      <c r="F15" s="67">
        <f>IF((I15=0),"",(E15/I15))</f>
        <v>0.4351145038167939</v>
      </c>
      <c r="G15" s="15">
        <v>18</v>
      </c>
      <c r="H15" s="17">
        <f>IF((I15=0),"",(G15/I15))</f>
        <v>6.8702290076335881E-2</v>
      </c>
      <c r="I15" s="15">
        <f>SUM(C15,E15,G15)</f>
        <v>262</v>
      </c>
      <c r="J15" s="17">
        <f>IF((B15=0),"",(I15/B15))</f>
        <v>0.63592233009708743</v>
      </c>
      <c r="K15" s="29">
        <f>B15-I15</f>
        <v>150</v>
      </c>
      <c r="L15" s="17">
        <f>IF((B15=0),"",(K15/B15))</f>
        <v>0.36407766990291263</v>
      </c>
      <c r="M15" s="1"/>
      <c r="N15" s="1"/>
      <c r="O15" s="1"/>
      <c r="P15" s="1"/>
      <c r="Q15" s="1"/>
      <c r="R15" s="1"/>
      <c r="S15" s="1"/>
      <c r="T15" s="1"/>
      <c r="U15" s="1"/>
      <c r="V15" s="1"/>
      <c r="W15" s="1"/>
      <c r="X15" s="1"/>
      <c r="Y15" s="1"/>
      <c r="Z15" s="1"/>
    </row>
    <row r="16" spans="1:26" ht="12" customHeight="1" x14ac:dyDescent="0.2">
      <c r="A16" s="12" t="s">
        <v>120</v>
      </c>
      <c r="B16" s="12">
        <f>SUM(B13:B15)</f>
        <v>1159</v>
      </c>
      <c r="C16" s="78">
        <f>SUM(C13:C15)</f>
        <v>361</v>
      </c>
      <c r="D16" s="79">
        <f>IF((I16=0),"",(C16/I16))</f>
        <v>0.50418994413407825</v>
      </c>
      <c r="E16" s="63">
        <f>SUM(E13:E15)</f>
        <v>301</v>
      </c>
      <c r="F16" s="64">
        <f>IF((I16=0),"",(E16/I16))</f>
        <v>0.42039106145251398</v>
      </c>
      <c r="G16" s="12">
        <f>SUM(G13:G15)</f>
        <v>54</v>
      </c>
      <c r="H16" s="13">
        <f>IF((I16=0),"",(G16/I16))</f>
        <v>7.5418994413407825E-2</v>
      </c>
      <c r="I16" s="12">
        <f>SUM(I13:I15)</f>
        <v>716</v>
      </c>
      <c r="J16" s="13">
        <f>IF((B16=0),"",(I16/B16))</f>
        <v>0.61777394305435718</v>
      </c>
      <c r="K16" s="12">
        <f>SUM(K13:K15)</f>
        <v>443</v>
      </c>
      <c r="L16" s="13">
        <f>IF((B16=0),"",(K16/B16))</f>
        <v>0.38222605694564282</v>
      </c>
      <c r="M16" s="1"/>
      <c r="N16" s="1"/>
      <c r="O16" s="1"/>
      <c r="P16" s="1"/>
      <c r="Q16" s="1"/>
      <c r="R16" s="1"/>
      <c r="S16" s="1"/>
      <c r="T16" s="1"/>
      <c r="U16" s="1"/>
      <c r="V16" s="1"/>
      <c r="W16" s="1"/>
      <c r="X16" s="1"/>
      <c r="Y16" s="1"/>
      <c r="Z16" s="1"/>
    </row>
    <row r="17" spans="1:26" s="52" customFormat="1" ht="12" customHeight="1" x14ac:dyDescent="0.2">
      <c r="A17" s="32" t="s">
        <v>542</v>
      </c>
      <c r="B17" s="32">
        <v>11</v>
      </c>
      <c r="C17" s="78"/>
      <c r="D17" s="79"/>
      <c r="E17" s="63"/>
      <c r="F17" s="64"/>
      <c r="G17" s="32"/>
      <c r="H17" s="28"/>
      <c r="I17" s="32"/>
      <c r="J17" s="28"/>
      <c r="K17" s="32"/>
      <c r="L17" s="28"/>
      <c r="M17" s="1"/>
      <c r="N17" s="1"/>
      <c r="O17" s="1"/>
      <c r="P17" s="1"/>
      <c r="Q17" s="1"/>
      <c r="R17" s="1"/>
      <c r="S17" s="1"/>
      <c r="T17" s="1"/>
      <c r="U17" s="1"/>
      <c r="V17" s="1"/>
      <c r="W17" s="1"/>
      <c r="X17" s="1"/>
      <c r="Y17" s="1"/>
      <c r="Z17" s="1"/>
    </row>
    <row r="18" spans="1:26" ht="12" customHeight="1" x14ac:dyDescent="0.2">
      <c r="A18" s="14" t="s">
        <v>266</v>
      </c>
      <c r="B18" s="32" t="s">
        <v>267</v>
      </c>
      <c r="C18" s="86"/>
      <c r="D18" s="86"/>
      <c r="E18" s="90"/>
      <c r="F18" s="90"/>
      <c r="G18" s="16"/>
      <c r="H18" s="16"/>
      <c r="I18" s="16"/>
      <c r="J18" s="16"/>
      <c r="K18" s="16"/>
      <c r="L18" s="16"/>
      <c r="M18" s="1"/>
      <c r="N18" s="1"/>
      <c r="O18" s="1"/>
      <c r="P18" s="1"/>
      <c r="Q18" s="1"/>
      <c r="R18" s="1"/>
      <c r="S18" s="1"/>
      <c r="T18" s="1"/>
      <c r="U18" s="1"/>
      <c r="V18" s="1"/>
      <c r="W18" s="1"/>
      <c r="X18" s="1"/>
      <c r="Y18" s="1"/>
      <c r="Z18" s="1"/>
    </row>
    <row r="19" spans="1:26" ht="12" customHeight="1" x14ac:dyDescent="0.2">
      <c r="A19" s="29" t="s">
        <v>265</v>
      </c>
      <c r="B19" s="15">
        <v>430</v>
      </c>
      <c r="C19" s="81">
        <v>146</v>
      </c>
      <c r="D19" s="82">
        <f>IF((I19=0),"",(C19/I19))</f>
        <v>0.51773049645390068</v>
      </c>
      <c r="E19" s="66">
        <v>136</v>
      </c>
      <c r="F19" s="67">
        <f>IF((I19=0),"",(E19/I19))</f>
        <v>0.48226950354609927</v>
      </c>
      <c r="G19" s="15">
        <v>0</v>
      </c>
      <c r="H19" s="17">
        <f>IF((I19=0),"",(G19/I19))</f>
        <v>0</v>
      </c>
      <c r="I19" s="15">
        <f>SUM(C19,E19,G19)</f>
        <v>282</v>
      </c>
      <c r="J19" s="17">
        <f>IF((B19=0),"",(I19/B19))</f>
        <v>0.65581395348837213</v>
      </c>
      <c r="K19" s="54">
        <f>B19-I19</f>
        <v>148</v>
      </c>
      <c r="L19" s="17">
        <f>IF((B19=0),"",(K19/B19))</f>
        <v>0.34418604651162793</v>
      </c>
      <c r="M19" s="1"/>
      <c r="N19" s="1"/>
      <c r="O19" s="1"/>
      <c r="P19" s="1"/>
      <c r="Q19" s="1"/>
      <c r="R19" s="1"/>
      <c r="S19" s="1"/>
      <c r="T19" s="1"/>
      <c r="U19" s="1"/>
      <c r="V19" s="1"/>
      <c r="W19" s="1"/>
      <c r="X19" s="1"/>
      <c r="Y19" s="1"/>
      <c r="Z19" s="1"/>
    </row>
    <row r="20" spans="1:26" ht="12" customHeight="1" x14ac:dyDescent="0.2">
      <c r="A20" s="29" t="s">
        <v>192</v>
      </c>
      <c r="B20" s="15">
        <v>397</v>
      </c>
      <c r="C20" s="81">
        <v>113</v>
      </c>
      <c r="D20" s="82">
        <f>IF((I20=0),"",(C20/I20))</f>
        <v>0.43295019157088122</v>
      </c>
      <c r="E20" s="66">
        <v>143</v>
      </c>
      <c r="F20" s="67">
        <f>IF((I20=0),"",(E20/I20))</f>
        <v>0.54789272030651337</v>
      </c>
      <c r="G20" s="15">
        <v>5</v>
      </c>
      <c r="H20" s="17">
        <f>IF((I20=0),"",(G20/I20))</f>
        <v>1.9157088122605363E-2</v>
      </c>
      <c r="I20" s="15">
        <f>SUM(C20,E20,G20)</f>
        <v>261</v>
      </c>
      <c r="J20" s="17">
        <f>IF((B20=0),"",(I20/B20))</f>
        <v>0.65743073047858946</v>
      </c>
      <c r="K20" s="54">
        <f>B20-I20</f>
        <v>136</v>
      </c>
      <c r="L20" s="17">
        <f>IF((B20=0),"",(K20/B20))</f>
        <v>0.34256926952141059</v>
      </c>
      <c r="M20" s="1"/>
      <c r="N20" s="1"/>
      <c r="O20" s="1"/>
      <c r="P20" s="1"/>
      <c r="Q20" s="1"/>
      <c r="R20" s="1"/>
      <c r="S20" s="1"/>
      <c r="T20" s="1"/>
      <c r="U20" s="1"/>
      <c r="V20" s="1"/>
      <c r="W20" s="1"/>
      <c r="X20" s="1"/>
      <c r="Y20" s="1"/>
      <c r="Z20" s="1"/>
    </row>
    <row r="21" spans="1:26" ht="12" customHeight="1" x14ac:dyDescent="0.2">
      <c r="A21" s="29" t="s">
        <v>126</v>
      </c>
      <c r="B21" s="15">
        <v>402</v>
      </c>
      <c r="C21" s="81">
        <v>169</v>
      </c>
      <c r="D21" s="82">
        <f>IF((I21=0),"",(C21/I21))</f>
        <v>0.47605633802816899</v>
      </c>
      <c r="E21" s="66">
        <v>183</v>
      </c>
      <c r="F21" s="67">
        <f>IF((I21=0),"",(E21/I21))</f>
        <v>0.51549295774647885</v>
      </c>
      <c r="G21" s="15">
        <v>3</v>
      </c>
      <c r="H21" s="17">
        <f>IF((I21=0),"",(G21/I21))</f>
        <v>8.4507042253521118E-3</v>
      </c>
      <c r="I21" s="15">
        <f>SUM(C21,E21,G21)</f>
        <v>355</v>
      </c>
      <c r="J21" s="17">
        <f>IF((B21=0),"",(I21/B21))</f>
        <v>0.88308457711442789</v>
      </c>
      <c r="K21" s="54">
        <f>B21-I21</f>
        <v>47</v>
      </c>
      <c r="L21" s="17">
        <f>IF((B21=0),"",(K21/B21))</f>
        <v>0.11691542288557213</v>
      </c>
      <c r="M21" s="1"/>
      <c r="N21" s="1"/>
      <c r="O21" s="1"/>
      <c r="P21" s="1"/>
      <c r="Q21" s="1"/>
      <c r="R21" s="1"/>
      <c r="S21" s="1"/>
      <c r="T21" s="1"/>
      <c r="U21" s="1"/>
      <c r="V21" s="1"/>
      <c r="W21" s="1"/>
      <c r="X21" s="1"/>
      <c r="Y21" s="1"/>
      <c r="Z21" s="1"/>
    </row>
    <row r="22" spans="1:26" ht="12" customHeight="1" x14ac:dyDescent="0.2">
      <c r="A22" s="29" t="s">
        <v>123</v>
      </c>
      <c r="B22" s="15">
        <v>227</v>
      </c>
      <c r="C22" s="81">
        <v>73</v>
      </c>
      <c r="D22" s="82">
        <f>IF((I22=0),"",(C22/I22))</f>
        <v>0.48666666666666669</v>
      </c>
      <c r="E22" s="66">
        <v>68</v>
      </c>
      <c r="F22" s="67">
        <f>IF((I22=0),"",(E22/I22))</f>
        <v>0.45333333333333331</v>
      </c>
      <c r="G22" s="15">
        <v>9</v>
      </c>
      <c r="H22" s="17">
        <f>IF((I22=0),"",(G22/I22))</f>
        <v>0.06</v>
      </c>
      <c r="I22" s="15">
        <f>SUM(C22,E22,G22)</f>
        <v>150</v>
      </c>
      <c r="J22" s="17">
        <f>IF((B22=0),"",(I22/B22))</f>
        <v>0.66079295154185025</v>
      </c>
      <c r="K22" s="54">
        <f>B22-I22</f>
        <v>77</v>
      </c>
      <c r="L22" s="17">
        <f>IF((B22=0),"",(K22/B22))</f>
        <v>0.33920704845814981</v>
      </c>
      <c r="M22" s="1"/>
      <c r="N22" s="1"/>
      <c r="O22" s="1"/>
      <c r="P22" s="1"/>
      <c r="Q22" s="1"/>
      <c r="R22" s="1"/>
      <c r="S22" s="1"/>
      <c r="T22" s="1"/>
      <c r="U22" s="1"/>
      <c r="V22" s="1"/>
      <c r="W22" s="1"/>
      <c r="X22" s="1"/>
      <c r="Y22" s="1"/>
      <c r="Z22" s="1"/>
    </row>
    <row r="23" spans="1:26" ht="12" customHeight="1" x14ac:dyDescent="0.2">
      <c r="A23" s="12" t="s">
        <v>120</v>
      </c>
      <c r="B23" s="12">
        <f>SUM(B19:B22)</f>
        <v>1456</v>
      </c>
      <c r="C23" s="78">
        <f>SUM(C19:C22)</f>
        <v>501</v>
      </c>
      <c r="D23" s="79">
        <f>IF((I23=0),"",(C23/I23))</f>
        <v>0.47805343511450382</v>
      </c>
      <c r="E23" s="63">
        <f>SUM(E19:E22)</f>
        <v>530</v>
      </c>
      <c r="F23" s="64">
        <f>IF((I23=0),"",(E23/I23))</f>
        <v>0.50572519083969469</v>
      </c>
      <c r="G23" s="12">
        <f>SUM(G19:G22)</f>
        <v>17</v>
      </c>
      <c r="H23" s="13">
        <f>IF((I23=0),"",(G23/I23))</f>
        <v>1.6221374045801526E-2</v>
      </c>
      <c r="I23" s="12">
        <f>SUM(I19:I22)</f>
        <v>1048</v>
      </c>
      <c r="J23" s="13">
        <f>IF((B23=0),"",(I23/B23))</f>
        <v>0.71978021978021978</v>
      </c>
      <c r="K23" s="60">
        <f>SUM(K19:K22)</f>
        <v>408</v>
      </c>
      <c r="L23" s="13">
        <f>IF((B23=0),"",(K23/B23))</f>
        <v>0.28021978021978022</v>
      </c>
      <c r="M23" s="1"/>
      <c r="N23" s="1"/>
      <c r="O23" s="1"/>
      <c r="P23" s="1"/>
      <c r="Q23" s="1"/>
      <c r="R23" s="1"/>
      <c r="S23" s="1"/>
      <c r="T23" s="1"/>
      <c r="U23" s="1"/>
      <c r="V23" s="1"/>
      <c r="W23" s="1"/>
      <c r="X23" s="1"/>
      <c r="Y23" s="1"/>
      <c r="Z23" s="1"/>
    </row>
    <row r="24" spans="1:26" s="52" customFormat="1" ht="12" customHeight="1" x14ac:dyDescent="0.2">
      <c r="A24" s="32" t="s">
        <v>542</v>
      </c>
      <c r="B24" s="32">
        <v>31</v>
      </c>
      <c r="C24" s="78"/>
      <c r="D24" s="79"/>
      <c r="E24" s="63"/>
      <c r="F24" s="64"/>
      <c r="G24" s="32"/>
      <c r="H24" s="28"/>
      <c r="I24" s="32"/>
      <c r="J24" s="28"/>
      <c r="K24" s="28"/>
      <c r="L24" s="28"/>
      <c r="M24" s="1"/>
      <c r="N24" s="1"/>
      <c r="O24" s="1"/>
      <c r="P24" s="1"/>
      <c r="Q24" s="1"/>
      <c r="R24" s="1"/>
      <c r="S24" s="1"/>
      <c r="T24" s="1"/>
      <c r="U24" s="1"/>
      <c r="V24" s="1"/>
      <c r="W24" s="1"/>
      <c r="X24" s="1"/>
      <c r="Y24" s="1"/>
      <c r="Z24" s="1"/>
    </row>
    <row r="25" spans="1:26" ht="12" customHeight="1" x14ac:dyDescent="0.2">
      <c r="A25" s="14" t="s">
        <v>269</v>
      </c>
      <c r="B25" s="32" t="s">
        <v>270</v>
      </c>
      <c r="C25" s="86"/>
      <c r="D25" s="86"/>
      <c r="E25" s="90"/>
      <c r="F25" s="90"/>
      <c r="G25" s="16"/>
      <c r="H25" s="16"/>
      <c r="I25" s="16"/>
      <c r="J25" s="16"/>
      <c r="K25" s="16"/>
      <c r="L25" s="16"/>
      <c r="M25" s="1"/>
      <c r="N25" s="1"/>
      <c r="O25" s="1"/>
      <c r="P25" s="1"/>
      <c r="Q25" s="1"/>
      <c r="R25" s="1"/>
      <c r="S25" s="1"/>
      <c r="T25" s="1"/>
      <c r="U25" s="1"/>
      <c r="V25" s="1"/>
      <c r="W25" s="1"/>
      <c r="X25" s="1"/>
      <c r="Y25" s="1"/>
      <c r="Z25" s="1"/>
    </row>
    <row r="26" spans="1:26" ht="12" customHeight="1" x14ac:dyDescent="0.2">
      <c r="A26" s="29" t="s">
        <v>161</v>
      </c>
      <c r="B26" s="15">
        <v>442</v>
      </c>
      <c r="C26" s="81">
        <v>65</v>
      </c>
      <c r="D26" s="82">
        <f>IF((I26=0),"",(C26/I26))</f>
        <v>0.22491349480968859</v>
      </c>
      <c r="E26" s="66">
        <v>215</v>
      </c>
      <c r="F26" s="67">
        <f>IF((I26=0),"",(E26/I26))</f>
        <v>0.74394463667820065</v>
      </c>
      <c r="G26" s="15">
        <v>9</v>
      </c>
      <c r="H26" s="17">
        <f>IF((I26=0),"",(G26/I26))</f>
        <v>3.1141868512110725E-2</v>
      </c>
      <c r="I26" s="15">
        <f>SUM(C26,E26,G26)</f>
        <v>289</v>
      </c>
      <c r="J26" s="17">
        <f>IF((B26=0),"",(I26/B26))</f>
        <v>0.65384615384615385</v>
      </c>
      <c r="K26" s="29">
        <f>B26-I26</f>
        <v>153</v>
      </c>
      <c r="L26" s="17">
        <f>IF((B26=0),"",(K26/B26))</f>
        <v>0.34615384615384615</v>
      </c>
      <c r="M26" s="1"/>
      <c r="N26" s="1"/>
      <c r="O26" s="1"/>
      <c r="P26" s="1"/>
      <c r="Q26" s="1"/>
      <c r="R26" s="1"/>
      <c r="S26" s="1"/>
      <c r="T26" s="1"/>
      <c r="U26" s="1"/>
      <c r="V26" s="1"/>
      <c r="W26" s="1"/>
      <c r="X26" s="1"/>
      <c r="Y26" s="1"/>
      <c r="Z26" s="1"/>
    </row>
    <row r="27" spans="1:26" ht="12" customHeight="1" x14ac:dyDescent="0.2">
      <c r="A27" s="29" t="s">
        <v>162</v>
      </c>
      <c r="B27" s="15">
        <v>385</v>
      </c>
      <c r="C27" s="81">
        <v>66</v>
      </c>
      <c r="D27" s="82">
        <f>IF((I27=0),"",(C27/I27))</f>
        <v>0.27160493827160492</v>
      </c>
      <c r="E27" s="66">
        <v>145</v>
      </c>
      <c r="F27" s="67">
        <f>IF((I27=0),"",(E27/I27))</f>
        <v>0.5967078189300411</v>
      </c>
      <c r="G27" s="15">
        <v>32</v>
      </c>
      <c r="H27" s="17">
        <f>IF((I27=0),"",(G27/I27))</f>
        <v>0.13168724279835392</v>
      </c>
      <c r="I27" s="15">
        <f>SUM(C27,E27,G27)</f>
        <v>243</v>
      </c>
      <c r="J27" s="17">
        <f>IF((B27=0),"",(I27/B27))</f>
        <v>0.63116883116883116</v>
      </c>
      <c r="K27" s="29">
        <f>B27-I27</f>
        <v>142</v>
      </c>
      <c r="L27" s="17">
        <f>IF((B27=0),"",(K27/B27))</f>
        <v>0.36883116883116884</v>
      </c>
      <c r="M27" s="1"/>
      <c r="N27" s="1"/>
      <c r="O27" s="1"/>
      <c r="P27" s="1"/>
      <c r="Q27" s="1"/>
      <c r="R27" s="1"/>
      <c r="S27" s="1"/>
      <c r="T27" s="1"/>
      <c r="U27" s="1"/>
      <c r="V27" s="1"/>
      <c r="W27" s="1"/>
      <c r="X27" s="1"/>
      <c r="Y27" s="1"/>
      <c r="Z27" s="1"/>
    </row>
    <row r="28" spans="1:26" ht="12" customHeight="1" x14ac:dyDescent="0.2">
      <c r="A28" s="12" t="s">
        <v>120</v>
      </c>
      <c r="B28" s="12">
        <f>SUM(B26:B27)</f>
        <v>827</v>
      </c>
      <c r="C28" s="78">
        <f>SUM(C26:C27)</f>
        <v>131</v>
      </c>
      <c r="D28" s="79">
        <f>IF((I28=0),"",(C28/I28))</f>
        <v>0.2462406015037594</v>
      </c>
      <c r="E28" s="63">
        <f>SUM(E26:E27)</f>
        <v>360</v>
      </c>
      <c r="F28" s="64">
        <f>IF((I28=0),"",(E28/I28))</f>
        <v>0.67669172932330823</v>
      </c>
      <c r="G28" s="12">
        <f>SUM(G26:G27)</f>
        <v>41</v>
      </c>
      <c r="H28" s="13">
        <f>IF((I28=0),"",(G28/I28))</f>
        <v>7.7067669172932327E-2</v>
      </c>
      <c r="I28" s="12">
        <f>SUM(I26:I27)</f>
        <v>532</v>
      </c>
      <c r="J28" s="13">
        <f>IF((B28=0),"",(I28/B28))</f>
        <v>0.64328899637243042</v>
      </c>
      <c r="K28" s="12">
        <f>SUM(K26:K27)</f>
        <v>295</v>
      </c>
      <c r="L28" s="13">
        <f>IF((B28=0),"",(K28/B28))</f>
        <v>0.35671100362756952</v>
      </c>
      <c r="M28" s="1"/>
      <c r="N28" s="1"/>
      <c r="O28" s="1"/>
      <c r="P28" s="1"/>
      <c r="Q28" s="1"/>
      <c r="R28" s="1"/>
      <c r="S28" s="1"/>
      <c r="T28" s="1"/>
      <c r="U28" s="1"/>
      <c r="V28" s="1"/>
      <c r="W28" s="1"/>
      <c r="X28" s="1"/>
      <c r="Y28" s="1"/>
      <c r="Z28" s="1"/>
    </row>
    <row r="29" spans="1:26" s="52" customFormat="1" ht="12" customHeight="1" x14ac:dyDescent="0.2">
      <c r="A29" s="32" t="s">
        <v>542</v>
      </c>
      <c r="B29" s="32">
        <v>12</v>
      </c>
      <c r="C29" s="78"/>
      <c r="D29" s="79"/>
      <c r="E29" s="63"/>
      <c r="F29" s="64"/>
      <c r="G29" s="32"/>
      <c r="H29" s="28"/>
      <c r="I29" s="32"/>
      <c r="J29" s="28"/>
      <c r="K29" s="32"/>
      <c r="L29" s="28"/>
      <c r="M29" s="1"/>
      <c r="N29" s="1"/>
      <c r="O29" s="1"/>
      <c r="P29" s="1"/>
      <c r="Q29" s="1"/>
      <c r="R29" s="1"/>
      <c r="S29" s="1"/>
      <c r="T29" s="1"/>
      <c r="U29" s="1"/>
      <c r="V29" s="1"/>
      <c r="W29" s="1"/>
      <c r="X29" s="1"/>
      <c r="Y29" s="1"/>
      <c r="Z29" s="1"/>
    </row>
    <row r="30" spans="1:26" ht="12" customHeight="1" x14ac:dyDescent="0.2">
      <c r="A30" s="14" t="s">
        <v>271</v>
      </c>
      <c r="B30" s="32" t="s">
        <v>272</v>
      </c>
      <c r="C30" s="86"/>
      <c r="D30" s="86"/>
      <c r="E30" s="90"/>
      <c r="F30" s="90"/>
      <c r="G30" s="16"/>
      <c r="H30" s="16"/>
      <c r="I30" s="16"/>
      <c r="J30" s="16"/>
      <c r="K30" s="16"/>
      <c r="L30" s="16"/>
      <c r="M30" s="1"/>
      <c r="N30" s="1"/>
      <c r="O30" s="1"/>
      <c r="P30" s="1"/>
      <c r="Q30" s="1"/>
      <c r="R30" s="1"/>
      <c r="S30" s="1"/>
      <c r="T30" s="1"/>
      <c r="U30" s="1"/>
      <c r="V30" s="1"/>
      <c r="W30" s="1"/>
      <c r="X30" s="1"/>
      <c r="Y30" s="1"/>
      <c r="Z30" s="1"/>
    </row>
    <row r="31" spans="1:26" ht="12" customHeight="1" x14ac:dyDescent="0.2">
      <c r="A31" s="29" t="s">
        <v>265</v>
      </c>
      <c r="B31" s="15">
        <v>343</v>
      </c>
      <c r="C31" s="81">
        <v>97</v>
      </c>
      <c r="D31" s="82">
        <f>IF((I31=0),"",(C31/I31))</f>
        <v>0.4511627906976744</v>
      </c>
      <c r="E31" s="66">
        <v>115</v>
      </c>
      <c r="F31" s="67">
        <f>IF((I31=0),"",(E31/I31))</f>
        <v>0.53488372093023251</v>
      </c>
      <c r="G31" s="15">
        <v>3</v>
      </c>
      <c r="H31" s="17">
        <f>IF((I31=0),"",(G31/I31))</f>
        <v>1.3953488372093023E-2</v>
      </c>
      <c r="I31" s="15">
        <f>SUM(C31,E31,G31)</f>
        <v>215</v>
      </c>
      <c r="J31" s="17">
        <f>IF((B31=0),"",(I31/B31))</f>
        <v>0.62682215743440228</v>
      </c>
      <c r="K31" s="29">
        <f>B31-I31</f>
        <v>128</v>
      </c>
      <c r="L31" s="17">
        <f>IF((B31=0),"",(K31/B31))</f>
        <v>0.37317784256559766</v>
      </c>
      <c r="M31" s="1"/>
      <c r="N31" s="1"/>
      <c r="O31" s="1"/>
      <c r="P31" s="1"/>
      <c r="Q31" s="1"/>
      <c r="R31" s="1"/>
      <c r="S31" s="1"/>
      <c r="T31" s="1"/>
      <c r="U31" s="1"/>
      <c r="V31" s="1"/>
      <c r="W31" s="1"/>
      <c r="X31" s="1"/>
      <c r="Y31" s="1"/>
      <c r="Z31" s="1"/>
    </row>
    <row r="32" spans="1:26" ht="12" customHeight="1" x14ac:dyDescent="0.2">
      <c r="A32" s="29" t="s">
        <v>192</v>
      </c>
      <c r="B32" s="15">
        <v>275</v>
      </c>
      <c r="C32" s="81">
        <v>51</v>
      </c>
      <c r="D32" s="82">
        <f>IF((I32=0),"",(C32/I32))</f>
        <v>0.28176795580110497</v>
      </c>
      <c r="E32" s="66">
        <v>130</v>
      </c>
      <c r="F32" s="67">
        <f>IF((I32=0),"",(E32/I32))</f>
        <v>0.71823204419889508</v>
      </c>
      <c r="G32" s="15">
        <v>0</v>
      </c>
      <c r="H32" s="17">
        <f>IF((I32=0),"",(G32/I32))</f>
        <v>0</v>
      </c>
      <c r="I32" s="15">
        <f>SUM(C32,E32,G32)</f>
        <v>181</v>
      </c>
      <c r="J32" s="17">
        <f>IF((B32=0),"",(I32/B32))</f>
        <v>0.6581818181818182</v>
      </c>
      <c r="K32" s="29">
        <f>B32-I32</f>
        <v>94</v>
      </c>
      <c r="L32" s="17">
        <f>IF((B32=0),"",(K32/B32))</f>
        <v>0.3418181818181818</v>
      </c>
      <c r="M32" s="1"/>
      <c r="N32" s="1"/>
      <c r="O32" s="1"/>
      <c r="P32" s="1"/>
      <c r="Q32" s="1"/>
      <c r="R32" s="1"/>
      <c r="S32" s="1"/>
      <c r="T32" s="1"/>
      <c r="U32" s="1"/>
      <c r="V32" s="1"/>
      <c r="W32" s="1"/>
      <c r="X32" s="1"/>
      <c r="Y32" s="1"/>
      <c r="Z32" s="1"/>
    </row>
    <row r="33" spans="1:26" ht="12" customHeight="1" x14ac:dyDescent="0.2">
      <c r="A33" s="29" t="s">
        <v>193</v>
      </c>
      <c r="B33" s="15">
        <v>290</v>
      </c>
      <c r="C33" s="81">
        <v>75</v>
      </c>
      <c r="D33" s="82">
        <f>IF((I33=0),"",(C33/I33))</f>
        <v>0.41208791208791207</v>
      </c>
      <c r="E33" s="66">
        <v>102</v>
      </c>
      <c r="F33" s="67">
        <f>IF((I33=0),"",(E33/I33))</f>
        <v>0.56043956043956045</v>
      </c>
      <c r="G33" s="15">
        <v>5</v>
      </c>
      <c r="H33" s="17">
        <f>IF((I33=0),"",(G33/I33))</f>
        <v>2.7472527472527472E-2</v>
      </c>
      <c r="I33" s="15">
        <f>SUM(C33,E33,G33)</f>
        <v>182</v>
      </c>
      <c r="J33" s="17">
        <f>IF((B33=0),"",(I33/B33))</f>
        <v>0.62758620689655176</v>
      </c>
      <c r="K33" s="29">
        <f>B33-I33</f>
        <v>108</v>
      </c>
      <c r="L33" s="17">
        <f>IF((B33=0),"",(K33/B33))</f>
        <v>0.3724137931034483</v>
      </c>
      <c r="M33" s="1"/>
      <c r="N33" s="1"/>
      <c r="O33" s="1"/>
      <c r="P33" s="1"/>
      <c r="Q33" s="1"/>
      <c r="R33" s="1"/>
      <c r="S33" s="1"/>
      <c r="T33" s="1"/>
      <c r="U33" s="1"/>
      <c r="V33" s="1"/>
      <c r="W33" s="1"/>
      <c r="X33" s="1"/>
      <c r="Y33" s="1"/>
      <c r="Z33" s="1"/>
    </row>
    <row r="34" spans="1:26" ht="12" customHeight="1" x14ac:dyDescent="0.2">
      <c r="A34" s="12" t="s">
        <v>120</v>
      </c>
      <c r="B34" s="12">
        <f>SUM(B31:B33)</f>
        <v>908</v>
      </c>
      <c r="C34" s="78">
        <f>SUM(C31:C33)</f>
        <v>223</v>
      </c>
      <c r="D34" s="79">
        <f>IF((I34=0),"",(C34/I34))</f>
        <v>0.38581314878892736</v>
      </c>
      <c r="E34" s="63">
        <f>SUM(E31:E33)</f>
        <v>347</v>
      </c>
      <c r="F34" s="64">
        <f>IF((I34=0),"",(E34/I34))</f>
        <v>0.60034602076124566</v>
      </c>
      <c r="G34" s="12">
        <f>SUM(G31:G33)</f>
        <v>8</v>
      </c>
      <c r="H34" s="13">
        <f>IF((I34=0),"",(G34/I34))</f>
        <v>1.384083044982699E-2</v>
      </c>
      <c r="I34" s="12">
        <f>SUM(I31:I33)</f>
        <v>578</v>
      </c>
      <c r="J34" s="13">
        <f>IF((B34=0),"",(I34/B34))</f>
        <v>0.63656387665198233</v>
      </c>
      <c r="K34" s="12">
        <f>SUM(K31:K33)</f>
        <v>330</v>
      </c>
      <c r="L34" s="13">
        <f>IF((B34=0),"",(K34/B34))</f>
        <v>0.36343612334801761</v>
      </c>
      <c r="M34" s="1"/>
      <c r="N34" s="1"/>
      <c r="O34" s="1"/>
      <c r="P34" s="1"/>
      <c r="Q34" s="1"/>
      <c r="R34" s="1"/>
      <c r="S34" s="1"/>
      <c r="T34" s="1"/>
      <c r="U34" s="1"/>
      <c r="V34" s="1"/>
      <c r="W34" s="1"/>
      <c r="X34" s="1"/>
      <c r="Y34" s="1"/>
      <c r="Z34" s="1"/>
    </row>
    <row r="35" spans="1:26" s="52" customFormat="1" ht="12" customHeight="1" x14ac:dyDescent="0.2">
      <c r="A35" s="32" t="s">
        <v>542</v>
      </c>
      <c r="B35" s="32">
        <v>11</v>
      </c>
      <c r="C35" s="78"/>
      <c r="D35" s="79"/>
      <c r="E35" s="63"/>
      <c r="F35" s="64"/>
      <c r="G35" s="32"/>
      <c r="H35" s="28"/>
      <c r="I35" s="32"/>
      <c r="J35" s="28"/>
      <c r="K35" s="32"/>
      <c r="L35" s="28"/>
      <c r="M35" s="1"/>
      <c r="N35" s="1"/>
      <c r="O35" s="1"/>
      <c r="P35" s="1"/>
      <c r="Q35" s="1"/>
      <c r="R35" s="1"/>
      <c r="S35" s="1"/>
      <c r="T35" s="1"/>
      <c r="U35" s="1"/>
      <c r="V35" s="1"/>
      <c r="W35" s="1"/>
      <c r="X35" s="1"/>
      <c r="Y35" s="1"/>
      <c r="Z35" s="1"/>
    </row>
    <row r="36" spans="1:26" ht="12" customHeight="1" x14ac:dyDescent="0.2">
      <c r="A36" s="14" t="s">
        <v>273</v>
      </c>
      <c r="B36" s="32" t="s">
        <v>274</v>
      </c>
      <c r="C36" s="86"/>
      <c r="D36" s="86"/>
      <c r="E36" s="90"/>
      <c r="F36" s="90"/>
      <c r="G36" s="16"/>
      <c r="H36" s="16"/>
      <c r="I36" s="16"/>
      <c r="J36" s="16"/>
      <c r="K36" s="16"/>
      <c r="L36" s="16"/>
      <c r="M36" s="1"/>
      <c r="N36" s="1"/>
      <c r="O36" s="1"/>
      <c r="P36" s="1"/>
      <c r="Q36" s="1"/>
      <c r="R36" s="1"/>
      <c r="S36" s="1"/>
      <c r="T36" s="1"/>
      <c r="U36" s="1"/>
      <c r="V36" s="1"/>
      <c r="W36" s="1"/>
      <c r="X36" s="1"/>
      <c r="Y36" s="1"/>
      <c r="Z36" s="1"/>
    </row>
    <row r="37" spans="1:26" ht="12" customHeight="1" x14ac:dyDescent="0.2">
      <c r="A37" s="12" t="s">
        <v>128</v>
      </c>
      <c r="B37" s="12">
        <v>432</v>
      </c>
      <c r="C37" s="78">
        <v>130</v>
      </c>
      <c r="D37" s="79">
        <f>IF((I37=0),"",(C37/I37))</f>
        <v>0.52208835341365467</v>
      </c>
      <c r="E37" s="63">
        <v>112</v>
      </c>
      <c r="F37" s="64">
        <f>IF((I37=0),"",(E37/I37))</f>
        <v>0.44979919678714858</v>
      </c>
      <c r="G37" s="12">
        <v>7</v>
      </c>
      <c r="H37" s="13">
        <f>IF((I37=0),"",(G37/I37))</f>
        <v>2.8112449799196786E-2</v>
      </c>
      <c r="I37" s="12">
        <f>SUM(C37,E37,G37)</f>
        <v>249</v>
      </c>
      <c r="J37" s="13">
        <f>IF((B37=0),"",(I37/B37))</f>
        <v>0.57638888888888884</v>
      </c>
      <c r="K37" s="12">
        <f>B37-I37</f>
        <v>183</v>
      </c>
      <c r="L37" s="13">
        <f>IF((B37=0),"",(K37/B37))</f>
        <v>0.4236111111111111</v>
      </c>
      <c r="M37" s="1"/>
      <c r="N37" s="1"/>
      <c r="O37" s="1"/>
      <c r="P37" s="1"/>
      <c r="Q37" s="1"/>
      <c r="R37" s="1"/>
      <c r="S37" s="1"/>
      <c r="T37" s="1"/>
      <c r="U37" s="1"/>
      <c r="V37" s="1"/>
      <c r="W37" s="1"/>
      <c r="X37" s="1"/>
      <c r="Y37" s="1"/>
      <c r="Z37" s="1"/>
    </row>
    <row r="38" spans="1:26" s="51" customFormat="1" ht="12" customHeight="1" x14ac:dyDescent="0.2">
      <c r="A38" s="32" t="s">
        <v>542</v>
      </c>
      <c r="B38" s="32">
        <v>5</v>
      </c>
      <c r="C38" s="78"/>
      <c r="D38" s="79"/>
      <c r="E38" s="63"/>
      <c r="F38" s="64"/>
      <c r="G38" s="32"/>
      <c r="H38" s="28"/>
      <c r="I38" s="32"/>
      <c r="J38" s="28"/>
      <c r="K38" s="32"/>
      <c r="L38" s="28"/>
      <c r="M38" s="1"/>
      <c r="N38" s="1"/>
      <c r="O38" s="1"/>
      <c r="P38" s="1"/>
      <c r="Q38" s="1"/>
      <c r="R38" s="1"/>
      <c r="S38" s="1"/>
      <c r="T38" s="1"/>
      <c r="U38" s="1"/>
      <c r="V38" s="1"/>
      <c r="W38" s="1"/>
      <c r="X38" s="1"/>
      <c r="Y38" s="1"/>
      <c r="Z38" s="1"/>
    </row>
    <row r="39" spans="1:26" ht="12" customHeight="1" x14ac:dyDescent="0.2">
      <c r="A39" s="14" t="s">
        <v>275</v>
      </c>
      <c r="B39" s="32" t="s">
        <v>276</v>
      </c>
      <c r="C39" s="86"/>
      <c r="D39" s="86"/>
      <c r="E39" s="90"/>
      <c r="F39" s="90"/>
      <c r="G39" s="16"/>
      <c r="H39" s="16"/>
      <c r="I39" s="16"/>
      <c r="J39" s="16"/>
      <c r="K39" s="16"/>
      <c r="L39" s="16"/>
      <c r="M39" s="1"/>
      <c r="N39" s="1"/>
      <c r="O39" s="1"/>
      <c r="P39" s="1"/>
      <c r="Q39" s="1"/>
      <c r="R39" s="1"/>
      <c r="S39" s="1"/>
      <c r="T39" s="1"/>
      <c r="U39" s="1"/>
      <c r="V39" s="1"/>
      <c r="W39" s="1"/>
      <c r="X39" s="1"/>
      <c r="Y39" s="1"/>
      <c r="Z39" s="1"/>
    </row>
    <row r="40" spans="1:26" ht="12" customHeight="1" x14ac:dyDescent="0.2">
      <c r="A40" s="29" t="s">
        <v>156</v>
      </c>
      <c r="B40" s="15">
        <v>355</v>
      </c>
      <c r="C40" s="81">
        <v>123</v>
      </c>
      <c r="D40" s="82">
        <f>IF((I40=0),"",(C40/I40))</f>
        <v>0.6029411764705882</v>
      </c>
      <c r="E40" s="66">
        <v>69</v>
      </c>
      <c r="F40" s="67">
        <f>IF((I40=0),"",(E40/I40))</f>
        <v>0.33823529411764708</v>
      </c>
      <c r="G40" s="15">
        <v>12</v>
      </c>
      <c r="H40" s="17">
        <f>IF((I40=0),"",(G40/I40))</f>
        <v>5.8823529411764705E-2</v>
      </c>
      <c r="I40" s="15">
        <f>SUM(C40,E40,G40)</f>
        <v>204</v>
      </c>
      <c r="J40" s="17">
        <f>IF((B40=0),"",(I40/B40))</f>
        <v>0.57464788732394367</v>
      </c>
      <c r="K40" s="29">
        <f>B40-I40</f>
        <v>151</v>
      </c>
      <c r="L40" s="17">
        <f>IF((B40=0),"",(K40/B40))</f>
        <v>0.42535211267605633</v>
      </c>
      <c r="M40" s="1"/>
      <c r="N40" s="1"/>
      <c r="O40" s="1"/>
      <c r="P40" s="1"/>
      <c r="Q40" s="1"/>
      <c r="R40" s="1"/>
      <c r="S40" s="1"/>
      <c r="T40" s="1"/>
      <c r="U40" s="1"/>
      <c r="V40" s="1"/>
      <c r="W40" s="1"/>
      <c r="X40" s="1"/>
      <c r="Y40" s="1"/>
      <c r="Z40" s="1"/>
    </row>
    <row r="41" spans="1:26" ht="12" customHeight="1" x14ac:dyDescent="0.2">
      <c r="A41" s="29" t="s">
        <v>500</v>
      </c>
      <c r="B41" s="15">
        <v>335</v>
      </c>
      <c r="C41" s="81">
        <v>113</v>
      </c>
      <c r="D41" s="82">
        <f>IF((I41=0),"",(C41/I41))</f>
        <v>0.56499999999999995</v>
      </c>
      <c r="E41" s="66">
        <v>82</v>
      </c>
      <c r="F41" s="67">
        <f>IF((I41=0),"",(E41/I41))</f>
        <v>0.41</v>
      </c>
      <c r="G41" s="15">
        <v>5</v>
      </c>
      <c r="H41" s="17">
        <f>IF((I41=0),"",(G41/I41))</f>
        <v>2.5000000000000001E-2</v>
      </c>
      <c r="I41" s="15">
        <f>SUM(C41,E41,G41)</f>
        <v>200</v>
      </c>
      <c r="J41" s="17">
        <f>IF((B41=0),"",(I41/B41))</f>
        <v>0.59701492537313428</v>
      </c>
      <c r="K41" s="29">
        <f>B41-I41</f>
        <v>135</v>
      </c>
      <c r="L41" s="17">
        <f>IF((B41=0),"",(K41/B41))</f>
        <v>0.40298507462686567</v>
      </c>
      <c r="M41" s="1"/>
      <c r="N41" s="1"/>
      <c r="O41" s="1"/>
      <c r="P41" s="1"/>
      <c r="Q41" s="1"/>
      <c r="R41" s="1"/>
      <c r="S41" s="1"/>
      <c r="T41" s="1"/>
      <c r="U41" s="1"/>
      <c r="V41" s="1"/>
      <c r="W41" s="1"/>
      <c r="X41" s="1"/>
      <c r="Y41" s="1"/>
      <c r="Z41" s="1"/>
    </row>
    <row r="42" spans="1:26" ht="12" customHeight="1" x14ac:dyDescent="0.2">
      <c r="A42" s="29" t="s">
        <v>182</v>
      </c>
      <c r="B42" s="15">
        <v>271</v>
      </c>
      <c r="C42" s="81">
        <v>76</v>
      </c>
      <c r="D42" s="82">
        <f>IF((I42=0),"",(C42/I42))</f>
        <v>0.48717948717948717</v>
      </c>
      <c r="E42" s="66">
        <v>77</v>
      </c>
      <c r="F42" s="67">
        <f>IF((I42=0),"",(E42/I42))</f>
        <v>0.49358974358974361</v>
      </c>
      <c r="G42" s="15">
        <v>3</v>
      </c>
      <c r="H42" s="17">
        <f>IF((I42=0),"",(G42/I42))</f>
        <v>1.9230769230769232E-2</v>
      </c>
      <c r="I42" s="15">
        <f>SUM(C42,E42,G42)</f>
        <v>156</v>
      </c>
      <c r="J42" s="17">
        <f>IF((B42=0),"",(I42/B42))</f>
        <v>0.57564575645756455</v>
      </c>
      <c r="K42" s="29">
        <f>B42-I42</f>
        <v>115</v>
      </c>
      <c r="L42" s="17">
        <f>IF((B42=0),"",(K42/B42))</f>
        <v>0.42435424354243545</v>
      </c>
      <c r="M42" s="1"/>
      <c r="N42" s="1"/>
      <c r="O42" s="1"/>
      <c r="P42" s="1"/>
      <c r="Q42" s="1"/>
      <c r="R42" s="1"/>
      <c r="S42" s="1"/>
      <c r="T42" s="1"/>
      <c r="U42" s="1"/>
      <c r="V42" s="1"/>
      <c r="W42" s="1"/>
      <c r="X42" s="1"/>
      <c r="Y42" s="1"/>
      <c r="Z42" s="1"/>
    </row>
    <row r="43" spans="1:26" ht="12" customHeight="1" x14ac:dyDescent="0.2">
      <c r="A43" s="12" t="s">
        <v>120</v>
      </c>
      <c r="B43" s="12">
        <f>SUM(B40:B42)</f>
        <v>961</v>
      </c>
      <c r="C43" s="78">
        <f>SUM(C40:C42)</f>
        <v>312</v>
      </c>
      <c r="D43" s="79">
        <f>IF((I43=0),"",(C43/I43))</f>
        <v>0.55714285714285716</v>
      </c>
      <c r="E43" s="63">
        <f>SUM(E40:E42)</f>
        <v>228</v>
      </c>
      <c r="F43" s="64">
        <f>IF((I43=0),"",(E43/I43))</f>
        <v>0.40714285714285714</v>
      </c>
      <c r="G43" s="12">
        <f>SUM(G40:G42)</f>
        <v>20</v>
      </c>
      <c r="H43" s="13">
        <f>IF((I43=0),"",(G43/I43))</f>
        <v>3.5714285714285712E-2</v>
      </c>
      <c r="I43" s="12">
        <f>SUM(I40:I42)</f>
        <v>560</v>
      </c>
      <c r="J43" s="13">
        <f>IF((B43=0),"",(I43/B43))</f>
        <v>0.58272632674297609</v>
      </c>
      <c r="K43" s="12">
        <f>B43-I43</f>
        <v>401</v>
      </c>
      <c r="L43" s="13">
        <f>IF((B43=0),"",(K43/B43))</f>
        <v>0.41727367325702391</v>
      </c>
      <c r="M43" s="1"/>
      <c r="N43" s="1"/>
      <c r="O43" s="1"/>
      <c r="P43" s="1"/>
      <c r="Q43" s="1"/>
      <c r="R43" s="1"/>
      <c r="S43" s="1"/>
      <c r="T43" s="1"/>
      <c r="U43" s="1"/>
      <c r="V43" s="1"/>
      <c r="W43" s="1"/>
      <c r="X43" s="1"/>
      <c r="Y43" s="1"/>
      <c r="Z43" s="1"/>
    </row>
    <row r="44" spans="1:26" s="52" customFormat="1" ht="12" customHeight="1" x14ac:dyDescent="0.2">
      <c r="A44" s="32" t="s">
        <v>542</v>
      </c>
      <c r="B44" s="32">
        <v>10</v>
      </c>
      <c r="C44" s="78"/>
      <c r="D44" s="79"/>
      <c r="E44" s="63"/>
      <c r="F44" s="64"/>
      <c r="G44" s="32"/>
      <c r="H44" s="28"/>
      <c r="I44" s="32"/>
      <c r="J44" s="28"/>
      <c r="K44" s="32"/>
      <c r="L44" s="28"/>
      <c r="M44" s="1"/>
      <c r="N44" s="1"/>
      <c r="O44" s="1"/>
      <c r="P44" s="1"/>
      <c r="Q44" s="1"/>
      <c r="R44" s="1"/>
      <c r="S44" s="1"/>
      <c r="T44" s="1"/>
      <c r="U44" s="1"/>
      <c r="V44" s="1"/>
      <c r="W44" s="1"/>
      <c r="X44" s="1"/>
      <c r="Y44" s="1"/>
      <c r="Z44" s="1"/>
    </row>
    <row r="45" spans="1:26" ht="12" customHeight="1" x14ac:dyDescent="0.2">
      <c r="A45" s="14" t="s">
        <v>277</v>
      </c>
      <c r="B45" s="32" t="s">
        <v>278</v>
      </c>
      <c r="C45" s="86"/>
      <c r="D45" s="86"/>
      <c r="E45" s="90"/>
      <c r="F45" s="90"/>
      <c r="G45" s="16"/>
      <c r="H45" s="16"/>
      <c r="I45" s="16"/>
      <c r="J45" s="16"/>
      <c r="K45" s="16"/>
      <c r="L45" s="16"/>
      <c r="M45" s="1"/>
      <c r="N45" s="1"/>
      <c r="O45" s="1"/>
      <c r="P45" s="1"/>
      <c r="Q45" s="1"/>
      <c r="R45" s="1"/>
      <c r="S45" s="1"/>
      <c r="T45" s="1"/>
      <c r="U45" s="1"/>
      <c r="V45" s="1"/>
      <c r="W45" s="1"/>
      <c r="X45" s="1"/>
      <c r="Y45" s="1"/>
      <c r="Z45" s="1"/>
    </row>
    <row r="46" spans="1:26" ht="12" customHeight="1" x14ac:dyDescent="0.2">
      <c r="A46" s="15" t="s">
        <v>156</v>
      </c>
      <c r="B46" s="15">
        <v>353</v>
      </c>
      <c r="C46" s="81">
        <v>74</v>
      </c>
      <c r="D46" s="82">
        <f>IF((I46=0),"",(C46/I46))</f>
        <v>0.33636363636363636</v>
      </c>
      <c r="E46" s="66">
        <v>145</v>
      </c>
      <c r="F46" s="67">
        <f>IF((I46=0),"",(E46/I46))</f>
        <v>0.65909090909090906</v>
      </c>
      <c r="G46" s="15">
        <v>1</v>
      </c>
      <c r="H46" s="17">
        <f>IF((I46=0),"",(G46/I46))</f>
        <v>4.5454545454545452E-3</v>
      </c>
      <c r="I46" s="15">
        <f>SUM(C46,E46,G46)</f>
        <v>220</v>
      </c>
      <c r="J46" s="17">
        <f>IF((B46=0),"",(I46/B46))</f>
        <v>0.62322946175637395</v>
      </c>
      <c r="K46" s="29">
        <f>B46-I46</f>
        <v>133</v>
      </c>
      <c r="L46" s="17">
        <f>IF((B46=0),"",(K46/B46))</f>
        <v>0.37677053824362605</v>
      </c>
      <c r="M46" s="1"/>
      <c r="N46" s="1"/>
      <c r="O46" s="1"/>
      <c r="P46" s="1"/>
      <c r="Q46" s="1"/>
      <c r="R46" s="1"/>
      <c r="S46" s="1"/>
      <c r="T46" s="1"/>
      <c r="U46" s="1"/>
      <c r="V46" s="1"/>
      <c r="W46" s="1"/>
      <c r="X46" s="1"/>
      <c r="Y46" s="1"/>
      <c r="Z46" s="1"/>
    </row>
    <row r="47" spans="1:26" ht="12" customHeight="1" x14ac:dyDescent="0.2">
      <c r="A47" s="15" t="s">
        <v>279</v>
      </c>
      <c r="B47" s="15">
        <v>324</v>
      </c>
      <c r="C47" s="81">
        <v>54</v>
      </c>
      <c r="D47" s="82">
        <f>IF((I47=0),"",(C47/I47))</f>
        <v>0.29189189189189191</v>
      </c>
      <c r="E47" s="66">
        <v>125</v>
      </c>
      <c r="F47" s="67">
        <f>IF((I47=0),"",(E47/I47))</f>
        <v>0.67567567567567566</v>
      </c>
      <c r="G47" s="15">
        <v>6</v>
      </c>
      <c r="H47" s="17">
        <f>IF((I47=0),"",(G47/I47))</f>
        <v>3.2432432432432434E-2</v>
      </c>
      <c r="I47" s="15">
        <f>SUM(C47,E47,G47)</f>
        <v>185</v>
      </c>
      <c r="J47" s="17">
        <f>IF((B47=0),"",(I47/B47))</f>
        <v>0.57098765432098764</v>
      </c>
      <c r="K47" s="29">
        <f>B47-I47</f>
        <v>139</v>
      </c>
      <c r="L47" s="17">
        <f>IF((B47=0),"",(K47/B47))</f>
        <v>0.42901234567901236</v>
      </c>
      <c r="M47" s="1"/>
      <c r="N47" s="1"/>
      <c r="O47" s="1"/>
      <c r="P47" s="1"/>
      <c r="Q47" s="1"/>
      <c r="R47" s="1"/>
      <c r="S47" s="1"/>
      <c r="T47" s="1"/>
      <c r="U47" s="1"/>
      <c r="V47" s="1"/>
      <c r="W47" s="1"/>
      <c r="X47" s="1"/>
      <c r="Y47" s="1"/>
      <c r="Z47" s="1"/>
    </row>
    <row r="48" spans="1:26" ht="12" customHeight="1" x14ac:dyDescent="0.2">
      <c r="A48" s="15" t="s">
        <v>123</v>
      </c>
      <c r="B48" s="15">
        <v>349</v>
      </c>
      <c r="C48" s="81">
        <v>78</v>
      </c>
      <c r="D48" s="82">
        <f>IF((I48=0),"",(C48/I48))</f>
        <v>0.39593908629441626</v>
      </c>
      <c r="E48" s="66">
        <v>112</v>
      </c>
      <c r="F48" s="67">
        <f>IF((I48=0),"",(E48/I48))</f>
        <v>0.56852791878172593</v>
      </c>
      <c r="G48" s="15">
        <v>7</v>
      </c>
      <c r="H48" s="17">
        <f>IF((I48=0),"",(G48/I48))</f>
        <v>3.553299492385787E-2</v>
      </c>
      <c r="I48" s="15">
        <f>SUM(C48,E48,G48)</f>
        <v>197</v>
      </c>
      <c r="J48" s="17">
        <f>IF((B48=0),"",(I48/B48))</f>
        <v>0.5644699140401146</v>
      </c>
      <c r="K48" s="29">
        <f>B48-I48</f>
        <v>152</v>
      </c>
      <c r="L48" s="17">
        <f>IF((B48=0),"",(K48/B48))</f>
        <v>0.4355300859598854</v>
      </c>
      <c r="M48" s="1"/>
      <c r="N48" s="1"/>
      <c r="O48" s="1"/>
      <c r="P48" s="1"/>
      <c r="Q48" s="1"/>
      <c r="R48" s="1"/>
      <c r="S48" s="1"/>
      <c r="T48" s="1"/>
      <c r="U48" s="1"/>
      <c r="V48" s="1"/>
      <c r="W48" s="1"/>
      <c r="X48" s="1"/>
      <c r="Y48" s="1"/>
      <c r="Z48" s="1"/>
    </row>
    <row r="49" spans="1:26" ht="12" customHeight="1" x14ac:dyDescent="0.2">
      <c r="A49" s="12" t="s">
        <v>120</v>
      </c>
      <c r="B49" s="12">
        <f>SUM(B46:B48)</f>
        <v>1026</v>
      </c>
      <c r="C49" s="78">
        <f>SUM(C46:C48)</f>
        <v>206</v>
      </c>
      <c r="D49" s="79">
        <f>IF((I49=0),"",(C49/I49))</f>
        <v>0.34219269102990035</v>
      </c>
      <c r="E49" s="63">
        <f>SUM(E46:E48)</f>
        <v>382</v>
      </c>
      <c r="F49" s="64">
        <f>IF((I49=0),"",(E49/I49))</f>
        <v>0.63455149501661134</v>
      </c>
      <c r="G49" s="12">
        <f>SUM(G46:G48)</f>
        <v>14</v>
      </c>
      <c r="H49" s="13">
        <f>IF((I49=0),"",(G49/I49))</f>
        <v>2.3255813953488372E-2</v>
      </c>
      <c r="I49" s="12">
        <f>SUM(I46:I48)</f>
        <v>602</v>
      </c>
      <c r="J49" s="13">
        <f>IF((B49=0),"",(I49/B49))</f>
        <v>0.58674463937621835</v>
      </c>
      <c r="K49" s="12">
        <f>B49-I49</f>
        <v>424</v>
      </c>
      <c r="L49" s="13">
        <f>IF((B49=0),"",(K49/B49))</f>
        <v>0.41325536062378165</v>
      </c>
      <c r="M49" s="1"/>
      <c r="N49" s="1"/>
      <c r="O49" s="1"/>
      <c r="P49" s="1"/>
      <c r="Q49" s="1"/>
      <c r="R49" s="1"/>
      <c r="S49" s="1"/>
      <c r="T49" s="1"/>
      <c r="U49" s="1"/>
      <c r="V49" s="1"/>
      <c r="W49" s="1"/>
      <c r="X49" s="1"/>
      <c r="Y49" s="1"/>
      <c r="Z49" s="1"/>
    </row>
    <row r="50" spans="1:26" s="52" customFormat="1" ht="12" customHeight="1" x14ac:dyDescent="0.2">
      <c r="A50" s="32" t="s">
        <v>542</v>
      </c>
      <c r="B50" s="32">
        <v>12</v>
      </c>
      <c r="C50" s="78"/>
      <c r="D50" s="79"/>
      <c r="E50" s="63"/>
      <c r="F50" s="64"/>
      <c r="G50" s="32"/>
      <c r="H50" s="28"/>
      <c r="I50" s="32"/>
      <c r="J50" s="28"/>
      <c r="K50" s="32"/>
      <c r="L50" s="28"/>
      <c r="M50" s="1"/>
      <c r="N50" s="1"/>
      <c r="O50" s="1"/>
      <c r="P50" s="1"/>
      <c r="Q50" s="1"/>
      <c r="R50" s="1"/>
      <c r="S50" s="1"/>
      <c r="T50" s="1"/>
      <c r="U50" s="1"/>
      <c r="V50" s="1"/>
      <c r="W50" s="1"/>
      <c r="X50" s="1"/>
      <c r="Y50" s="1"/>
      <c r="Z50" s="1"/>
    </row>
    <row r="51" spans="1:26" ht="12" customHeight="1" x14ac:dyDescent="0.2">
      <c r="A51" s="14" t="s">
        <v>280</v>
      </c>
      <c r="B51" s="32" t="s">
        <v>281</v>
      </c>
      <c r="C51" s="86"/>
      <c r="D51" s="86"/>
      <c r="E51" s="90"/>
      <c r="F51" s="90"/>
      <c r="G51" s="16"/>
      <c r="H51" s="16"/>
      <c r="I51" s="16"/>
      <c r="J51" s="16"/>
      <c r="K51" s="16"/>
      <c r="L51" s="16"/>
      <c r="M51" s="1"/>
      <c r="N51" s="1"/>
      <c r="O51" s="1"/>
      <c r="P51" s="1"/>
      <c r="Q51" s="1"/>
      <c r="R51" s="1"/>
      <c r="S51" s="1"/>
      <c r="T51" s="1"/>
      <c r="U51" s="1"/>
      <c r="V51" s="1"/>
      <c r="W51" s="1"/>
      <c r="X51" s="1"/>
      <c r="Y51" s="1"/>
      <c r="Z51" s="1"/>
    </row>
    <row r="52" spans="1:26" ht="12" customHeight="1" x14ac:dyDescent="0.2">
      <c r="A52" s="15" t="s">
        <v>496</v>
      </c>
      <c r="B52" s="15">
        <v>425</v>
      </c>
      <c r="C52" s="81">
        <v>141</v>
      </c>
      <c r="D52" s="82">
        <f>IF((I52=0),"",(C52/I52))</f>
        <v>0.5280898876404494</v>
      </c>
      <c r="E52" s="66">
        <v>126</v>
      </c>
      <c r="F52" s="67">
        <f>IF((I52=0),"",(E52/I52))</f>
        <v>0.47191011235955055</v>
      </c>
      <c r="G52" s="15">
        <v>0</v>
      </c>
      <c r="H52" s="17">
        <f>IF((I52=0),"",(G52/I52))</f>
        <v>0</v>
      </c>
      <c r="I52" s="15">
        <f>SUM(C52,E52,G52)</f>
        <v>267</v>
      </c>
      <c r="J52" s="17">
        <f>IF((B52=0),"",(I52/B52))</f>
        <v>0.62823529411764711</v>
      </c>
      <c r="K52" s="29">
        <f>B52-I52</f>
        <v>158</v>
      </c>
      <c r="L52" s="17">
        <f>IF((B52=0),"",(K52/B52))</f>
        <v>0.37176470588235294</v>
      </c>
      <c r="M52" s="1"/>
      <c r="N52" s="1"/>
      <c r="O52" s="1"/>
      <c r="P52" s="1"/>
      <c r="Q52" s="1"/>
      <c r="R52" s="1"/>
      <c r="S52" s="1"/>
      <c r="T52" s="1"/>
      <c r="U52" s="1"/>
      <c r="V52" s="1"/>
      <c r="W52" s="1"/>
      <c r="X52" s="1"/>
      <c r="Y52" s="1"/>
      <c r="Z52" s="1"/>
    </row>
    <row r="53" spans="1:26" ht="12" customHeight="1" x14ac:dyDescent="0.2">
      <c r="A53" s="15" t="s">
        <v>497</v>
      </c>
      <c r="B53" s="15">
        <v>468</v>
      </c>
      <c r="C53" s="81">
        <v>133</v>
      </c>
      <c r="D53" s="82">
        <f>IF((I53=0),"",(C53/I53))</f>
        <v>0.44781144781144783</v>
      </c>
      <c r="E53" s="66">
        <v>159</v>
      </c>
      <c r="F53" s="67">
        <f>IF((I53=0),"",(E53/I53))</f>
        <v>0.53535353535353536</v>
      </c>
      <c r="G53" s="15">
        <v>5</v>
      </c>
      <c r="H53" s="17">
        <f>IF((I53=0),"",(G53/I53))</f>
        <v>1.6835016835016835E-2</v>
      </c>
      <c r="I53" s="15">
        <f>SUM(C53,E53,G53)</f>
        <v>297</v>
      </c>
      <c r="J53" s="17">
        <f>IF((B53=0),"",(I53/B53))</f>
        <v>0.63461538461538458</v>
      </c>
      <c r="K53" s="29">
        <f>B53-I53</f>
        <v>171</v>
      </c>
      <c r="L53" s="17">
        <f>IF((B53=0),"",(K53/B53))</f>
        <v>0.36538461538461536</v>
      </c>
      <c r="M53" s="1"/>
      <c r="N53" s="1"/>
      <c r="O53" s="1"/>
      <c r="P53" s="1"/>
      <c r="Q53" s="1"/>
      <c r="R53" s="1"/>
      <c r="S53" s="1"/>
      <c r="T53" s="1"/>
      <c r="U53" s="1"/>
      <c r="V53" s="1"/>
      <c r="W53" s="1"/>
      <c r="X53" s="1"/>
      <c r="Y53" s="1"/>
      <c r="Z53" s="1"/>
    </row>
    <row r="54" spans="1:26" ht="12" customHeight="1" x14ac:dyDescent="0.2">
      <c r="A54" s="12" t="s">
        <v>120</v>
      </c>
      <c r="B54" s="12">
        <f>SUM(B52:B53)</f>
        <v>893</v>
      </c>
      <c r="C54" s="78">
        <f>SUM(C52:C53)</f>
        <v>274</v>
      </c>
      <c r="D54" s="79">
        <f>IF((I54=0),"",(C54/I54))</f>
        <v>0.48581560283687941</v>
      </c>
      <c r="E54" s="63">
        <f>SUM(E52:E53)</f>
        <v>285</v>
      </c>
      <c r="F54" s="64">
        <f>IF((I54=0),"",(E54/I54))</f>
        <v>0.50531914893617025</v>
      </c>
      <c r="G54" s="12">
        <f>SUM(G52:G53)</f>
        <v>5</v>
      </c>
      <c r="H54" s="13">
        <f>IF((I54=0),"",(G54/I54))</f>
        <v>8.8652482269503553E-3</v>
      </c>
      <c r="I54" s="12">
        <f>SUM(I52:I53)</f>
        <v>564</v>
      </c>
      <c r="J54" s="13">
        <f>IF((B54=0),"",(I54/B54))</f>
        <v>0.63157894736842102</v>
      </c>
      <c r="K54" s="32">
        <f>B54-I54</f>
        <v>329</v>
      </c>
      <c r="L54" s="13">
        <f>IF((B54=0),"",(K54/B54))</f>
        <v>0.36842105263157893</v>
      </c>
      <c r="M54" s="1"/>
      <c r="N54" s="1"/>
      <c r="O54" s="1"/>
      <c r="P54" s="1"/>
      <c r="Q54" s="1"/>
      <c r="R54" s="1"/>
      <c r="S54" s="1"/>
      <c r="T54" s="1"/>
      <c r="U54" s="1"/>
      <c r="V54" s="1"/>
      <c r="W54" s="1"/>
      <c r="X54" s="1"/>
      <c r="Y54" s="1"/>
      <c r="Z54" s="1"/>
    </row>
    <row r="55" spans="1:26" ht="12.75" customHeight="1" x14ac:dyDescent="0.2">
      <c r="A55" s="43" t="s">
        <v>542</v>
      </c>
      <c r="B55" s="43">
        <v>11</v>
      </c>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2.75" customHeight="1" x14ac:dyDescent="0.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2.75" customHeight="1" x14ac:dyDescent="0.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2.75" customHeight="1" x14ac:dyDescent="0.2">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2.75" customHeight="1" x14ac:dyDescent="0.2">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2.75" customHeight="1" x14ac:dyDescent="0.2">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mergeCells count="10">
    <mergeCell ref="K3:L3"/>
    <mergeCell ref="C2:D2"/>
    <mergeCell ref="E2:F2"/>
    <mergeCell ref="A1:L1"/>
    <mergeCell ref="G2:L2"/>
    <mergeCell ref="A3:B3"/>
    <mergeCell ref="C3:D3"/>
    <mergeCell ref="E3:F3"/>
    <mergeCell ref="G3:H3"/>
    <mergeCell ref="I3:J3"/>
  </mergeCells>
  <pageMargins left="0.75" right="0.75" top="1" bottom="1" header="0.3" footer="0.3"/>
  <pageSetup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1"/>
  <sheetViews>
    <sheetView workbookViewId="0">
      <pane xSplit="1" ySplit="4" topLeftCell="B11" activePane="bottomRight" state="frozen"/>
      <selection pane="topRight" activeCell="B1" sqref="B1"/>
      <selection pane="bottomLeft" activeCell="A5" sqref="A5"/>
      <selection pane="bottomRight" activeCell="J25" sqref="J25"/>
    </sheetView>
  </sheetViews>
  <sheetFormatPr defaultColWidth="17.28515625" defaultRowHeight="15" customHeight="1" x14ac:dyDescent="0.2"/>
  <cols>
    <col min="1" max="1" width="9.140625" customWidth="1"/>
    <col min="2" max="2" width="11.5703125" customWidth="1"/>
    <col min="3" max="3" width="12.85546875" customWidth="1"/>
    <col min="4" max="4" width="12.140625" customWidth="1"/>
    <col min="5" max="5" width="9.140625" customWidth="1"/>
    <col min="6" max="6" width="12.42578125" customWidth="1"/>
    <col min="7" max="7" width="7.140625" customWidth="1"/>
    <col min="8" max="8" width="11.140625" customWidth="1"/>
    <col min="9" max="9" width="9.140625" customWidth="1"/>
    <col min="10" max="10" width="10.5703125" customWidth="1"/>
    <col min="11" max="11" width="10.7109375" customWidth="1"/>
    <col min="12" max="12" width="14.85546875" customWidth="1"/>
    <col min="13" max="22" width="11.42578125" customWidth="1"/>
    <col min="23" max="26" width="10" customWidth="1"/>
  </cols>
  <sheetData>
    <row r="1" spans="1:26" ht="12.75" customHeight="1" x14ac:dyDescent="0.2">
      <c r="A1" s="163" t="s">
        <v>283</v>
      </c>
      <c r="B1" s="162"/>
      <c r="C1" s="162"/>
      <c r="D1" s="162"/>
      <c r="E1" s="162"/>
      <c r="F1" s="162"/>
      <c r="G1" s="162"/>
      <c r="H1" s="162"/>
      <c r="I1" s="162"/>
      <c r="J1" s="162"/>
      <c r="K1" s="162"/>
      <c r="L1" s="160"/>
      <c r="M1" s="1"/>
      <c r="N1" s="1"/>
      <c r="O1" s="1"/>
      <c r="P1" s="1"/>
      <c r="Q1" s="1"/>
      <c r="R1" s="1"/>
      <c r="S1" s="1"/>
      <c r="T1" s="1"/>
      <c r="U1" s="1"/>
      <c r="V1" s="1"/>
      <c r="W1" s="1"/>
      <c r="X1" s="1"/>
      <c r="Y1" s="1"/>
      <c r="Z1" s="1"/>
    </row>
    <row r="2" spans="1:26" ht="12" customHeight="1" x14ac:dyDescent="0.2">
      <c r="A2" s="181" t="s">
        <v>103</v>
      </c>
      <c r="B2" s="160"/>
      <c r="C2" s="156" t="s">
        <v>284</v>
      </c>
      <c r="D2" s="167"/>
      <c r="E2" s="157" t="s">
        <v>501</v>
      </c>
      <c r="F2" s="164"/>
      <c r="G2" s="23"/>
      <c r="H2" s="24"/>
      <c r="I2" s="23"/>
      <c r="J2" s="24"/>
      <c r="K2" s="23"/>
      <c r="L2" s="24"/>
      <c r="M2" s="1"/>
      <c r="N2" s="1"/>
      <c r="O2" s="1"/>
      <c r="P2" s="1"/>
      <c r="Q2" s="1"/>
      <c r="R2" s="1"/>
      <c r="S2" s="1"/>
      <c r="T2" s="1"/>
      <c r="U2" s="1"/>
      <c r="V2" s="1"/>
      <c r="W2" s="1"/>
      <c r="X2" s="1"/>
      <c r="Y2" s="1"/>
      <c r="Z2" s="1"/>
    </row>
    <row r="3" spans="1:26" ht="12" customHeight="1" x14ac:dyDescent="0.2">
      <c r="A3" s="154" t="s">
        <v>101</v>
      </c>
      <c r="B3" s="183"/>
      <c r="C3" s="173" t="s">
        <v>40</v>
      </c>
      <c r="D3" s="184"/>
      <c r="E3" s="171" t="s">
        <v>43</v>
      </c>
      <c r="F3" s="185"/>
      <c r="G3" s="154" t="s">
        <v>107</v>
      </c>
      <c r="H3" s="183"/>
      <c r="I3" s="154" t="s">
        <v>30</v>
      </c>
      <c r="J3" s="183"/>
      <c r="K3" s="154" t="s">
        <v>108</v>
      </c>
      <c r="L3" s="183"/>
      <c r="M3" s="1"/>
      <c r="N3" s="1"/>
      <c r="O3" s="1"/>
      <c r="P3" s="1"/>
      <c r="Q3" s="1"/>
      <c r="R3" s="1"/>
      <c r="S3" s="1"/>
      <c r="T3" s="1"/>
      <c r="U3" s="1"/>
      <c r="V3" s="1"/>
      <c r="W3" s="1"/>
      <c r="X3" s="1"/>
      <c r="Y3" s="1"/>
      <c r="Z3" s="1"/>
    </row>
    <row r="4" spans="1:26" ht="12" customHeight="1" x14ac:dyDescent="0.2">
      <c r="A4" s="12"/>
      <c r="B4" s="12">
        <f>+B12+B13+B20+B21+B26+B27+B31+B32+B36+B37</f>
        <v>6516</v>
      </c>
      <c r="C4" s="78">
        <f>SUM(C12,C20,C26,C31,C36,C37)</f>
        <v>2094</v>
      </c>
      <c r="D4" s="79">
        <f>IF((I4=0),"",(C4/I4))</f>
        <v>0.58296213808463249</v>
      </c>
      <c r="E4" s="63">
        <f>SUM(E12,E20,E26,E31,E36,E37)</f>
        <v>1468</v>
      </c>
      <c r="F4" s="64">
        <f>IF((I4=0),"",(E4/I4))</f>
        <v>0.40868596881959912</v>
      </c>
      <c r="G4" s="12">
        <f>SUM(G12,G20,G26,G31,G36,G37)</f>
        <v>30</v>
      </c>
      <c r="H4" s="13">
        <f>IF((I4=0),"",(G4/I4))</f>
        <v>8.351893095768375E-3</v>
      </c>
      <c r="I4" s="12">
        <f>SUM(I12,I20,I26,I31,I36,I37)</f>
        <v>3592</v>
      </c>
      <c r="J4" s="13">
        <f>IF((B4=0),"",(I4/B4))</f>
        <v>0.55125844076120323</v>
      </c>
      <c r="K4" s="12">
        <f>B4-I4</f>
        <v>2924</v>
      </c>
      <c r="L4" s="13">
        <f>IF((B4=0),"",(K4/B4))</f>
        <v>0.44874155923879683</v>
      </c>
      <c r="M4" s="1"/>
      <c r="N4" s="1"/>
      <c r="O4" s="1"/>
      <c r="P4" s="1"/>
      <c r="Q4" s="1"/>
      <c r="R4" s="1"/>
      <c r="S4" s="1"/>
      <c r="T4" s="1"/>
      <c r="U4" s="1"/>
      <c r="V4" s="1"/>
      <c r="W4" s="1"/>
      <c r="X4" s="1"/>
      <c r="Y4" s="1"/>
      <c r="Z4" s="1"/>
    </row>
    <row r="5" spans="1:26" ht="12" customHeight="1" x14ac:dyDescent="0.2">
      <c r="A5" s="14" t="s">
        <v>285</v>
      </c>
      <c r="B5" s="32" t="s">
        <v>286</v>
      </c>
      <c r="C5" s="86"/>
      <c r="D5" s="86"/>
      <c r="E5" s="90"/>
      <c r="F5" s="90"/>
      <c r="G5" s="16"/>
      <c r="H5" s="16"/>
      <c r="I5" s="16"/>
      <c r="J5" s="16"/>
      <c r="K5" s="16"/>
      <c r="L5" s="16"/>
      <c r="M5" s="1"/>
      <c r="N5" s="1"/>
      <c r="O5" s="1"/>
      <c r="P5" s="1"/>
      <c r="Q5" s="1"/>
      <c r="R5" s="1"/>
      <c r="S5" s="1"/>
      <c r="T5" s="1"/>
      <c r="U5" s="1"/>
      <c r="V5" s="1"/>
      <c r="W5" s="1"/>
      <c r="X5" s="1"/>
      <c r="Y5" s="1"/>
      <c r="Z5" s="1"/>
    </row>
    <row r="6" spans="1:26" ht="12" customHeight="1" x14ac:dyDescent="0.2">
      <c r="A6" s="15" t="s">
        <v>111</v>
      </c>
      <c r="B6" s="15">
        <v>299</v>
      </c>
      <c r="C6" s="81">
        <v>92</v>
      </c>
      <c r="D6" s="82">
        <f t="shared" ref="D6:D12" si="0">IF((I6=0),"",(C6/I6))</f>
        <v>0.57499999999999996</v>
      </c>
      <c r="E6" s="66">
        <v>64</v>
      </c>
      <c r="F6" s="67">
        <f t="shared" ref="F6:F12" si="1">IF((I6=0),"",(E6/I6))</f>
        <v>0.4</v>
      </c>
      <c r="G6" s="15">
        <v>4</v>
      </c>
      <c r="H6" s="17">
        <f t="shared" ref="H6:H12" si="2">IF((I6=0),"",(G6/I6))</f>
        <v>2.5000000000000001E-2</v>
      </c>
      <c r="I6" s="15">
        <f t="shared" ref="I6:I11" si="3">SUM(C6,E6,G6)</f>
        <v>160</v>
      </c>
      <c r="J6" s="17">
        <f t="shared" ref="J6:J12" si="4">IF((B6=0),"",(I6/B6))</f>
        <v>0.53511705685618727</v>
      </c>
      <c r="K6" s="15">
        <f t="shared" ref="K6:K11" si="5">B6-I6</f>
        <v>139</v>
      </c>
      <c r="L6" s="17">
        <f t="shared" ref="L6:L12" si="6">IF((B6=0),"",(K6/B6))</f>
        <v>0.46488294314381273</v>
      </c>
      <c r="M6" s="1"/>
      <c r="N6" s="1"/>
      <c r="O6" s="1"/>
      <c r="P6" s="1"/>
      <c r="Q6" s="1"/>
      <c r="R6" s="1"/>
      <c r="S6" s="1"/>
      <c r="T6" s="1"/>
      <c r="U6" s="1"/>
      <c r="V6" s="1"/>
      <c r="W6" s="1"/>
      <c r="X6" s="1"/>
      <c r="Y6" s="1"/>
      <c r="Z6" s="1"/>
    </row>
    <row r="7" spans="1:26" ht="12" customHeight="1" x14ac:dyDescent="0.2">
      <c r="A7" s="15" t="s">
        <v>112</v>
      </c>
      <c r="B7" s="15">
        <v>328</v>
      </c>
      <c r="C7" s="81">
        <v>64</v>
      </c>
      <c r="D7" s="82">
        <f t="shared" si="0"/>
        <v>0.4050632911392405</v>
      </c>
      <c r="E7" s="66">
        <v>92</v>
      </c>
      <c r="F7" s="67">
        <f t="shared" si="1"/>
        <v>0.58227848101265822</v>
      </c>
      <c r="G7" s="15">
        <v>2</v>
      </c>
      <c r="H7" s="17">
        <f t="shared" si="2"/>
        <v>1.2658227848101266E-2</v>
      </c>
      <c r="I7" s="15">
        <f t="shared" si="3"/>
        <v>158</v>
      </c>
      <c r="J7" s="17">
        <f t="shared" si="4"/>
        <v>0.48170731707317072</v>
      </c>
      <c r="K7" s="29">
        <f t="shared" si="5"/>
        <v>170</v>
      </c>
      <c r="L7" s="17">
        <f t="shared" si="6"/>
        <v>0.51829268292682928</v>
      </c>
      <c r="M7" s="1"/>
      <c r="N7" s="1"/>
      <c r="O7" s="1"/>
      <c r="P7" s="1"/>
      <c r="Q7" s="1"/>
      <c r="R7" s="1"/>
      <c r="S7" s="1"/>
      <c r="T7" s="1"/>
      <c r="U7" s="1"/>
      <c r="V7" s="1"/>
      <c r="W7" s="1"/>
      <c r="X7" s="1"/>
      <c r="Y7" s="1"/>
      <c r="Z7" s="1"/>
    </row>
    <row r="8" spans="1:26" ht="12" customHeight="1" x14ac:dyDescent="0.2">
      <c r="A8" s="15" t="s">
        <v>230</v>
      </c>
      <c r="B8" s="15">
        <v>462</v>
      </c>
      <c r="C8" s="81">
        <v>76</v>
      </c>
      <c r="D8" s="82">
        <f t="shared" si="0"/>
        <v>0.4779874213836478</v>
      </c>
      <c r="E8" s="66">
        <v>80</v>
      </c>
      <c r="F8" s="67">
        <f t="shared" si="1"/>
        <v>0.50314465408805031</v>
      </c>
      <c r="G8" s="15">
        <v>3</v>
      </c>
      <c r="H8" s="17">
        <f t="shared" si="2"/>
        <v>1.8867924528301886E-2</v>
      </c>
      <c r="I8" s="15">
        <f t="shared" si="3"/>
        <v>159</v>
      </c>
      <c r="J8" s="17">
        <f t="shared" si="4"/>
        <v>0.34415584415584416</v>
      </c>
      <c r="K8" s="29">
        <f t="shared" si="5"/>
        <v>303</v>
      </c>
      <c r="L8" s="17">
        <f t="shared" si="6"/>
        <v>0.6558441558441559</v>
      </c>
      <c r="M8" s="1"/>
      <c r="N8" s="1"/>
      <c r="O8" s="1"/>
      <c r="P8" s="1"/>
      <c r="Q8" s="1"/>
      <c r="R8" s="1"/>
      <c r="S8" s="1"/>
      <c r="T8" s="1"/>
      <c r="U8" s="1"/>
      <c r="V8" s="1"/>
      <c r="W8" s="1"/>
      <c r="X8" s="1"/>
      <c r="Y8" s="1"/>
      <c r="Z8" s="1"/>
    </row>
    <row r="9" spans="1:26" ht="12" customHeight="1" x14ac:dyDescent="0.2">
      <c r="A9" s="29" t="s">
        <v>115</v>
      </c>
      <c r="B9" s="15">
        <v>392</v>
      </c>
      <c r="C9" s="81">
        <v>120</v>
      </c>
      <c r="D9" s="82">
        <f t="shared" si="0"/>
        <v>0.53097345132743368</v>
      </c>
      <c r="E9" s="66">
        <v>105</v>
      </c>
      <c r="F9" s="67">
        <f t="shared" si="1"/>
        <v>0.46460176991150443</v>
      </c>
      <c r="G9" s="15">
        <v>1</v>
      </c>
      <c r="H9" s="17">
        <f t="shared" si="2"/>
        <v>4.4247787610619468E-3</v>
      </c>
      <c r="I9" s="15">
        <f t="shared" si="3"/>
        <v>226</v>
      </c>
      <c r="J9" s="17">
        <f t="shared" si="4"/>
        <v>0.57653061224489799</v>
      </c>
      <c r="K9" s="29">
        <f t="shared" si="5"/>
        <v>166</v>
      </c>
      <c r="L9" s="17">
        <f t="shared" si="6"/>
        <v>0.42346938775510207</v>
      </c>
      <c r="M9" s="1"/>
      <c r="N9" s="1"/>
      <c r="O9" s="1"/>
      <c r="P9" s="1"/>
      <c r="Q9" s="1"/>
      <c r="R9" s="1"/>
      <c r="S9" s="1"/>
      <c r="T9" s="1"/>
      <c r="U9" s="1"/>
      <c r="V9" s="1"/>
      <c r="W9" s="1"/>
      <c r="X9" s="1"/>
      <c r="Y9" s="1"/>
      <c r="Z9" s="1"/>
    </row>
    <row r="10" spans="1:26" ht="12" customHeight="1" x14ac:dyDescent="0.2">
      <c r="A10" s="29" t="s">
        <v>236</v>
      </c>
      <c r="B10" s="15">
        <v>427</v>
      </c>
      <c r="C10" s="81">
        <v>113</v>
      </c>
      <c r="D10" s="82">
        <f t="shared" si="0"/>
        <v>0.54326923076923073</v>
      </c>
      <c r="E10" s="66">
        <v>91</v>
      </c>
      <c r="F10" s="67">
        <f t="shared" si="1"/>
        <v>0.4375</v>
      </c>
      <c r="G10" s="15">
        <v>4</v>
      </c>
      <c r="H10" s="17">
        <f t="shared" si="2"/>
        <v>1.9230769230769232E-2</v>
      </c>
      <c r="I10" s="15">
        <f t="shared" si="3"/>
        <v>208</v>
      </c>
      <c r="J10" s="17">
        <f t="shared" si="4"/>
        <v>0.48711943793911006</v>
      </c>
      <c r="K10" s="29">
        <f t="shared" si="5"/>
        <v>219</v>
      </c>
      <c r="L10" s="17">
        <f t="shared" si="6"/>
        <v>0.51288056206088994</v>
      </c>
      <c r="M10" s="1"/>
      <c r="N10" s="1"/>
      <c r="O10" s="1"/>
      <c r="P10" s="1"/>
      <c r="Q10" s="1"/>
      <c r="R10" s="1"/>
      <c r="S10" s="1"/>
      <c r="T10" s="1"/>
      <c r="U10" s="1"/>
      <c r="V10" s="1"/>
      <c r="W10" s="1"/>
      <c r="X10" s="1"/>
      <c r="Y10" s="1"/>
      <c r="Z10" s="1"/>
    </row>
    <row r="11" spans="1:26" ht="12" customHeight="1" x14ac:dyDescent="0.2">
      <c r="A11" s="29" t="s">
        <v>145</v>
      </c>
      <c r="B11" s="15">
        <v>376</v>
      </c>
      <c r="C11" s="81">
        <v>94</v>
      </c>
      <c r="D11" s="82">
        <f t="shared" si="0"/>
        <v>0.44761904761904764</v>
      </c>
      <c r="E11" s="66">
        <v>115</v>
      </c>
      <c r="F11" s="67">
        <f t="shared" si="1"/>
        <v>0.54761904761904767</v>
      </c>
      <c r="G11" s="15">
        <v>1</v>
      </c>
      <c r="H11" s="17">
        <f t="shared" si="2"/>
        <v>4.7619047619047623E-3</v>
      </c>
      <c r="I11" s="15">
        <f t="shared" si="3"/>
        <v>210</v>
      </c>
      <c r="J11" s="17">
        <f t="shared" si="4"/>
        <v>0.55851063829787229</v>
      </c>
      <c r="K11" s="29">
        <f t="shared" si="5"/>
        <v>166</v>
      </c>
      <c r="L11" s="17">
        <f t="shared" si="6"/>
        <v>0.44148936170212766</v>
      </c>
      <c r="M11" s="1"/>
      <c r="N11" s="1"/>
      <c r="O11" s="1"/>
      <c r="P11" s="1"/>
      <c r="Q11" s="1"/>
      <c r="R11" s="1"/>
      <c r="S11" s="1"/>
      <c r="T11" s="1"/>
      <c r="U11" s="1"/>
      <c r="V11" s="1"/>
      <c r="W11" s="1"/>
      <c r="X11" s="1"/>
      <c r="Y11" s="1"/>
      <c r="Z11" s="1"/>
    </row>
    <row r="12" spans="1:26" ht="12" customHeight="1" x14ac:dyDescent="0.2">
      <c r="A12" s="12" t="s">
        <v>120</v>
      </c>
      <c r="B12" s="12">
        <f>SUM(B6:B11)</f>
        <v>2284</v>
      </c>
      <c r="C12" s="78">
        <f>SUM(C6:C11)</f>
        <v>559</v>
      </c>
      <c r="D12" s="79">
        <f t="shared" si="0"/>
        <v>0.49866190900981266</v>
      </c>
      <c r="E12" s="63">
        <f>SUM(E6:E11)</f>
        <v>547</v>
      </c>
      <c r="F12" s="64">
        <f t="shared" si="1"/>
        <v>0.48795718108831398</v>
      </c>
      <c r="G12" s="12">
        <f>SUM(G6:G11)</f>
        <v>15</v>
      </c>
      <c r="H12" s="13">
        <f t="shared" si="2"/>
        <v>1.3380909901873328E-2</v>
      </c>
      <c r="I12" s="12">
        <f>SUM(I6:I11)</f>
        <v>1121</v>
      </c>
      <c r="J12" s="13">
        <f t="shared" si="4"/>
        <v>0.49080560420315239</v>
      </c>
      <c r="K12" s="12">
        <f>SUM(K6:K11)</f>
        <v>1163</v>
      </c>
      <c r="L12" s="13">
        <f t="shared" si="6"/>
        <v>0.50919439579684767</v>
      </c>
      <c r="M12" s="1"/>
      <c r="N12" s="1"/>
      <c r="O12" s="1"/>
      <c r="P12" s="1"/>
      <c r="Q12" s="1"/>
      <c r="R12" s="1"/>
      <c r="S12" s="1"/>
      <c r="T12" s="1"/>
      <c r="U12" s="1"/>
      <c r="V12" s="1"/>
      <c r="W12" s="1"/>
      <c r="X12" s="1"/>
      <c r="Y12" s="1"/>
      <c r="Z12" s="1"/>
    </row>
    <row r="13" spans="1:26" s="52" customFormat="1" ht="12" customHeight="1" x14ac:dyDescent="0.2">
      <c r="A13" s="32" t="s">
        <v>542</v>
      </c>
      <c r="B13" s="32">
        <v>14</v>
      </c>
      <c r="C13" s="78"/>
      <c r="D13" s="79"/>
      <c r="E13" s="63"/>
      <c r="F13" s="64"/>
      <c r="G13" s="32"/>
      <c r="H13" s="28"/>
      <c r="I13" s="32"/>
      <c r="J13" s="28"/>
      <c r="K13" s="32"/>
      <c r="L13" s="28"/>
      <c r="M13" s="1"/>
      <c r="N13" s="1"/>
      <c r="O13" s="1"/>
      <c r="P13" s="1"/>
      <c r="Q13" s="1"/>
      <c r="R13" s="1"/>
      <c r="S13" s="1"/>
      <c r="T13" s="1"/>
      <c r="U13" s="1"/>
      <c r="V13" s="1"/>
      <c r="W13" s="1"/>
      <c r="X13" s="1"/>
      <c r="Y13" s="1"/>
      <c r="Z13" s="1"/>
    </row>
    <row r="14" spans="1:26" ht="12" customHeight="1" x14ac:dyDescent="0.2">
      <c r="A14" s="14" t="s">
        <v>287</v>
      </c>
      <c r="B14" s="32" t="s">
        <v>288</v>
      </c>
      <c r="C14" s="86"/>
      <c r="D14" s="86"/>
      <c r="E14" s="90"/>
      <c r="F14" s="90"/>
      <c r="G14" s="16"/>
      <c r="H14" s="16"/>
      <c r="I14" s="16"/>
      <c r="J14" s="16"/>
      <c r="K14" s="16"/>
      <c r="L14" s="16"/>
      <c r="M14" s="1"/>
      <c r="N14" s="1"/>
      <c r="O14" s="1"/>
      <c r="P14" s="1"/>
      <c r="Q14" s="1"/>
      <c r="R14" s="1"/>
      <c r="S14" s="1"/>
      <c r="T14" s="1"/>
      <c r="U14" s="1"/>
      <c r="V14" s="1"/>
      <c r="W14" s="1"/>
      <c r="X14" s="1"/>
      <c r="Y14" s="1"/>
      <c r="Z14" s="1"/>
    </row>
    <row r="15" spans="1:26" ht="12" customHeight="1" x14ac:dyDescent="0.2">
      <c r="A15" s="29" t="s">
        <v>136</v>
      </c>
      <c r="B15" s="15">
        <v>398</v>
      </c>
      <c r="C15" s="81">
        <v>249</v>
      </c>
      <c r="D15" s="82">
        <f t="shared" ref="D15:D20" si="7">IF((I15=0),"",(C15/I15))</f>
        <v>0.65354330708661412</v>
      </c>
      <c r="E15" s="66">
        <v>130</v>
      </c>
      <c r="F15" s="67">
        <f t="shared" ref="F15:F20" si="8">IF((I15=0),"",(E15/I15))</f>
        <v>0.34120734908136485</v>
      </c>
      <c r="G15" s="15">
        <v>2</v>
      </c>
      <c r="H15" s="17">
        <f t="shared" ref="H15:H20" si="9">IF((I15=0),"",(G15/I15))</f>
        <v>5.2493438320209973E-3</v>
      </c>
      <c r="I15" s="15">
        <f>SUM(C15,E15,G15)</f>
        <v>381</v>
      </c>
      <c r="J15" s="17">
        <f t="shared" ref="J15:J20" si="10">IF((B15=0),"",(I15/B15))</f>
        <v>0.957286432160804</v>
      </c>
      <c r="K15" s="29">
        <f>B15-I15</f>
        <v>17</v>
      </c>
      <c r="L15" s="17">
        <f t="shared" ref="L15:L20" si="11">IF((B15=0),"",(K15/B15))</f>
        <v>4.2713567839195977E-2</v>
      </c>
      <c r="M15" s="1"/>
      <c r="N15" s="1"/>
      <c r="O15" s="1"/>
      <c r="P15" s="1"/>
      <c r="Q15" s="1"/>
      <c r="R15" s="1"/>
      <c r="S15" s="1"/>
      <c r="T15" s="1"/>
      <c r="U15" s="1"/>
      <c r="V15" s="1"/>
      <c r="W15" s="1"/>
      <c r="X15" s="1"/>
      <c r="Y15" s="1"/>
      <c r="Z15" s="1"/>
    </row>
    <row r="16" spans="1:26" ht="12" customHeight="1" x14ac:dyDescent="0.2">
      <c r="A16" s="29" t="s">
        <v>339</v>
      </c>
      <c r="B16" s="15">
        <v>344</v>
      </c>
      <c r="C16" s="81">
        <v>133</v>
      </c>
      <c r="D16" s="82">
        <f t="shared" si="7"/>
        <v>0.73888888888888893</v>
      </c>
      <c r="E16" s="66">
        <v>47</v>
      </c>
      <c r="F16" s="67">
        <f t="shared" si="8"/>
        <v>0.26111111111111113</v>
      </c>
      <c r="G16" s="15">
        <v>0</v>
      </c>
      <c r="H16" s="17">
        <f t="shared" si="9"/>
        <v>0</v>
      </c>
      <c r="I16" s="15">
        <f>SUM(C16,E16,G16)</f>
        <v>180</v>
      </c>
      <c r="J16" s="17">
        <f t="shared" si="10"/>
        <v>0.52325581395348841</v>
      </c>
      <c r="K16" s="29">
        <f>B16-I16</f>
        <v>164</v>
      </c>
      <c r="L16" s="17">
        <f t="shared" si="11"/>
        <v>0.47674418604651164</v>
      </c>
      <c r="M16" s="1"/>
      <c r="N16" s="1"/>
      <c r="O16" s="1"/>
      <c r="P16" s="1"/>
      <c r="Q16" s="1"/>
      <c r="R16" s="1"/>
      <c r="S16" s="1"/>
      <c r="T16" s="1"/>
      <c r="U16" s="1"/>
      <c r="V16" s="1"/>
      <c r="W16" s="1"/>
      <c r="X16" s="1"/>
      <c r="Y16" s="1"/>
      <c r="Z16" s="1"/>
    </row>
    <row r="17" spans="1:26" ht="12" customHeight="1" x14ac:dyDescent="0.2">
      <c r="A17" s="29" t="s">
        <v>204</v>
      </c>
      <c r="B17" s="15">
        <v>369</v>
      </c>
      <c r="C17" s="81">
        <v>155</v>
      </c>
      <c r="D17" s="82">
        <f t="shared" si="7"/>
        <v>0.75609756097560976</v>
      </c>
      <c r="E17" s="66">
        <v>50</v>
      </c>
      <c r="F17" s="67">
        <f t="shared" si="8"/>
        <v>0.24390243902439024</v>
      </c>
      <c r="G17" s="15">
        <v>0</v>
      </c>
      <c r="H17" s="17">
        <f t="shared" si="9"/>
        <v>0</v>
      </c>
      <c r="I17" s="15">
        <f>SUM(C17,E17,G17)</f>
        <v>205</v>
      </c>
      <c r="J17" s="17">
        <f t="shared" si="10"/>
        <v>0.55555555555555558</v>
      </c>
      <c r="K17" s="29">
        <f>B17-I17</f>
        <v>164</v>
      </c>
      <c r="L17" s="17">
        <f t="shared" si="11"/>
        <v>0.44444444444444442</v>
      </c>
      <c r="M17" s="1"/>
      <c r="N17" s="1"/>
      <c r="O17" s="1"/>
      <c r="P17" s="1"/>
      <c r="Q17" s="1"/>
      <c r="R17" s="1"/>
      <c r="S17" s="1"/>
      <c r="T17" s="1"/>
      <c r="U17" s="1"/>
      <c r="V17" s="1"/>
      <c r="W17" s="1"/>
      <c r="X17" s="1"/>
      <c r="Y17" s="1"/>
      <c r="Z17" s="1"/>
    </row>
    <row r="18" spans="1:26" ht="12" customHeight="1" x14ac:dyDescent="0.2">
      <c r="A18" s="29" t="s">
        <v>126</v>
      </c>
      <c r="B18" s="15">
        <v>316</v>
      </c>
      <c r="C18" s="81">
        <v>107</v>
      </c>
      <c r="D18" s="82">
        <f t="shared" si="7"/>
        <v>0.6257309941520468</v>
      </c>
      <c r="E18" s="66">
        <v>63</v>
      </c>
      <c r="F18" s="67">
        <f t="shared" si="8"/>
        <v>0.36842105263157893</v>
      </c>
      <c r="G18" s="15">
        <v>1</v>
      </c>
      <c r="H18" s="17">
        <f t="shared" si="9"/>
        <v>5.8479532163742687E-3</v>
      </c>
      <c r="I18" s="15">
        <f>SUM(C18,E18,G18)</f>
        <v>171</v>
      </c>
      <c r="J18" s="17">
        <f t="shared" si="10"/>
        <v>0.54113924050632911</v>
      </c>
      <c r="K18" s="29">
        <f>B18-I18</f>
        <v>145</v>
      </c>
      <c r="L18" s="17">
        <f t="shared" si="11"/>
        <v>0.45886075949367089</v>
      </c>
      <c r="M18" s="1"/>
      <c r="N18" s="1"/>
      <c r="O18" s="1"/>
      <c r="P18" s="1"/>
      <c r="Q18" s="1"/>
      <c r="R18" s="1"/>
      <c r="S18" s="1"/>
      <c r="T18" s="1"/>
      <c r="U18" s="1"/>
      <c r="V18" s="1"/>
      <c r="W18" s="1"/>
      <c r="X18" s="1"/>
      <c r="Y18" s="1"/>
      <c r="Z18" s="1"/>
    </row>
    <row r="19" spans="1:26" ht="12" customHeight="1" x14ac:dyDescent="0.2">
      <c r="A19" s="29" t="s">
        <v>123</v>
      </c>
      <c r="B19" s="15">
        <v>295</v>
      </c>
      <c r="C19" s="81">
        <v>89</v>
      </c>
      <c r="D19" s="82">
        <f t="shared" si="7"/>
        <v>0.55625000000000002</v>
      </c>
      <c r="E19" s="66">
        <v>68</v>
      </c>
      <c r="F19" s="67">
        <f t="shared" si="8"/>
        <v>0.42499999999999999</v>
      </c>
      <c r="G19" s="15">
        <v>3</v>
      </c>
      <c r="H19" s="17">
        <f t="shared" si="9"/>
        <v>1.8749999999999999E-2</v>
      </c>
      <c r="I19" s="15">
        <f>SUM(C19,E19,G19)</f>
        <v>160</v>
      </c>
      <c r="J19" s="17">
        <f t="shared" si="10"/>
        <v>0.5423728813559322</v>
      </c>
      <c r="K19" s="29">
        <f>B19-I19</f>
        <v>135</v>
      </c>
      <c r="L19" s="17">
        <f t="shared" si="11"/>
        <v>0.4576271186440678</v>
      </c>
      <c r="M19" s="1"/>
      <c r="N19" s="1"/>
      <c r="O19" s="1"/>
      <c r="P19" s="1"/>
      <c r="Q19" s="1"/>
      <c r="R19" s="1"/>
      <c r="S19" s="1"/>
      <c r="T19" s="1"/>
      <c r="U19" s="1"/>
      <c r="V19" s="1"/>
      <c r="W19" s="1"/>
      <c r="X19" s="1"/>
      <c r="Y19" s="1"/>
      <c r="Z19" s="1"/>
    </row>
    <row r="20" spans="1:26" ht="12" customHeight="1" x14ac:dyDescent="0.2">
      <c r="A20" s="12" t="s">
        <v>120</v>
      </c>
      <c r="B20" s="12">
        <f>SUM(B15:B19)</f>
        <v>1722</v>
      </c>
      <c r="C20" s="78">
        <f>SUM(C15:C19)</f>
        <v>733</v>
      </c>
      <c r="D20" s="79">
        <f t="shared" si="7"/>
        <v>0.66818596171376476</v>
      </c>
      <c r="E20" s="63">
        <f>SUM(E15:E19)</f>
        <v>358</v>
      </c>
      <c r="F20" s="64">
        <f t="shared" si="8"/>
        <v>0.32634457611668188</v>
      </c>
      <c r="G20" s="12">
        <f>SUM(G15:G19)</f>
        <v>6</v>
      </c>
      <c r="H20" s="13">
        <f t="shared" si="9"/>
        <v>5.4694621695533276E-3</v>
      </c>
      <c r="I20" s="12">
        <f>SUM(I15:I19)</f>
        <v>1097</v>
      </c>
      <c r="J20" s="13">
        <f t="shared" si="10"/>
        <v>0.63704994192799069</v>
      </c>
      <c r="K20" s="12">
        <f>SUM(K15:K19)</f>
        <v>625</v>
      </c>
      <c r="L20" s="13">
        <f t="shared" si="11"/>
        <v>0.36295005807200931</v>
      </c>
      <c r="M20" s="1"/>
      <c r="N20" s="1"/>
      <c r="O20" s="1"/>
      <c r="P20" s="1"/>
      <c r="Q20" s="1"/>
      <c r="R20" s="1"/>
      <c r="S20" s="1"/>
      <c r="T20" s="1"/>
      <c r="U20" s="1"/>
      <c r="V20" s="1"/>
      <c r="W20" s="1"/>
      <c r="X20" s="1"/>
      <c r="Y20" s="1"/>
      <c r="Z20" s="1"/>
    </row>
    <row r="21" spans="1:26" s="52" customFormat="1" ht="12" customHeight="1" x14ac:dyDescent="0.2">
      <c r="A21" s="32" t="s">
        <v>542</v>
      </c>
      <c r="B21" s="32">
        <v>33</v>
      </c>
      <c r="C21" s="78"/>
      <c r="D21" s="79"/>
      <c r="E21" s="63"/>
      <c r="F21" s="64"/>
      <c r="G21" s="32"/>
      <c r="H21" s="28"/>
      <c r="I21" s="32"/>
      <c r="J21" s="28"/>
      <c r="K21" s="32"/>
      <c r="L21" s="28"/>
      <c r="M21" s="1"/>
      <c r="N21" s="1"/>
      <c r="O21" s="1"/>
      <c r="P21" s="1"/>
      <c r="Q21" s="1"/>
      <c r="R21" s="1"/>
      <c r="S21" s="1"/>
      <c r="T21" s="1"/>
      <c r="U21" s="1"/>
      <c r="V21" s="1"/>
      <c r="W21" s="1"/>
      <c r="X21" s="1"/>
      <c r="Y21" s="1"/>
      <c r="Z21" s="1"/>
    </row>
    <row r="22" spans="1:26" ht="12" customHeight="1" x14ac:dyDescent="0.2">
      <c r="A22" s="14" t="s">
        <v>289</v>
      </c>
      <c r="B22" s="32" t="s">
        <v>290</v>
      </c>
      <c r="C22" s="86"/>
      <c r="D22" s="86"/>
      <c r="E22" s="90"/>
      <c r="F22" s="90"/>
      <c r="G22" s="16"/>
      <c r="H22" s="16"/>
      <c r="I22" s="16"/>
      <c r="J22" s="16"/>
      <c r="K22" s="16"/>
      <c r="L22" s="16"/>
      <c r="M22" s="1"/>
      <c r="N22" s="1"/>
      <c r="O22" s="1"/>
      <c r="P22" s="1"/>
      <c r="Q22" s="1"/>
      <c r="R22" s="1"/>
      <c r="S22" s="1"/>
      <c r="T22" s="1"/>
      <c r="U22" s="1"/>
      <c r="V22" s="1"/>
      <c r="W22" s="1"/>
      <c r="X22" s="1"/>
      <c r="Y22" s="1"/>
      <c r="Z22" s="1"/>
    </row>
    <row r="23" spans="1:26" ht="12" customHeight="1" x14ac:dyDescent="0.2">
      <c r="A23" s="29" t="s">
        <v>327</v>
      </c>
      <c r="B23" s="15">
        <v>354</v>
      </c>
      <c r="C23" s="81">
        <v>120</v>
      </c>
      <c r="D23" s="82">
        <f>IF((I23=0),"",(C23/I23))</f>
        <v>0.59113300492610843</v>
      </c>
      <c r="E23" s="66">
        <v>82</v>
      </c>
      <c r="F23" s="67">
        <f>IF((I23=0),"",(E23/I23))</f>
        <v>0.4039408866995074</v>
      </c>
      <c r="G23" s="15">
        <v>1</v>
      </c>
      <c r="H23" s="17">
        <f>IF((I23=0),"",(G23/I23))</f>
        <v>4.9261083743842365E-3</v>
      </c>
      <c r="I23" s="15">
        <f>SUM(C23,E23,G23)</f>
        <v>203</v>
      </c>
      <c r="J23" s="17">
        <f>IF((B23=0),"",(I23/B23))</f>
        <v>0.57344632768361581</v>
      </c>
      <c r="K23" s="29">
        <f>B23-I23</f>
        <v>151</v>
      </c>
      <c r="L23" s="17">
        <f>IF((B23=0),"",(K23/B23))</f>
        <v>0.42655367231638419</v>
      </c>
      <c r="M23" s="1"/>
      <c r="N23" s="1"/>
      <c r="O23" s="1"/>
      <c r="P23" s="1"/>
      <c r="Q23" s="1"/>
      <c r="R23" s="1"/>
      <c r="S23" s="1"/>
      <c r="T23" s="1"/>
      <c r="U23" s="1"/>
      <c r="V23" s="1"/>
      <c r="W23" s="1"/>
      <c r="X23" s="1"/>
      <c r="Y23" s="1"/>
      <c r="Z23" s="1"/>
    </row>
    <row r="24" spans="1:26" ht="12" customHeight="1" x14ac:dyDescent="0.2">
      <c r="A24" s="29" t="s">
        <v>502</v>
      </c>
      <c r="B24" s="15">
        <v>295</v>
      </c>
      <c r="C24" s="81">
        <v>88</v>
      </c>
      <c r="D24" s="82">
        <f>IF((I24=0),"",(C24/I24))</f>
        <v>0.53658536585365857</v>
      </c>
      <c r="E24" s="66">
        <v>76</v>
      </c>
      <c r="F24" s="67">
        <f>IF((I24=0),"",(E24/I24))</f>
        <v>0.46341463414634149</v>
      </c>
      <c r="G24" s="15">
        <v>0</v>
      </c>
      <c r="H24" s="17">
        <f>IF((I24=0),"",(G24/I24))</f>
        <v>0</v>
      </c>
      <c r="I24" s="15">
        <f>SUM(C24,E24,G24)</f>
        <v>164</v>
      </c>
      <c r="J24" s="17">
        <f>IF((B24=0),"",(I24/B24))</f>
        <v>0.55593220338983051</v>
      </c>
      <c r="K24" s="29">
        <f>B24-I24</f>
        <v>131</v>
      </c>
      <c r="L24" s="17">
        <f>IF((B24=0),"",(K24/B24))</f>
        <v>0.44406779661016949</v>
      </c>
      <c r="M24" s="1"/>
      <c r="N24" s="1"/>
      <c r="O24" s="1"/>
      <c r="P24" s="1"/>
      <c r="Q24" s="1"/>
      <c r="R24" s="1"/>
      <c r="S24" s="1"/>
      <c r="T24" s="1"/>
      <c r="U24" s="1"/>
      <c r="V24" s="1"/>
      <c r="W24" s="1"/>
      <c r="X24" s="1"/>
      <c r="Y24" s="1"/>
      <c r="Z24" s="1"/>
    </row>
    <row r="25" spans="1:26" ht="12" customHeight="1" x14ac:dyDescent="0.2">
      <c r="A25" s="29" t="s">
        <v>193</v>
      </c>
      <c r="B25" s="15">
        <v>313</v>
      </c>
      <c r="C25" s="81">
        <v>94</v>
      </c>
      <c r="D25" s="82">
        <f>IF((I25=0),"",(C25/I25))</f>
        <v>0.5</v>
      </c>
      <c r="E25" s="66">
        <v>91</v>
      </c>
      <c r="F25" s="67">
        <f>IF((I25=0),"",(E25/I25))</f>
        <v>0.48404255319148937</v>
      </c>
      <c r="G25" s="15">
        <v>3</v>
      </c>
      <c r="H25" s="17">
        <f>IF((I25=0),"",(G25/I25))</f>
        <v>1.5957446808510637E-2</v>
      </c>
      <c r="I25" s="15">
        <f>SUM(C25,E25,G25)</f>
        <v>188</v>
      </c>
      <c r="J25" s="17">
        <f>IF((B25=0),"",(I25/B25))</f>
        <v>0.60063897763578278</v>
      </c>
      <c r="K25" s="29">
        <f>B25-I25</f>
        <v>125</v>
      </c>
      <c r="L25" s="17">
        <f>IF((B25=0),"",(K25/B25))</f>
        <v>0.39936102236421728</v>
      </c>
      <c r="M25" s="1"/>
      <c r="N25" s="1"/>
      <c r="O25" s="1"/>
      <c r="P25" s="1"/>
      <c r="Q25" s="1"/>
      <c r="R25" s="1"/>
      <c r="S25" s="1"/>
      <c r="T25" s="1"/>
      <c r="U25" s="1"/>
      <c r="V25" s="1"/>
      <c r="W25" s="1"/>
      <c r="X25" s="1"/>
      <c r="Y25" s="1"/>
      <c r="Z25" s="1"/>
    </row>
    <row r="26" spans="1:26" ht="12" customHeight="1" x14ac:dyDescent="0.2">
      <c r="A26" s="12" t="s">
        <v>120</v>
      </c>
      <c r="B26" s="12">
        <f>SUM(B23:B25)</f>
        <v>962</v>
      </c>
      <c r="C26" s="78">
        <f>SUM(C23:C25)</f>
        <v>302</v>
      </c>
      <c r="D26" s="79">
        <f>IF((I26=0),"",(C26/I26))</f>
        <v>0.54414414414414414</v>
      </c>
      <c r="E26" s="63">
        <f>SUM(E23:E25)</f>
        <v>249</v>
      </c>
      <c r="F26" s="64">
        <f>IF((I26=0),"",(E26/I26))</f>
        <v>0.44864864864864867</v>
      </c>
      <c r="G26" s="12">
        <f>SUM(G23:G25)</f>
        <v>4</v>
      </c>
      <c r="H26" s="13">
        <f>IF((I26=0),"",(G26/I26))</f>
        <v>7.2072072072072073E-3</v>
      </c>
      <c r="I26" s="12">
        <f>SUM(I23:I25)</f>
        <v>555</v>
      </c>
      <c r="J26" s="13">
        <f>IF((B26=0),"",(I26/B26))</f>
        <v>0.57692307692307687</v>
      </c>
      <c r="K26" s="12">
        <f>SUM(K23:K25)</f>
        <v>407</v>
      </c>
      <c r="L26" s="13">
        <f>IF((B26=0),"",(K26/B26))</f>
        <v>0.42307692307692307</v>
      </c>
      <c r="M26" s="1"/>
      <c r="N26" s="1"/>
      <c r="O26" s="1"/>
      <c r="P26" s="1"/>
      <c r="Q26" s="1"/>
      <c r="R26" s="1"/>
      <c r="S26" s="1"/>
      <c r="T26" s="1"/>
      <c r="U26" s="1"/>
      <c r="V26" s="1"/>
      <c r="W26" s="1"/>
      <c r="X26" s="1"/>
      <c r="Y26" s="1"/>
      <c r="Z26" s="1"/>
    </row>
    <row r="27" spans="1:26" s="52" customFormat="1" ht="12" customHeight="1" x14ac:dyDescent="0.2">
      <c r="A27" s="32" t="s">
        <v>542</v>
      </c>
      <c r="B27" s="32">
        <v>19</v>
      </c>
      <c r="C27" s="78"/>
      <c r="D27" s="79"/>
      <c r="E27" s="63"/>
      <c r="F27" s="64"/>
      <c r="G27" s="32"/>
      <c r="H27" s="28"/>
      <c r="I27" s="32"/>
      <c r="J27" s="28"/>
      <c r="K27" s="32"/>
      <c r="L27" s="28"/>
      <c r="M27" s="1"/>
      <c r="N27" s="1"/>
      <c r="O27" s="1"/>
      <c r="P27" s="1"/>
      <c r="Q27" s="1"/>
      <c r="R27" s="1"/>
      <c r="S27" s="1"/>
      <c r="T27" s="1"/>
      <c r="U27" s="1"/>
      <c r="V27" s="1"/>
      <c r="W27" s="1"/>
      <c r="X27" s="1"/>
      <c r="Y27" s="1"/>
      <c r="Z27" s="1"/>
    </row>
    <row r="28" spans="1:26" ht="12" customHeight="1" x14ac:dyDescent="0.2">
      <c r="A28" s="14" t="s">
        <v>291</v>
      </c>
      <c r="B28" s="32" t="s">
        <v>292</v>
      </c>
      <c r="C28" s="86"/>
      <c r="D28" s="86"/>
      <c r="E28" s="90"/>
      <c r="F28" s="90"/>
      <c r="G28" s="16"/>
      <c r="H28" s="16"/>
      <c r="I28" s="16"/>
      <c r="J28" s="16"/>
      <c r="K28" s="16"/>
      <c r="L28" s="16"/>
      <c r="M28" s="1"/>
      <c r="N28" s="1"/>
      <c r="O28" s="1"/>
      <c r="P28" s="1"/>
      <c r="Q28" s="1"/>
      <c r="R28" s="1"/>
      <c r="S28" s="1"/>
      <c r="T28" s="1"/>
      <c r="U28" s="1"/>
      <c r="V28" s="1"/>
      <c r="W28" s="1"/>
      <c r="X28" s="1"/>
      <c r="Y28" s="1"/>
      <c r="Z28" s="1"/>
    </row>
    <row r="29" spans="1:26" ht="12" customHeight="1" x14ac:dyDescent="0.2">
      <c r="A29" s="29" t="s">
        <v>161</v>
      </c>
      <c r="B29" s="15">
        <v>412</v>
      </c>
      <c r="C29" s="81">
        <v>158</v>
      </c>
      <c r="D29" s="82">
        <f>IF((I29=0),"",(C29/I29))</f>
        <v>0.68103448275862066</v>
      </c>
      <c r="E29" s="66">
        <v>72</v>
      </c>
      <c r="F29" s="67">
        <f>IF((I29=0),"",(E29/I29))</f>
        <v>0.31034482758620691</v>
      </c>
      <c r="G29" s="15">
        <v>2</v>
      </c>
      <c r="H29" s="17">
        <f>IF((I29=0),"",(G29/I29))</f>
        <v>8.6206896551724137E-3</v>
      </c>
      <c r="I29" s="15">
        <f>SUM(C29,E29,G29)</f>
        <v>232</v>
      </c>
      <c r="J29" s="17">
        <f>IF((B29=0),"",(I29/B29))</f>
        <v>0.56310679611650483</v>
      </c>
      <c r="K29" s="29">
        <f>B29-I29</f>
        <v>180</v>
      </c>
      <c r="L29" s="17">
        <f>IF((B29=0),"",(K29/B29))</f>
        <v>0.43689320388349512</v>
      </c>
      <c r="M29" s="1"/>
      <c r="N29" s="1"/>
      <c r="O29" s="1"/>
      <c r="P29" s="1"/>
      <c r="Q29" s="1"/>
      <c r="R29" s="1"/>
      <c r="S29" s="1"/>
      <c r="T29" s="1"/>
      <c r="U29" s="1"/>
      <c r="V29" s="1"/>
      <c r="W29" s="1"/>
      <c r="X29" s="1"/>
      <c r="Y29" s="1"/>
      <c r="Z29" s="1"/>
    </row>
    <row r="30" spans="1:26" ht="12" customHeight="1" x14ac:dyDescent="0.2">
      <c r="A30" s="29" t="s">
        <v>162</v>
      </c>
      <c r="B30" s="15">
        <v>345</v>
      </c>
      <c r="C30" s="81">
        <v>130</v>
      </c>
      <c r="D30" s="82">
        <f>IF((I30=0),"",(C30/I30))</f>
        <v>0.64356435643564358</v>
      </c>
      <c r="E30" s="66">
        <v>72</v>
      </c>
      <c r="F30" s="67">
        <f>IF((I30=0),"",(E30/I30))</f>
        <v>0.35643564356435642</v>
      </c>
      <c r="G30" s="15">
        <v>0</v>
      </c>
      <c r="H30" s="17">
        <f>IF((I30=0),"",(G30/I30))</f>
        <v>0</v>
      </c>
      <c r="I30" s="15">
        <f>SUM(C30,E30,G30)</f>
        <v>202</v>
      </c>
      <c r="J30" s="17">
        <f>IF((B30=0),"",(I30/B30))</f>
        <v>0.58550724637681162</v>
      </c>
      <c r="K30" s="29">
        <f>B30-I30</f>
        <v>143</v>
      </c>
      <c r="L30" s="17">
        <f>IF((B30=0),"",(K30/B30))</f>
        <v>0.41449275362318838</v>
      </c>
      <c r="M30" s="1"/>
      <c r="N30" s="1"/>
      <c r="O30" s="1"/>
      <c r="P30" s="1"/>
      <c r="Q30" s="1"/>
      <c r="R30" s="1"/>
      <c r="S30" s="1"/>
      <c r="T30" s="1"/>
      <c r="U30" s="1"/>
      <c r="V30" s="1"/>
      <c r="W30" s="1"/>
      <c r="X30" s="1"/>
      <c r="Y30" s="1"/>
      <c r="Z30" s="1"/>
    </row>
    <row r="31" spans="1:26" ht="12" customHeight="1" x14ac:dyDescent="0.2">
      <c r="A31" s="12" t="s">
        <v>120</v>
      </c>
      <c r="B31" s="12">
        <f>SUM(B29:B30)</f>
        <v>757</v>
      </c>
      <c r="C31" s="78">
        <f>SUM(C29:C30)</f>
        <v>288</v>
      </c>
      <c r="D31" s="79">
        <f>IF((I31=0),"",(C31/I31))</f>
        <v>0.66359447004608296</v>
      </c>
      <c r="E31" s="63">
        <f>SUM(E29:E30)</f>
        <v>144</v>
      </c>
      <c r="F31" s="64">
        <f>IF((I31=0),"",(E31/I31))</f>
        <v>0.33179723502304148</v>
      </c>
      <c r="G31" s="12">
        <f>SUM(G29:G30)</f>
        <v>2</v>
      </c>
      <c r="H31" s="13">
        <f>IF((I31=0),"",(G31/I31))</f>
        <v>4.608294930875576E-3</v>
      </c>
      <c r="I31" s="12">
        <f>SUM(I29:I30)</f>
        <v>434</v>
      </c>
      <c r="J31" s="13">
        <f>IF((B31=0),"",(I31/B31))</f>
        <v>0.5733157199471598</v>
      </c>
      <c r="K31" s="12">
        <f>SUM(K29:K30)</f>
        <v>323</v>
      </c>
      <c r="L31" s="13">
        <f>IF((B31=0),"",(K31/B31))</f>
        <v>0.42668428005284015</v>
      </c>
      <c r="M31" s="1"/>
      <c r="N31" s="1"/>
      <c r="O31" s="1"/>
      <c r="P31" s="1"/>
      <c r="Q31" s="1"/>
      <c r="R31" s="1"/>
      <c r="S31" s="1"/>
      <c r="T31" s="1"/>
      <c r="U31" s="1"/>
      <c r="V31" s="1"/>
      <c r="W31" s="1"/>
      <c r="X31" s="1"/>
      <c r="Y31" s="1"/>
      <c r="Z31" s="1"/>
    </row>
    <row r="32" spans="1:26" s="52" customFormat="1" ht="12" customHeight="1" x14ac:dyDescent="0.2">
      <c r="A32" s="32" t="s">
        <v>542</v>
      </c>
      <c r="B32" s="32">
        <v>7</v>
      </c>
      <c r="C32" s="78"/>
      <c r="D32" s="79"/>
      <c r="E32" s="63"/>
      <c r="F32" s="64"/>
      <c r="G32" s="32"/>
      <c r="H32" s="28"/>
      <c r="I32" s="32"/>
      <c r="J32" s="28"/>
      <c r="K32" s="32"/>
      <c r="L32" s="28"/>
      <c r="M32" s="1"/>
      <c r="N32" s="1"/>
      <c r="O32" s="1"/>
      <c r="P32" s="1"/>
      <c r="Q32" s="1"/>
      <c r="R32" s="1"/>
      <c r="S32" s="1"/>
      <c r="T32" s="1"/>
      <c r="U32" s="1"/>
      <c r="V32" s="1"/>
      <c r="W32" s="1"/>
      <c r="X32" s="1"/>
      <c r="Y32" s="1"/>
      <c r="Z32" s="1"/>
    </row>
    <row r="33" spans="1:26" ht="12" customHeight="1" x14ac:dyDescent="0.2">
      <c r="A33" s="14" t="s">
        <v>293</v>
      </c>
      <c r="B33" s="32" t="s">
        <v>294</v>
      </c>
      <c r="C33" s="86"/>
      <c r="D33" s="86"/>
      <c r="E33" s="90"/>
      <c r="F33" s="90"/>
      <c r="G33" s="16"/>
      <c r="H33" s="16"/>
      <c r="I33" s="16"/>
      <c r="J33" s="16"/>
      <c r="K33" s="16"/>
      <c r="L33" s="16"/>
      <c r="M33" s="1"/>
      <c r="N33" s="1"/>
      <c r="O33" s="1"/>
      <c r="P33" s="1"/>
      <c r="Q33" s="1"/>
      <c r="R33" s="1"/>
      <c r="S33" s="1"/>
      <c r="T33" s="1"/>
      <c r="U33" s="1"/>
      <c r="V33" s="1"/>
      <c r="W33" s="1"/>
      <c r="X33" s="1"/>
      <c r="Y33" s="1"/>
      <c r="Z33" s="1"/>
    </row>
    <row r="34" spans="1:26" ht="12" customHeight="1" x14ac:dyDescent="0.2">
      <c r="A34" s="15" t="s">
        <v>503</v>
      </c>
      <c r="B34" s="15">
        <v>396</v>
      </c>
      <c r="C34" s="81">
        <v>123</v>
      </c>
      <c r="D34" s="82">
        <f>IF((I34=0),"",(C34/I34))</f>
        <v>0.54666666666666663</v>
      </c>
      <c r="E34" s="66">
        <v>99</v>
      </c>
      <c r="F34" s="67">
        <f>IF((I34=0),"",(E34/I34))</f>
        <v>0.44</v>
      </c>
      <c r="G34" s="15">
        <v>3</v>
      </c>
      <c r="H34" s="17">
        <f>IF((I34=0),"",(G34/I34))</f>
        <v>1.3333333333333334E-2</v>
      </c>
      <c r="I34" s="15">
        <f>SUM(C34,E34,G34)</f>
        <v>225</v>
      </c>
      <c r="J34" s="17">
        <f>IF((B34=0),"",(I34/B34))</f>
        <v>0.56818181818181823</v>
      </c>
      <c r="K34" s="29">
        <f>B34-I34</f>
        <v>171</v>
      </c>
      <c r="L34" s="17">
        <f>IF((B34=0),"",(K34/B34))</f>
        <v>0.43181818181818182</v>
      </c>
      <c r="M34" s="1"/>
      <c r="N34" s="1"/>
      <c r="O34" s="1"/>
      <c r="P34" s="1"/>
      <c r="Q34" s="1"/>
      <c r="R34" s="1"/>
      <c r="S34" s="1"/>
      <c r="T34" s="1"/>
      <c r="U34" s="1"/>
      <c r="V34" s="1"/>
      <c r="W34" s="1"/>
      <c r="X34" s="1"/>
      <c r="Y34" s="1"/>
      <c r="Z34" s="1"/>
    </row>
    <row r="35" spans="1:26" ht="12" customHeight="1" x14ac:dyDescent="0.2">
      <c r="A35" s="15" t="s">
        <v>186</v>
      </c>
      <c r="B35" s="15">
        <v>307</v>
      </c>
      <c r="C35" s="81">
        <v>89</v>
      </c>
      <c r="D35" s="82">
        <f>IF((I35=0),"",(C35/I35))</f>
        <v>0.55625000000000002</v>
      </c>
      <c r="E35" s="66">
        <v>71</v>
      </c>
      <c r="F35" s="67">
        <f>IF((I35=0),"",(E35/I35))</f>
        <v>0.44374999999999998</v>
      </c>
      <c r="G35" s="15">
        <v>0</v>
      </c>
      <c r="H35" s="17">
        <f>IF((I35=0),"",(G35/I35))</f>
        <v>0</v>
      </c>
      <c r="I35" s="15">
        <f>SUM(C35,E35,G35)</f>
        <v>160</v>
      </c>
      <c r="J35" s="17">
        <f>IF((B35=0),"",(I35/B35))</f>
        <v>0.52117263843648209</v>
      </c>
      <c r="K35" s="29">
        <f>B35-I35</f>
        <v>147</v>
      </c>
      <c r="L35" s="17">
        <f>IF((B35=0),"",(K35/B35))</f>
        <v>0.47882736156351791</v>
      </c>
      <c r="M35" s="1"/>
      <c r="N35" s="1"/>
      <c r="O35" s="1"/>
      <c r="P35" s="1"/>
      <c r="Q35" s="1"/>
      <c r="R35" s="1"/>
      <c r="S35" s="1"/>
      <c r="T35" s="1"/>
      <c r="U35" s="1"/>
      <c r="V35" s="1"/>
      <c r="W35" s="1"/>
      <c r="X35" s="1"/>
      <c r="Y35" s="1"/>
      <c r="Z35" s="1"/>
    </row>
    <row r="36" spans="1:26" ht="12" customHeight="1" x14ac:dyDescent="0.2">
      <c r="A36" s="12" t="s">
        <v>120</v>
      </c>
      <c r="B36" s="12">
        <f>SUM(B34:B35)</f>
        <v>703</v>
      </c>
      <c r="C36" s="78">
        <f>SUM(C34:C35)</f>
        <v>212</v>
      </c>
      <c r="D36" s="79">
        <f>IF((I36=0),"",(C36/I36))</f>
        <v>0.55064935064935061</v>
      </c>
      <c r="E36" s="63">
        <f>SUM(E34:E35)</f>
        <v>170</v>
      </c>
      <c r="F36" s="64">
        <f>IF((I36=0),"",(E36/I36))</f>
        <v>0.44155844155844154</v>
      </c>
      <c r="G36" s="12">
        <f>SUM(G34:G35)</f>
        <v>3</v>
      </c>
      <c r="H36" s="13">
        <f>IF((I36=0),"",(G36/I36))</f>
        <v>7.7922077922077922E-3</v>
      </c>
      <c r="I36" s="12">
        <f>SUM(I34:I35)</f>
        <v>385</v>
      </c>
      <c r="J36" s="13">
        <f>IF((B36=0),"",(I36/B36))</f>
        <v>0.54765291607396871</v>
      </c>
      <c r="K36" s="12">
        <f>SUM(K34:K35)</f>
        <v>318</v>
      </c>
      <c r="L36" s="13">
        <f>IF((B36=0),"",(K36/B36))</f>
        <v>0.45234708392603129</v>
      </c>
      <c r="M36" s="1"/>
      <c r="N36" s="1"/>
      <c r="O36" s="1"/>
      <c r="P36" s="1"/>
      <c r="Q36" s="1"/>
      <c r="R36" s="1"/>
      <c r="S36" s="1"/>
      <c r="T36" s="1"/>
      <c r="U36" s="1"/>
      <c r="V36" s="1"/>
      <c r="W36" s="1"/>
      <c r="X36" s="1"/>
      <c r="Y36" s="1"/>
      <c r="Z36" s="1"/>
    </row>
    <row r="37" spans="1:26" ht="12.75" customHeight="1" x14ac:dyDescent="0.2">
      <c r="A37" s="43" t="s">
        <v>542</v>
      </c>
      <c r="B37" s="43">
        <v>15</v>
      </c>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mergeCells count="10">
    <mergeCell ref="A1:L1"/>
    <mergeCell ref="A3:B3"/>
    <mergeCell ref="C3:D3"/>
    <mergeCell ref="E2:F2"/>
    <mergeCell ref="E3:F3"/>
    <mergeCell ref="G3:H3"/>
    <mergeCell ref="I3:J3"/>
    <mergeCell ref="K3:L3"/>
    <mergeCell ref="A2:B2"/>
    <mergeCell ref="C2:D2"/>
  </mergeCells>
  <pageMargins left="0.75" right="0.75" top="1" bottom="1" header="0.3" footer="0.3"/>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1002"/>
  <sheetViews>
    <sheetView workbookViewId="0">
      <pane xSplit="1" ySplit="4" topLeftCell="B17" activePane="bottomRight" state="frozen"/>
      <selection pane="topRight" activeCell="B1" sqref="B1"/>
      <selection pane="bottomLeft" activeCell="A5" sqref="A5"/>
      <selection pane="bottomRight" activeCell="E4" sqref="E4"/>
    </sheetView>
  </sheetViews>
  <sheetFormatPr defaultColWidth="17.28515625" defaultRowHeight="15" customHeight="1" x14ac:dyDescent="0.2"/>
  <cols>
    <col min="1" max="1" width="10.7109375" customWidth="1"/>
    <col min="2" max="3" width="11.7109375" customWidth="1"/>
    <col min="4" max="4" width="12.7109375" customWidth="1"/>
    <col min="5" max="5" width="10.28515625" customWidth="1"/>
    <col min="6" max="6" width="10.140625" customWidth="1"/>
    <col min="7" max="7" width="8.85546875" customWidth="1"/>
    <col min="8" max="8" width="10.7109375" customWidth="1"/>
    <col min="9" max="9" width="8.85546875" customWidth="1"/>
    <col min="10" max="10" width="9.28515625" customWidth="1"/>
    <col min="11" max="11" width="7.7109375" customWidth="1"/>
    <col min="12" max="12" width="12.140625" customWidth="1"/>
    <col min="13" max="22" width="11.42578125" customWidth="1"/>
    <col min="23" max="24" width="10" customWidth="1"/>
  </cols>
  <sheetData>
    <row r="1" spans="1:24" ht="12.75" customHeight="1" x14ac:dyDescent="0.2">
      <c r="A1" s="163" t="s">
        <v>295</v>
      </c>
      <c r="B1" s="162"/>
      <c r="C1" s="162"/>
      <c r="D1" s="162"/>
      <c r="E1" s="162"/>
      <c r="F1" s="162"/>
      <c r="G1" s="162"/>
      <c r="H1" s="162"/>
      <c r="I1" s="162"/>
      <c r="J1" s="162"/>
      <c r="K1" s="162"/>
      <c r="L1" s="160"/>
      <c r="M1" s="1"/>
      <c r="N1" s="1"/>
      <c r="O1" s="1"/>
      <c r="P1" s="1"/>
      <c r="Q1" s="1"/>
      <c r="R1" s="1"/>
      <c r="S1" s="1"/>
      <c r="T1" s="1"/>
      <c r="U1" s="1"/>
      <c r="V1" s="1"/>
      <c r="W1" s="1"/>
      <c r="X1" s="1"/>
    </row>
    <row r="2" spans="1:24" ht="12" customHeight="1" x14ac:dyDescent="0.2">
      <c r="A2" s="21" t="s">
        <v>103</v>
      </c>
      <c r="B2" s="22"/>
      <c r="C2" s="156" t="s">
        <v>296</v>
      </c>
      <c r="D2" s="167"/>
      <c r="E2" s="157" t="s">
        <v>504</v>
      </c>
      <c r="F2" s="164"/>
      <c r="G2" s="172"/>
      <c r="H2" s="162"/>
      <c r="I2" s="162"/>
      <c r="J2" s="162"/>
      <c r="K2" s="162"/>
      <c r="L2" s="160"/>
      <c r="M2" s="1"/>
      <c r="N2" s="1"/>
      <c r="O2" s="1"/>
      <c r="P2" s="1"/>
      <c r="Q2" s="1"/>
      <c r="R2" s="1"/>
      <c r="S2" s="1"/>
      <c r="T2" s="1"/>
      <c r="U2" s="1"/>
      <c r="V2" s="1"/>
      <c r="W2" s="1"/>
      <c r="X2" s="1"/>
    </row>
    <row r="3" spans="1:24" ht="12" customHeight="1" x14ac:dyDescent="0.2">
      <c r="A3" s="154" t="s">
        <v>101</v>
      </c>
      <c r="B3" s="160"/>
      <c r="C3" s="152" t="s">
        <v>40</v>
      </c>
      <c r="D3" s="167"/>
      <c r="E3" s="148" t="s">
        <v>43</v>
      </c>
      <c r="F3" s="164"/>
      <c r="G3" s="147" t="s">
        <v>107</v>
      </c>
      <c r="H3" s="160"/>
      <c r="I3" s="147" t="s">
        <v>30</v>
      </c>
      <c r="J3" s="160"/>
      <c r="K3" s="147" t="s">
        <v>108</v>
      </c>
      <c r="L3" s="160"/>
      <c r="M3" s="1"/>
      <c r="N3" s="1"/>
      <c r="O3" s="1"/>
      <c r="P3" s="1"/>
      <c r="Q3" s="1"/>
      <c r="R3" s="1"/>
      <c r="S3" s="1"/>
      <c r="T3" s="1"/>
      <c r="U3" s="1"/>
      <c r="V3" s="1"/>
      <c r="W3" s="1"/>
      <c r="X3" s="1"/>
    </row>
    <row r="4" spans="1:24" ht="12" customHeight="1" x14ac:dyDescent="0.2">
      <c r="A4" s="12"/>
      <c r="B4" s="12">
        <f>+B12+B13+B20+B21+B31+B32+B38+B39</f>
        <v>8691</v>
      </c>
      <c r="C4" s="78">
        <f>SUM(C12,C20,C31,C38,C39)</f>
        <v>2439</v>
      </c>
      <c r="D4" s="79">
        <f>IF((I4=0),"",(C4/I4))</f>
        <v>0.52508073196986005</v>
      </c>
      <c r="E4" s="63">
        <f>SUM(E12,E20,E31,E38,E39)</f>
        <v>2101</v>
      </c>
      <c r="F4" s="64">
        <f>IF((I4=0),"",(E4/I4))</f>
        <v>0.45231431646932185</v>
      </c>
      <c r="G4" s="12">
        <f>SUM(G12,G20,G31,G38,G39)</f>
        <v>105</v>
      </c>
      <c r="H4" s="13">
        <f>IF((I4=0),"",(G4/I4))</f>
        <v>2.2604951560818085E-2</v>
      </c>
      <c r="I4" s="12">
        <f>SUM(I12,I20,I31,I38,I39)</f>
        <v>4645</v>
      </c>
      <c r="J4" s="13">
        <f>IF((B4=0),"",(I4/B4))</f>
        <v>0.53446093660108163</v>
      </c>
      <c r="K4" s="12">
        <f>B4-I4</f>
        <v>4046</v>
      </c>
      <c r="L4" s="13">
        <f>IF((B4=0),"",(K4/B4))</f>
        <v>0.46553906339891843</v>
      </c>
      <c r="M4" s="1"/>
      <c r="N4" s="1"/>
      <c r="O4" s="1"/>
      <c r="P4" s="1"/>
      <c r="Q4" s="1"/>
      <c r="R4" s="1"/>
      <c r="S4" s="1"/>
      <c r="T4" s="1"/>
      <c r="U4" s="1"/>
      <c r="V4" s="1"/>
      <c r="W4" s="1"/>
      <c r="X4" s="1"/>
    </row>
    <row r="5" spans="1:24" ht="12" customHeight="1" x14ac:dyDescent="0.2">
      <c r="A5" s="14" t="s">
        <v>297</v>
      </c>
      <c r="B5" s="32" t="s">
        <v>298</v>
      </c>
      <c r="C5" s="86"/>
      <c r="D5" s="86"/>
      <c r="E5" s="90"/>
      <c r="F5" s="90"/>
      <c r="G5" s="16"/>
      <c r="H5" s="16"/>
      <c r="I5" s="16"/>
      <c r="J5" s="16"/>
      <c r="K5" s="16"/>
      <c r="L5" s="16"/>
      <c r="M5" s="1"/>
      <c r="N5" s="1"/>
      <c r="O5" s="1"/>
      <c r="P5" s="1"/>
      <c r="Q5" s="1"/>
      <c r="R5" s="1"/>
      <c r="S5" s="1"/>
      <c r="T5" s="1"/>
      <c r="U5" s="1"/>
      <c r="V5" s="1"/>
      <c r="W5" s="1"/>
      <c r="X5" s="1"/>
    </row>
    <row r="6" spans="1:24" ht="12" customHeight="1" x14ac:dyDescent="0.2">
      <c r="A6" s="15" t="s">
        <v>136</v>
      </c>
      <c r="B6" s="15">
        <v>490</v>
      </c>
      <c r="C6" s="81">
        <v>221</v>
      </c>
      <c r="D6" s="82">
        <f t="shared" ref="D6:D12" si="0">IF((I6=0),"",(C6/I6))</f>
        <v>0.52744630071599041</v>
      </c>
      <c r="E6" s="66">
        <v>162</v>
      </c>
      <c r="F6" s="67">
        <f t="shared" ref="F6:F12" si="1">IF((I6=0),"",(E6/I6))</f>
        <v>0.38663484486873506</v>
      </c>
      <c r="G6" s="15">
        <v>36</v>
      </c>
      <c r="H6" s="17">
        <v>0.36</v>
      </c>
      <c r="I6" s="15">
        <f t="shared" ref="I6:I11" si="2">SUM(C6,E6,G6)</f>
        <v>419</v>
      </c>
      <c r="J6" s="17">
        <f t="shared" ref="J6:J12" si="3">IF((B6=0),"",(I6/B6))</f>
        <v>0.85510204081632657</v>
      </c>
      <c r="K6" s="15">
        <f t="shared" ref="K6:K11" si="4">B6-I6</f>
        <v>71</v>
      </c>
      <c r="L6" s="17">
        <f t="shared" ref="L6:L12" si="5">IF((B6=0),"",(K6/B6))</f>
        <v>0.14489795918367346</v>
      </c>
      <c r="M6" s="1"/>
      <c r="N6" s="1"/>
      <c r="O6" s="1"/>
      <c r="P6" s="1"/>
      <c r="Q6" s="1"/>
      <c r="R6" s="1"/>
      <c r="S6" s="1"/>
      <c r="T6" s="1"/>
      <c r="U6" s="1"/>
      <c r="V6" s="1"/>
      <c r="W6" s="1"/>
      <c r="X6" s="1"/>
    </row>
    <row r="7" spans="1:24" ht="12" customHeight="1" x14ac:dyDescent="0.2">
      <c r="A7" s="15" t="s">
        <v>167</v>
      </c>
      <c r="B7" s="15">
        <v>415</v>
      </c>
      <c r="C7" s="81">
        <v>143</v>
      </c>
      <c r="D7" s="82">
        <f t="shared" si="0"/>
        <v>0.61637931034482762</v>
      </c>
      <c r="E7" s="66">
        <v>82</v>
      </c>
      <c r="F7" s="67">
        <f t="shared" si="1"/>
        <v>0.35344827586206895</v>
      </c>
      <c r="G7" s="15">
        <v>7</v>
      </c>
      <c r="H7" s="17">
        <f t="shared" ref="H7:H12" si="6">IF((I7=0),"",(G7/I7))</f>
        <v>3.017241379310345E-2</v>
      </c>
      <c r="I7" s="29">
        <f t="shared" si="2"/>
        <v>232</v>
      </c>
      <c r="J7" s="17">
        <f t="shared" si="3"/>
        <v>0.5590361445783133</v>
      </c>
      <c r="K7" s="29">
        <f t="shared" si="4"/>
        <v>183</v>
      </c>
      <c r="L7" s="17">
        <f t="shared" si="5"/>
        <v>0.44096385542168676</v>
      </c>
      <c r="M7" s="1"/>
      <c r="N7" s="1"/>
      <c r="O7" s="1"/>
      <c r="P7" s="1"/>
      <c r="Q7" s="1"/>
      <c r="R7" s="1"/>
      <c r="S7" s="1"/>
      <c r="T7" s="1"/>
      <c r="U7" s="1"/>
      <c r="V7" s="1"/>
      <c r="W7" s="1"/>
      <c r="X7" s="1"/>
    </row>
    <row r="8" spans="1:24" ht="12" customHeight="1" x14ac:dyDescent="0.2">
      <c r="A8" s="15" t="s">
        <v>215</v>
      </c>
      <c r="B8" s="15">
        <v>410</v>
      </c>
      <c r="C8" s="81">
        <v>147</v>
      </c>
      <c r="D8" s="82">
        <f t="shared" si="0"/>
        <v>0.64192139737991272</v>
      </c>
      <c r="E8" s="66">
        <v>80</v>
      </c>
      <c r="F8" s="67">
        <f t="shared" si="1"/>
        <v>0.34934497816593885</v>
      </c>
      <c r="G8" s="15">
        <v>2</v>
      </c>
      <c r="H8" s="17">
        <f t="shared" si="6"/>
        <v>8.7336244541484712E-3</v>
      </c>
      <c r="I8" s="29">
        <f t="shared" si="2"/>
        <v>229</v>
      </c>
      <c r="J8" s="17">
        <f t="shared" si="3"/>
        <v>0.55853658536585371</v>
      </c>
      <c r="K8" s="29">
        <f t="shared" si="4"/>
        <v>181</v>
      </c>
      <c r="L8" s="17">
        <f t="shared" si="5"/>
        <v>0.44146341463414634</v>
      </c>
      <c r="M8" s="1"/>
      <c r="N8" s="1"/>
      <c r="O8" s="1"/>
      <c r="P8" s="1"/>
      <c r="Q8" s="1"/>
      <c r="R8" s="1"/>
      <c r="S8" s="1"/>
      <c r="T8" s="1"/>
      <c r="U8" s="1"/>
      <c r="V8" s="1"/>
      <c r="W8" s="1"/>
      <c r="X8" s="1"/>
    </row>
    <row r="9" spans="1:24" ht="12" customHeight="1" x14ac:dyDescent="0.2">
      <c r="A9" s="15" t="s">
        <v>139</v>
      </c>
      <c r="B9" s="15">
        <v>321</v>
      </c>
      <c r="C9" s="81">
        <v>100</v>
      </c>
      <c r="D9" s="82">
        <f t="shared" si="0"/>
        <v>0.59880239520958078</v>
      </c>
      <c r="E9" s="66">
        <v>64</v>
      </c>
      <c r="F9" s="67">
        <f t="shared" si="1"/>
        <v>0.38323353293413176</v>
      </c>
      <c r="G9" s="15">
        <v>3</v>
      </c>
      <c r="H9" s="17">
        <f t="shared" si="6"/>
        <v>1.7964071856287425E-2</v>
      </c>
      <c r="I9" s="29">
        <f t="shared" si="2"/>
        <v>167</v>
      </c>
      <c r="J9" s="17">
        <f t="shared" si="3"/>
        <v>0.52024922118380057</v>
      </c>
      <c r="K9" s="29">
        <f t="shared" si="4"/>
        <v>154</v>
      </c>
      <c r="L9" s="17">
        <f t="shared" si="5"/>
        <v>0.47975077881619937</v>
      </c>
      <c r="M9" s="1"/>
      <c r="N9" s="1"/>
      <c r="O9" s="1"/>
      <c r="P9" s="1"/>
      <c r="Q9" s="1"/>
      <c r="R9" s="1"/>
      <c r="S9" s="1"/>
      <c r="T9" s="1"/>
      <c r="U9" s="1"/>
      <c r="V9" s="1"/>
      <c r="W9" s="1"/>
      <c r="X9" s="1"/>
    </row>
    <row r="10" spans="1:24" ht="12" customHeight="1" x14ac:dyDescent="0.2">
      <c r="A10" s="15" t="s">
        <v>505</v>
      </c>
      <c r="B10" s="15">
        <v>143</v>
      </c>
      <c r="C10" s="81">
        <v>30</v>
      </c>
      <c r="D10" s="82">
        <f t="shared" si="0"/>
        <v>0.42253521126760563</v>
      </c>
      <c r="E10" s="66">
        <v>39</v>
      </c>
      <c r="F10" s="67">
        <f t="shared" si="1"/>
        <v>0.54929577464788737</v>
      </c>
      <c r="G10" s="15">
        <v>2</v>
      </c>
      <c r="H10" s="17">
        <f t="shared" si="6"/>
        <v>2.8169014084507043E-2</v>
      </c>
      <c r="I10" s="29">
        <f t="shared" si="2"/>
        <v>71</v>
      </c>
      <c r="J10" s="17">
        <f t="shared" si="3"/>
        <v>0.49650349650349651</v>
      </c>
      <c r="K10" s="29">
        <f t="shared" si="4"/>
        <v>72</v>
      </c>
      <c r="L10" s="17">
        <f t="shared" si="5"/>
        <v>0.50349650349650354</v>
      </c>
      <c r="M10" s="1"/>
      <c r="N10" s="1"/>
      <c r="O10" s="1"/>
      <c r="P10" s="1"/>
      <c r="Q10" s="1"/>
      <c r="R10" s="1"/>
      <c r="S10" s="1"/>
      <c r="T10" s="1"/>
      <c r="U10" s="1"/>
      <c r="V10" s="1"/>
      <c r="W10" s="1"/>
      <c r="X10" s="1"/>
    </row>
    <row r="11" spans="1:24" ht="12" customHeight="1" x14ac:dyDescent="0.2">
      <c r="A11" s="15" t="s">
        <v>173</v>
      </c>
      <c r="B11" s="15">
        <v>431</v>
      </c>
      <c r="C11" s="81">
        <v>125</v>
      </c>
      <c r="D11" s="82">
        <f t="shared" si="0"/>
        <v>0.57870370370370372</v>
      </c>
      <c r="E11" s="66">
        <v>89</v>
      </c>
      <c r="F11" s="67">
        <f t="shared" si="1"/>
        <v>0.41203703703703703</v>
      </c>
      <c r="G11" s="15">
        <v>2</v>
      </c>
      <c r="H11" s="17">
        <f t="shared" si="6"/>
        <v>9.2592592592592587E-3</v>
      </c>
      <c r="I11" s="29">
        <f t="shared" si="2"/>
        <v>216</v>
      </c>
      <c r="J11" s="17">
        <f t="shared" si="3"/>
        <v>0.50116009280742457</v>
      </c>
      <c r="K11" s="29">
        <f t="shared" si="4"/>
        <v>215</v>
      </c>
      <c r="L11" s="17">
        <f t="shared" si="5"/>
        <v>0.49883990719257543</v>
      </c>
      <c r="M11" s="1"/>
      <c r="N11" s="1"/>
      <c r="O11" s="1"/>
      <c r="P11" s="1"/>
      <c r="Q11" s="1"/>
      <c r="R11" s="1"/>
      <c r="S11" s="1"/>
      <c r="T11" s="1"/>
      <c r="U11" s="1"/>
      <c r="V11" s="1"/>
      <c r="W11" s="1"/>
      <c r="X11" s="1"/>
    </row>
    <row r="12" spans="1:24" ht="12" customHeight="1" x14ac:dyDescent="0.2">
      <c r="A12" s="12" t="s">
        <v>120</v>
      </c>
      <c r="B12" s="12">
        <f>SUM(B6:B11)</f>
        <v>2210</v>
      </c>
      <c r="C12" s="78">
        <f>SUM(C6:C11)</f>
        <v>766</v>
      </c>
      <c r="D12" s="79">
        <f t="shared" si="0"/>
        <v>0.57421289355322336</v>
      </c>
      <c r="E12" s="63">
        <f>SUM(E6:E11)</f>
        <v>516</v>
      </c>
      <c r="F12" s="64">
        <f t="shared" si="1"/>
        <v>0.38680659670164919</v>
      </c>
      <c r="G12" s="12">
        <f>SUM(G6:G11)</f>
        <v>52</v>
      </c>
      <c r="H12" s="13">
        <f t="shared" si="6"/>
        <v>3.8980509745127435E-2</v>
      </c>
      <c r="I12" s="12">
        <f>SUM(I6:I11)</f>
        <v>1334</v>
      </c>
      <c r="J12" s="13">
        <f t="shared" si="3"/>
        <v>0.60361990950226241</v>
      </c>
      <c r="K12" s="12">
        <f>SUM(K6:K11)</f>
        <v>876</v>
      </c>
      <c r="L12" s="13">
        <f t="shared" si="5"/>
        <v>0.39638009049773754</v>
      </c>
      <c r="M12" s="1"/>
      <c r="N12" s="1"/>
      <c r="O12" s="1"/>
      <c r="P12" s="1"/>
      <c r="Q12" s="1"/>
      <c r="R12" s="1"/>
      <c r="S12" s="1"/>
      <c r="T12" s="1"/>
      <c r="U12" s="1"/>
      <c r="V12" s="1"/>
      <c r="W12" s="1"/>
      <c r="X12" s="1"/>
    </row>
    <row r="13" spans="1:24" s="52" customFormat="1" ht="12" customHeight="1" x14ac:dyDescent="0.2">
      <c r="A13" s="32" t="s">
        <v>542</v>
      </c>
      <c r="B13" s="32">
        <v>10</v>
      </c>
      <c r="C13" s="78"/>
      <c r="D13" s="79"/>
      <c r="E13" s="63"/>
      <c r="F13" s="64"/>
      <c r="G13" s="32"/>
      <c r="H13" s="28"/>
      <c r="I13" s="32"/>
      <c r="J13" s="28"/>
      <c r="K13" s="32"/>
      <c r="L13" s="28"/>
      <c r="M13" s="1"/>
      <c r="N13" s="1"/>
      <c r="O13" s="1"/>
      <c r="P13" s="1"/>
      <c r="Q13" s="1"/>
      <c r="R13" s="1"/>
      <c r="S13" s="1"/>
      <c r="T13" s="1"/>
      <c r="U13" s="1"/>
      <c r="V13" s="1"/>
      <c r="W13" s="1"/>
      <c r="X13" s="1"/>
    </row>
    <row r="14" spans="1:24" ht="12" customHeight="1" x14ac:dyDescent="0.2">
      <c r="A14" s="14" t="s">
        <v>300</v>
      </c>
      <c r="B14" s="32" t="s">
        <v>301</v>
      </c>
      <c r="C14" s="86"/>
      <c r="D14" s="86"/>
      <c r="E14" s="90"/>
      <c r="F14" s="90"/>
      <c r="G14" s="16"/>
      <c r="H14" s="16"/>
      <c r="I14" s="16"/>
      <c r="J14" s="16"/>
      <c r="K14" s="16"/>
      <c r="L14" s="16"/>
      <c r="M14" s="1"/>
      <c r="N14" s="1"/>
      <c r="O14" s="1"/>
      <c r="P14" s="1"/>
      <c r="Q14" s="1"/>
      <c r="R14" s="1"/>
      <c r="S14" s="1"/>
      <c r="T14" s="1"/>
      <c r="U14" s="1"/>
      <c r="V14" s="1"/>
      <c r="W14" s="1"/>
      <c r="X14" s="1"/>
    </row>
    <row r="15" spans="1:24" ht="12" customHeight="1" x14ac:dyDescent="0.2">
      <c r="A15" s="15" t="s">
        <v>125</v>
      </c>
      <c r="B15" s="15">
        <v>399</v>
      </c>
      <c r="C15" s="81">
        <v>110</v>
      </c>
      <c r="D15" s="82">
        <f t="shared" ref="D15:D20" si="7">IF((I15=0),"",(C15/I15))</f>
        <v>0.59782608695652173</v>
      </c>
      <c r="E15" s="66">
        <v>72</v>
      </c>
      <c r="F15" s="67">
        <f t="shared" ref="F15:F20" si="8">IF((I15=0),"",(E15/I15))</f>
        <v>0.39130434782608697</v>
      </c>
      <c r="G15" s="15">
        <v>2</v>
      </c>
      <c r="H15" s="17">
        <f t="shared" ref="H15:H20" si="9">IF((I15=0),"",(G15/I15))</f>
        <v>1.0869565217391304E-2</v>
      </c>
      <c r="I15" s="29">
        <f>SUM(C15,E15,G15)</f>
        <v>184</v>
      </c>
      <c r="J15" s="17">
        <f t="shared" ref="J15:J20" si="10">IF((B15=0),"",(I15/B15))</f>
        <v>0.46115288220551376</v>
      </c>
      <c r="K15" s="29">
        <f>B15-I15</f>
        <v>215</v>
      </c>
      <c r="L15" s="17">
        <f t="shared" ref="L15:L20" si="11">IF((B15=0),"",(K15/B15))</f>
        <v>0.53884711779448624</v>
      </c>
      <c r="M15" s="1"/>
      <c r="N15" s="1"/>
      <c r="O15" s="1"/>
      <c r="P15" s="1"/>
      <c r="Q15" s="1"/>
      <c r="R15" s="1"/>
      <c r="S15" s="1"/>
      <c r="T15" s="1"/>
      <c r="U15" s="1"/>
      <c r="V15" s="1"/>
      <c r="W15" s="1"/>
      <c r="X15" s="1"/>
    </row>
    <row r="16" spans="1:24" ht="12" customHeight="1" x14ac:dyDescent="0.2">
      <c r="A16" s="15" t="s">
        <v>230</v>
      </c>
      <c r="B16" s="15">
        <v>378</v>
      </c>
      <c r="C16" s="81">
        <v>86</v>
      </c>
      <c r="D16" s="82">
        <f t="shared" si="7"/>
        <v>0.48044692737430167</v>
      </c>
      <c r="E16" s="66">
        <v>89</v>
      </c>
      <c r="F16" s="67">
        <f t="shared" si="8"/>
        <v>0.4972067039106145</v>
      </c>
      <c r="G16" s="15">
        <v>4</v>
      </c>
      <c r="H16" s="17">
        <f t="shared" si="9"/>
        <v>2.23463687150838E-2</v>
      </c>
      <c r="I16" s="29">
        <f>SUM(C16,E16,G16)</f>
        <v>179</v>
      </c>
      <c r="J16" s="17">
        <f t="shared" si="10"/>
        <v>0.47354497354497355</v>
      </c>
      <c r="K16" s="29">
        <f>B16-I16</f>
        <v>199</v>
      </c>
      <c r="L16" s="17">
        <f t="shared" si="11"/>
        <v>0.52645502645502651</v>
      </c>
      <c r="M16" s="1"/>
      <c r="N16" s="1"/>
      <c r="O16" s="1"/>
      <c r="P16" s="1"/>
      <c r="Q16" s="1"/>
      <c r="R16" s="1"/>
      <c r="S16" s="1"/>
      <c r="T16" s="1"/>
      <c r="U16" s="1"/>
      <c r="V16" s="1"/>
      <c r="W16" s="1"/>
      <c r="X16" s="1"/>
    </row>
    <row r="17" spans="1:24" ht="12" customHeight="1" x14ac:dyDescent="0.2">
      <c r="A17" s="15" t="s">
        <v>204</v>
      </c>
      <c r="B17" s="15">
        <v>338</v>
      </c>
      <c r="C17" s="81">
        <v>116</v>
      </c>
      <c r="D17" s="82">
        <f t="shared" si="7"/>
        <v>0.70731707317073167</v>
      </c>
      <c r="E17" s="66">
        <v>46</v>
      </c>
      <c r="F17" s="67">
        <f t="shared" si="8"/>
        <v>0.28048780487804881</v>
      </c>
      <c r="G17" s="15">
        <v>2</v>
      </c>
      <c r="H17" s="17">
        <f t="shared" si="9"/>
        <v>1.2195121951219513E-2</v>
      </c>
      <c r="I17" s="29">
        <f>SUM(C17,E17,G17)</f>
        <v>164</v>
      </c>
      <c r="J17" s="17">
        <f t="shared" si="10"/>
        <v>0.48520710059171596</v>
      </c>
      <c r="K17" s="29">
        <f>B17-I17</f>
        <v>174</v>
      </c>
      <c r="L17" s="17">
        <f t="shared" si="11"/>
        <v>0.51479289940828399</v>
      </c>
      <c r="M17" s="1"/>
      <c r="N17" s="1"/>
      <c r="O17" s="1"/>
      <c r="P17" s="1"/>
      <c r="Q17" s="1"/>
      <c r="R17" s="1"/>
      <c r="S17" s="1"/>
      <c r="T17" s="1"/>
      <c r="U17" s="1"/>
      <c r="V17" s="1"/>
      <c r="W17" s="1"/>
      <c r="X17" s="1"/>
    </row>
    <row r="18" spans="1:24" ht="12" customHeight="1" x14ac:dyDescent="0.2">
      <c r="A18" s="15" t="s">
        <v>299</v>
      </c>
      <c r="B18" s="15">
        <v>312</v>
      </c>
      <c r="C18" s="81">
        <v>87</v>
      </c>
      <c r="D18" s="82">
        <f t="shared" si="7"/>
        <v>0.6</v>
      </c>
      <c r="E18" s="66">
        <v>55</v>
      </c>
      <c r="F18" s="67">
        <f t="shared" si="8"/>
        <v>0.37931034482758619</v>
      </c>
      <c r="G18" s="15">
        <v>3</v>
      </c>
      <c r="H18" s="17">
        <f t="shared" si="9"/>
        <v>2.0689655172413793E-2</v>
      </c>
      <c r="I18" s="29">
        <f>SUM(C18,E18,G18)</f>
        <v>145</v>
      </c>
      <c r="J18" s="17">
        <f t="shared" si="10"/>
        <v>0.46474358974358976</v>
      </c>
      <c r="K18" s="29">
        <f>B18-I18</f>
        <v>167</v>
      </c>
      <c r="L18" s="17">
        <f t="shared" si="11"/>
        <v>0.53525641025641024</v>
      </c>
      <c r="M18" s="1"/>
      <c r="N18" s="1"/>
      <c r="O18" s="1"/>
      <c r="P18" s="1"/>
      <c r="Q18" s="1"/>
      <c r="R18" s="1"/>
      <c r="S18" s="1"/>
      <c r="T18" s="1"/>
      <c r="U18" s="1"/>
      <c r="V18" s="1"/>
      <c r="W18" s="1"/>
      <c r="X18" s="1"/>
    </row>
    <row r="19" spans="1:24" ht="12" customHeight="1" x14ac:dyDescent="0.2">
      <c r="A19" s="15" t="s">
        <v>173</v>
      </c>
      <c r="B19" s="15">
        <v>230</v>
      </c>
      <c r="C19" s="81">
        <v>50</v>
      </c>
      <c r="D19" s="82">
        <f t="shared" si="7"/>
        <v>0.46728971962616822</v>
      </c>
      <c r="E19" s="66">
        <v>55</v>
      </c>
      <c r="F19" s="67">
        <f t="shared" si="8"/>
        <v>0.51401869158878499</v>
      </c>
      <c r="G19" s="15">
        <v>2</v>
      </c>
      <c r="H19" s="17">
        <f t="shared" si="9"/>
        <v>1.8691588785046728E-2</v>
      </c>
      <c r="I19" s="29">
        <f>SUM(C19,E19,G19)</f>
        <v>107</v>
      </c>
      <c r="J19" s="17">
        <f t="shared" si="10"/>
        <v>0.4652173913043478</v>
      </c>
      <c r="K19" s="29">
        <f>B19-I19</f>
        <v>123</v>
      </c>
      <c r="L19" s="17">
        <f t="shared" si="11"/>
        <v>0.5347826086956522</v>
      </c>
      <c r="M19" s="1"/>
      <c r="N19" s="1"/>
      <c r="O19" s="1"/>
      <c r="P19" s="1"/>
      <c r="Q19" s="1"/>
      <c r="R19" s="1"/>
      <c r="S19" s="1"/>
      <c r="T19" s="1"/>
      <c r="U19" s="1"/>
      <c r="V19" s="1"/>
      <c r="W19" s="1"/>
      <c r="X19" s="1"/>
    </row>
    <row r="20" spans="1:24" ht="12" customHeight="1" x14ac:dyDescent="0.2">
      <c r="A20" s="12" t="s">
        <v>120</v>
      </c>
      <c r="B20" s="12">
        <f>SUM(B15:B19)</f>
        <v>1657</v>
      </c>
      <c r="C20" s="78">
        <f>SUM(C15:C19)</f>
        <v>449</v>
      </c>
      <c r="D20" s="79">
        <f t="shared" si="7"/>
        <v>0.57637997432605903</v>
      </c>
      <c r="E20" s="63">
        <f>SUM(E15:E19)</f>
        <v>317</v>
      </c>
      <c r="F20" s="64">
        <f t="shared" si="8"/>
        <v>0.40693196405648269</v>
      </c>
      <c r="G20" s="12">
        <f>SUM(G15:G19)</f>
        <v>13</v>
      </c>
      <c r="H20" s="13">
        <f t="shared" si="9"/>
        <v>1.668806161745828E-2</v>
      </c>
      <c r="I20" s="12">
        <f>SUM(I15:I19)</f>
        <v>779</v>
      </c>
      <c r="J20" s="13">
        <f t="shared" si="10"/>
        <v>0.47012673506336755</v>
      </c>
      <c r="K20" s="12">
        <f>SUM(K15:K19)</f>
        <v>878</v>
      </c>
      <c r="L20" s="13">
        <f t="shared" si="11"/>
        <v>0.52987326493663245</v>
      </c>
      <c r="M20" s="1"/>
      <c r="N20" s="1"/>
      <c r="O20" s="1"/>
      <c r="P20" s="1"/>
      <c r="Q20" s="1"/>
      <c r="R20" s="1"/>
      <c r="S20" s="1"/>
      <c r="T20" s="1"/>
      <c r="U20" s="1"/>
      <c r="V20" s="1"/>
      <c r="W20" s="1"/>
      <c r="X20" s="1"/>
    </row>
    <row r="21" spans="1:24" s="52" customFormat="1" ht="12" customHeight="1" x14ac:dyDescent="0.2">
      <c r="A21" s="32" t="s">
        <v>542</v>
      </c>
      <c r="B21" s="32">
        <v>12</v>
      </c>
      <c r="C21" s="78"/>
      <c r="D21" s="79"/>
      <c r="E21" s="63"/>
      <c r="F21" s="64"/>
      <c r="G21" s="32"/>
      <c r="H21" s="28"/>
      <c r="I21" s="32"/>
      <c r="J21" s="28"/>
      <c r="K21" s="32"/>
      <c r="L21" s="28"/>
      <c r="M21" s="1"/>
      <c r="N21" s="1"/>
      <c r="O21" s="1"/>
      <c r="P21" s="1"/>
      <c r="Q21" s="1"/>
      <c r="R21" s="1"/>
      <c r="S21" s="1"/>
      <c r="T21" s="1"/>
      <c r="U21" s="1"/>
      <c r="V21" s="1"/>
      <c r="W21" s="1"/>
      <c r="X21" s="1"/>
    </row>
    <row r="22" spans="1:24" ht="12" customHeight="1" x14ac:dyDescent="0.2">
      <c r="A22" s="14" t="s">
        <v>302</v>
      </c>
      <c r="B22" s="32" t="s">
        <v>303</v>
      </c>
      <c r="C22" s="86"/>
      <c r="D22" s="86"/>
      <c r="E22" s="90"/>
      <c r="F22" s="90"/>
      <c r="G22" s="16"/>
      <c r="H22" s="16"/>
      <c r="I22" s="16"/>
      <c r="J22" s="16"/>
      <c r="K22" s="16"/>
      <c r="L22" s="16"/>
      <c r="M22" s="1"/>
      <c r="N22" s="1"/>
      <c r="O22" s="1"/>
      <c r="P22" s="1"/>
      <c r="Q22" s="1"/>
      <c r="R22" s="1"/>
      <c r="S22" s="1"/>
      <c r="T22" s="1"/>
      <c r="U22" s="1"/>
      <c r="V22" s="1"/>
      <c r="W22" s="1"/>
      <c r="X22" s="1"/>
    </row>
    <row r="23" spans="1:24" ht="12" customHeight="1" x14ac:dyDescent="0.2">
      <c r="A23" s="15" t="s">
        <v>111</v>
      </c>
      <c r="B23" s="15">
        <v>391</v>
      </c>
      <c r="C23" s="81">
        <v>88</v>
      </c>
      <c r="D23" s="82">
        <f t="shared" ref="D23:D31" si="12">IF((I23=0),"",(C23/I23))</f>
        <v>0.42307692307692307</v>
      </c>
      <c r="E23" s="66">
        <v>118</v>
      </c>
      <c r="F23" s="67">
        <f t="shared" ref="F23:F31" si="13">IF((I23=0),"",(E23/I23))</f>
        <v>0.56730769230769229</v>
      </c>
      <c r="G23" s="15">
        <v>2</v>
      </c>
      <c r="H23" s="17">
        <f t="shared" ref="H23:H31" si="14">IF((I23=0),"",(G23/I23))</f>
        <v>9.6153846153846159E-3</v>
      </c>
      <c r="I23" s="29">
        <f t="shared" ref="I23:I30" si="15">SUM(C23,E23,G23)</f>
        <v>208</v>
      </c>
      <c r="J23" s="17">
        <f t="shared" ref="J23:J31" si="16">IF((B23=0),"",(I23/B23))</f>
        <v>0.53196930946291565</v>
      </c>
      <c r="K23" s="29">
        <f t="shared" ref="K23:K30" si="17">B23-I23</f>
        <v>183</v>
      </c>
      <c r="L23" s="17">
        <f t="shared" ref="L23:L31" si="18">IF((B23=0),"",(K23/B23))</f>
        <v>0.4680306905370844</v>
      </c>
      <c r="M23" s="1"/>
      <c r="N23" s="1"/>
      <c r="O23" s="1"/>
      <c r="P23" s="1"/>
      <c r="Q23" s="1"/>
      <c r="R23" s="1"/>
      <c r="S23" s="1"/>
      <c r="T23" s="1"/>
      <c r="U23" s="1"/>
      <c r="V23" s="1"/>
      <c r="W23" s="1"/>
      <c r="X23" s="1"/>
    </row>
    <row r="24" spans="1:24" ht="12" customHeight="1" x14ac:dyDescent="0.2">
      <c r="A24" s="15" t="s">
        <v>112</v>
      </c>
      <c r="B24" s="15">
        <v>428</v>
      </c>
      <c r="C24" s="81">
        <v>98</v>
      </c>
      <c r="D24" s="82">
        <f t="shared" si="12"/>
        <v>0.45161290322580644</v>
      </c>
      <c r="E24" s="66">
        <v>117</v>
      </c>
      <c r="F24" s="67">
        <f t="shared" si="13"/>
        <v>0.53917050691244239</v>
      </c>
      <c r="G24" s="15">
        <v>2</v>
      </c>
      <c r="H24" s="17">
        <f t="shared" si="14"/>
        <v>9.2165898617511521E-3</v>
      </c>
      <c r="I24" s="29">
        <f t="shared" si="15"/>
        <v>217</v>
      </c>
      <c r="J24" s="17">
        <f t="shared" si="16"/>
        <v>0.5070093457943925</v>
      </c>
      <c r="K24" s="29">
        <f t="shared" si="17"/>
        <v>211</v>
      </c>
      <c r="L24" s="17">
        <f t="shared" si="18"/>
        <v>0.4929906542056075</v>
      </c>
      <c r="M24" s="1"/>
      <c r="N24" s="1"/>
      <c r="O24" s="1"/>
      <c r="P24" s="1"/>
      <c r="Q24" s="1"/>
      <c r="R24" s="1"/>
      <c r="S24" s="1"/>
      <c r="T24" s="1"/>
      <c r="U24" s="1"/>
      <c r="V24" s="1"/>
      <c r="W24" s="1"/>
      <c r="X24" s="1"/>
    </row>
    <row r="25" spans="1:24" ht="12" customHeight="1" x14ac:dyDescent="0.2">
      <c r="A25" s="15" t="s">
        <v>113</v>
      </c>
      <c r="B25" s="15">
        <v>394</v>
      </c>
      <c r="C25" s="81">
        <v>104</v>
      </c>
      <c r="D25" s="82">
        <f t="shared" si="12"/>
        <v>0.49523809523809526</v>
      </c>
      <c r="E25" s="66">
        <v>104</v>
      </c>
      <c r="F25" s="67">
        <f t="shared" si="13"/>
        <v>0.49523809523809526</v>
      </c>
      <c r="G25" s="15">
        <v>2</v>
      </c>
      <c r="H25" s="17">
        <f t="shared" si="14"/>
        <v>9.5238095238095247E-3</v>
      </c>
      <c r="I25" s="29">
        <f t="shared" si="15"/>
        <v>210</v>
      </c>
      <c r="J25" s="17">
        <f t="shared" si="16"/>
        <v>0.53299492385786806</v>
      </c>
      <c r="K25" s="29">
        <f t="shared" si="17"/>
        <v>184</v>
      </c>
      <c r="L25" s="17">
        <f t="shared" si="18"/>
        <v>0.46700507614213199</v>
      </c>
      <c r="M25" s="1"/>
      <c r="N25" s="1"/>
      <c r="O25" s="1"/>
      <c r="P25" s="1"/>
      <c r="Q25" s="1"/>
      <c r="R25" s="1"/>
      <c r="S25" s="1"/>
      <c r="T25" s="1"/>
      <c r="U25" s="1"/>
      <c r="V25" s="1"/>
      <c r="W25" s="1"/>
      <c r="X25" s="1"/>
    </row>
    <row r="26" spans="1:24" ht="12" customHeight="1" x14ac:dyDescent="0.2">
      <c r="A26" s="15" t="s">
        <v>506</v>
      </c>
      <c r="B26" s="15">
        <v>466</v>
      </c>
      <c r="C26" s="81">
        <v>145</v>
      </c>
      <c r="D26" s="82">
        <f t="shared" si="12"/>
        <v>0.51971326164874554</v>
      </c>
      <c r="E26" s="66">
        <v>126</v>
      </c>
      <c r="F26" s="67">
        <f t="shared" si="13"/>
        <v>0.45161290322580644</v>
      </c>
      <c r="G26" s="15">
        <v>8</v>
      </c>
      <c r="H26" s="17">
        <f t="shared" si="14"/>
        <v>2.8673835125448029E-2</v>
      </c>
      <c r="I26" s="29">
        <f t="shared" si="15"/>
        <v>279</v>
      </c>
      <c r="J26" s="17">
        <f t="shared" si="16"/>
        <v>0.59871244635193133</v>
      </c>
      <c r="K26" s="29">
        <f t="shared" si="17"/>
        <v>187</v>
      </c>
      <c r="L26" s="17">
        <f t="shared" si="18"/>
        <v>0.40128755364806867</v>
      </c>
      <c r="M26" s="1"/>
      <c r="N26" s="1"/>
      <c r="O26" s="1"/>
      <c r="P26" s="1"/>
      <c r="Q26" s="1"/>
      <c r="R26" s="1"/>
      <c r="S26" s="1"/>
      <c r="T26" s="1"/>
      <c r="U26" s="1"/>
      <c r="V26" s="1"/>
      <c r="W26" s="1"/>
      <c r="X26" s="1"/>
    </row>
    <row r="27" spans="1:24" ht="12" customHeight="1" x14ac:dyDescent="0.2">
      <c r="A27" s="15" t="s">
        <v>507</v>
      </c>
      <c r="B27" s="15">
        <v>444</v>
      </c>
      <c r="C27" s="81">
        <v>134</v>
      </c>
      <c r="D27" s="82">
        <f t="shared" si="12"/>
        <v>0.55601659751037347</v>
      </c>
      <c r="E27" s="66">
        <v>104</v>
      </c>
      <c r="F27" s="67">
        <f t="shared" si="13"/>
        <v>0.43153526970954359</v>
      </c>
      <c r="G27" s="15">
        <v>3</v>
      </c>
      <c r="H27" s="17">
        <f t="shared" si="14"/>
        <v>1.2448132780082987E-2</v>
      </c>
      <c r="I27" s="29">
        <f t="shared" si="15"/>
        <v>241</v>
      </c>
      <c r="J27" s="17">
        <f t="shared" si="16"/>
        <v>0.5427927927927928</v>
      </c>
      <c r="K27" s="29">
        <f t="shared" si="17"/>
        <v>203</v>
      </c>
      <c r="L27" s="17">
        <f t="shared" si="18"/>
        <v>0.4572072072072072</v>
      </c>
      <c r="M27" s="1"/>
      <c r="N27" s="1"/>
      <c r="O27" s="1"/>
      <c r="P27" s="1"/>
      <c r="Q27" s="1"/>
      <c r="R27" s="1"/>
      <c r="S27" s="1"/>
      <c r="T27" s="1"/>
      <c r="U27" s="1"/>
      <c r="V27" s="1"/>
      <c r="W27" s="1"/>
      <c r="X27" s="1"/>
    </row>
    <row r="28" spans="1:24" ht="12" customHeight="1" x14ac:dyDescent="0.2">
      <c r="A28" s="15" t="s">
        <v>200</v>
      </c>
      <c r="B28" s="15">
        <v>387</v>
      </c>
      <c r="C28" s="81">
        <v>94</v>
      </c>
      <c r="D28" s="82">
        <f t="shared" si="12"/>
        <v>0.46078431372549017</v>
      </c>
      <c r="E28" s="66">
        <v>106</v>
      </c>
      <c r="F28" s="67">
        <f t="shared" si="13"/>
        <v>0.51960784313725494</v>
      </c>
      <c r="G28" s="15">
        <v>4</v>
      </c>
      <c r="H28" s="17">
        <f t="shared" si="14"/>
        <v>1.9607843137254902E-2</v>
      </c>
      <c r="I28" s="29">
        <f t="shared" si="15"/>
        <v>204</v>
      </c>
      <c r="J28" s="17">
        <f t="shared" si="16"/>
        <v>0.52713178294573648</v>
      </c>
      <c r="K28" s="29">
        <f t="shared" si="17"/>
        <v>183</v>
      </c>
      <c r="L28" s="17">
        <f t="shared" si="18"/>
        <v>0.47286821705426357</v>
      </c>
      <c r="M28" s="1"/>
      <c r="N28" s="1"/>
      <c r="O28" s="1"/>
      <c r="P28" s="1"/>
      <c r="Q28" s="1"/>
      <c r="R28" s="1"/>
      <c r="S28" s="1"/>
      <c r="T28" s="1"/>
      <c r="U28" s="1"/>
      <c r="V28" s="1"/>
      <c r="W28" s="1"/>
      <c r="X28" s="1"/>
    </row>
    <row r="29" spans="1:24" ht="12" customHeight="1" x14ac:dyDescent="0.2">
      <c r="A29" s="15" t="s">
        <v>413</v>
      </c>
      <c r="B29" s="15">
        <v>372</v>
      </c>
      <c r="C29" s="81">
        <v>95</v>
      </c>
      <c r="D29" s="82">
        <f t="shared" si="12"/>
        <v>0.47263681592039802</v>
      </c>
      <c r="E29" s="66">
        <v>97</v>
      </c>
      <c r="F29" s="67">
        <f t="shared" si="13"/>
        <v>0.48258706467661694</v>
      </c>
      <c r="G29" s="15">
        <v>9</v>
      </c>
      <c r="H29" s="17">
        <f t="shared" si="14"/>
        <v>4.4776119402985072E-2</v>
      </c>
      <c r="I29" s="29">
        <f t="shared" si="15"/>
        <v>201</v>
      </c>
      <c r="J29" s="17">
        <f t="shared" si="16"/>
        <v>0.54032258064516125</v>
      </c>
      <c r="K29" s="29">
        <f t="shared" si="17"/>
        <v>171</v>
      </c>
      <c r="L29" s="17">
        <f t="shared" si="18"/>
        <v>0.45967741935483869</v>
      </c>
      <c r="M29" s="1"/>
      <c r="N29" s="1"/>
      <c r="O29" s="1"/>
      <c r="P29" s="1"/>
      <c r="Q29" s="1"/>
      <c r="R29" s="1"/>
      <c r="S29" s="1"/>
      <c r="T29" s="1"/>
      <c r="U29" s="1"/>
      <c r="V29" s="1"/>
      <c r="W29" s="1"/>
      <c r="X29" s="1"/>
    </row>
    <row r="30" spans="1:24" ht="12" customHeight="1" x14ac:dyDescent="0.2">
      <c r="A30" s="15" t="s">
        <v>491</v>
      </c>
      <c r="B30" s="15">
        <v>267</v>
      </c>
      <c r="C30" s="81">
        <v>67</v>
      </c>
      <c r="D30" s="82">
        <f t="shared" si="12"/>
        <v>0.49264705882352944</v>
      </c>
      <c r="E30" s="66">
        <v>69</v>
      </c>
      <c r="F30" s="67">
        <f t="shared" si="13"/>
        <v>0.50735294117647056</v>
      </c>
      <c r="G30" s="15">
        <v>0</v>
      </c>
      <c r="H30" s="17">
        <f t="shared" si="14"/>
        <v>0</v>
      </c>
      <c r="I30" s="29">
        <f t="shared" si="15"/>
        <v>136</v>
      </c>
      <c r="J30" s="17">
        <f t="shared" si="16"/>
        <v>0.50936329588014984</v>
      </c>
      <c r="K30" s="29">
        <f t="shared" si="17"/>
        <v>131</v>
      </c>
      <c r="L30" s="17">
        <f t="shared" si="18"/>
        <v>0.49063670411985016</v>
      </c>
      <c r="M30" s="1"/>
      <c r="N30" s="1"/>
      <c r="O30" s="1"/>
      <c r="P30" s="1"/>
      <c r="Q30" s="1"/>
      <c r="R30" s="1"/>
      <c r="S30" s="1"/>
      <c r="T30" s="1"/>
      <c r="U30" s="1"/>
      <c r="V30" s="1"/>
      <c r="W30" s="1"/>
      <c r="X30" s="1"/>
    </row>
    <row r="31" spans="1:24" ht="12" customHeight="1" x14ac:dyDescent="0.2">
      <c r="A31" s="12" t="s">
        <v>120</v>
      </c>
      <c r="B31" s="12">
        <f>SUM(B23:B30)</f>
        <v>3149</v>
      </c>
      <c r="C31" s="78">
        <f>SUM(C23:C30)</f>
        <v>825</v>
      </c>
      <c r="D31" s="79">
        <f t="shared" si="12"/>
        <v>0.486438679245283</v>
      </c>
      <c r="E31" s="63">
        <f>SUM(E23:E30)</f>
        <v>841</v>
      </c>
      <c r="F31" s="64">
        <f t="shared" si="13"/>
        <v>0.49587264150943394</v>
      </c>
      <c r="G31" s="12">
        <f>SUM(G23:G30)</f>
        <v>30</v>
      </c>
      <c r="H31" s="13">
        <f t="shared" si="14"/>
        <v>1.7688679245283018E-2</v>
      </c>
      <c r="I31" s="12">
        <f>SUM(I23:I30)</f>
        <v>1696</v>
      </c>
      <c r="J31" s="13">
        <f t="shared" si="16"/>
        <v>0.53858367735789137</v>
      </c>
      <c r="K31" s="12">
        <f>SUM(K23:K30)</f>
        <v>1453</v>
      </c>
      <c r="L31" s="13">
        <f t="shared" si="18"/>
        <v>0.46141632264210858</v>
      </c>
      <c r="M31" s="1"/>
      <c r="N31" s="1"/>
      <c r="O31" s="1"/>
      <c r="P31" s="1"/>
      <c r="Q31" s="1"/>
      <c r="R31" s="1"/>
      <c r="S31" s="1"/>
      <c r="T31" s="1"/>
      <c r="U31" s="1"/>
      <c r="V31" s="1"/>
      <c r="W31" s="1"/>
      <c r="X31" s="1"/>
    </row>
    <row r="32" spans="1:24" s="52" customFormat="1" ht="12" customHeight="1" x14ac:dyDescent="0.2">
      <c r="A32" s="32" t="s">
        <v>542</v>
      </c>
      <c r="B32" s="32">
        <v>33</v>
      </c>
      <c r="C32" s="78"/>
      <c r="D32" s="79"/>
      <c r="E32" s="63"/>
      <c r="F32" s="64"/>
      <c r="G32" s="32"/>
      <c r="H32" s="28"/>
      <c r="I32" s="32"/>
      <c r="J32" s="28"/>
      <c r="K32" s="32"/>
      <c r="L32" s="28"/>
      <c r="M32" s="1"/>
      <c r="N32" s="1"/>
      <c r="O32" s="1"/>
      <c r="P32" s="1"/>
      <c r="Q32" s="1"/>
      <c r="R32" s="1"/>
      <c r="S32" s="1"/>
      <c r="T32" s="1"/>
      <c r="U32" s="1"/>
      <c r="V32" s="1"/>
      <c r="W32" s="1"/>
      <c r="X32" s="1"/>
    </row>
    <row r="33" spans="1:24" ht="12" customHeight="1" x14ac:dyDescent="0.2">
      <c r="A33" s="14" t="s">
        <v>304</v>
      </c>
      <c r="B33" s="32" t="s">
        <v>305</v>
      </c>
      <c r="C33" s="86"/>
      <c r="D33" s="86"/>
      <c r="E33" s="90"/>
      <c r="F33" s="90"/>
      <c r="G33" s="16"/>
      <c r="H33" s="16"/>
      <c r="I33" s="16"/>
      <c r="J33" s="16"/>
      <c r="K33" s="16"/>
      <c r="L33" s="16"/>
      <c r="M33" s="1"/>
      <c r="N33" s="1"/>
      <c r="O33" s="1"/>
      <c r="P33" s="1"/>
      <c r="Q33" s="1"/>
      <c r="R33" s="1"/>
      <c r="S33" s="1"/>
      <c r="T33" s="1"/>
      <c r="U33" s="1"/>
      <c r="V33" s="1"/>
      <c r="W33" s="1"/>
      <c r="X33" s="1"/>
    </row>
    <row r="34" spans="1:24" ht="12" customHeight="1" x14ac:dyDescent="0.2">
      <c r="A34" s="15" t="s">
        <v>191</v>
      </c>
      <c r="B34" s="15">
        <v>486</v>
      </c>
      <c r="C34" s="81">
        <v>134</v>
      </c>
      <c r="D34" s="82">
        <f>IF((I34=0),"",(C34/I34))</f>
        <v>0.51937984496124034</v>
      </c>
      <c r="E34" s="66">
        <v>124</v>
      </c>
      <c r="F34" s="67">
        <f>IF((I34=0),"",(E34/I34))</f>
        <v>0.48062015503875971</v>
      </c>
      <c r="G34" s="15">
        <v>0</v>
      </c>
      <c r="H34" s="17">
        <f>IF((I34=0),"",(G34/I34))</f>
        <v>0</v>
      </c>
      <c r="I34" s="29">
        <f>SUM(C34,E34,G34)</f>
        <v>258</v>
      </c>
      <c r="J34" s="17">
        <f>IF((B34=0),"",(I34/B34))</f>
        <v>0.53086419753086422</v>
      </c>
      <c r="K34" s="29">
        <f>B34-I34</f>
        <v>228</v>
      </c>
      <c r="L34" s="17">
        <f>IF((B34=0),"",(K34/B34))</f>
        <v>0.46913580246913578</v>
      </c>
      <c r="M34" s="1"/>
      <c r="N34" s="1"/>
      <c r="O34" s="1"/>
      <c r="P34" s="1"/>
      <c r="Q34" s="1"/>
      <c r="R34" s="1"/>
      <c r="S34" s="1"/>
      <c r="T34" s="1"/>
      <c r="U34" s="1"/>
      <c r="V34" s="1"/>
      <c r="W34" s="1"/>
      <c r="X34" s="1"/>
    </row>
    <row r="35" spans="1:24" ht="12" customHeight="1" x14ac:dyDescent="0.2">
      <c r="A35" s="15" t="s">
        <v>404</v>
      </c>
      <c r="B35" s="15">
        <v>348</v>
      </c>
      <c r="C35" s="81">
        <v>73</v>
      </c>
      <c r="D35" s="82">
        <f>IF((I35=0),"",(C35/I35))</f>
        <v>0.39459459459459462</v>
      </c>
      <c r="E35" s="66">
        <v>106</v>
      </c>
      <c r="F35" s="67">
        <f>IF((I35=0),"",(E35/I35))</f>
        <v>0.572972972972973</v>
      </c>
      <c r="G35" s="15">
        <v>6</v>
      </c>
      <c r="H35" s="17">
        <f>IF((I35=0),"",(G35/I35))</f>
        <v>3.2432432432432434E-2</v>
      </c>
      <c r="I35" s="29">
        <f>SUM(C35,E35,G35)</f>
        <v>185</v>
      </c>
      <c r="J35" s="17">
        <f>IF((B35=0),"",(I35/B35))</f>
        <v>0.5316091954022989</v>
      </c>
      <c r="K35" s="29">
        <f>B35-I35</f>
        <v>163</v>
      </c>
      <c r="L35" s="17">
        <f>IF((B35=0),"",(K35/B35))</f>
        <v>0.46839080459770116</v>
      </c>
      <c r="M35" s="1"/>
      <c r="N35" s="1"/>
      <c r="O35" s="1"/>
      <c r="P35" s="1"/>
      <c r="Q35" s="1"/>
      <c r="R35" s="1"/>
      <c r="S35" s="1"/>
      <c r="T35" s="1"/>
      <c r="U35" s="1"/>
      <c r="V35" s="1"/>
      <c r="W35" s="1"/>
      <c r="X35" s="1"/>
    </row>
    <row r="36" spans="1:24" ht="12" customHeight="1" x14ac:dyDescent="0.2">
      <c r="A36" s="15" t="s">
        <v>508</v>
      </c>
      <c r="B36" s="15">
        <v>389</v>
      </c>
      <c r="C36" s="81">
        <v>97</v>
      </c>
      <c r="D36" s="82">
        <f>IF((I36=0),"",(C36/I36))</f>
        <v>0.49489795918367346</v>
      </c>
      <c r="E36" s="66">
        <v>96</v>
      </c>
      <c r="F36" s="67">
        <f>IF((I36=0),"",(E36/I36))</f>
        <v>0.48979591836734693</v>
      </c>
      <c r="G36" s="15">
        <v>3</v>
      </c>
      <c r="H36" s="17">
        <f>IF((I36=0),"",(G36/I36))</f>
        <v>1.5306122448979591E-2</v>
      </c>
      <c r="I36" s="29">
        <f>SUM(C36,E36,G36)</f>
        <v>196</v>
      </c>
      <c r="J36" s="17">
        <f>IF((B36=0),"",(I36/B36))</f>
        <v>0.50385604113110538</v>
      </c>
      <c r="K36" s="29">
        <f>B36-I36</f>
        <v>193</v>
      </c>
      <c r="L36" s="17">
        <f>IF((B36=0),"",(K36/B36))</f>
        <v>0.49614395886889462</v>
      </c>
      <c r="M36" s="1"/>
      <c r="N36" s="1"/>
      <c r="O36" s="1"/>
      <c r="P36" s="1"/>
      <c r="Q36" s="1"/>
      <c r="R36" s="1"/>
      <c r="S36" s="1"/>
      <c r="T36" s="1"/>
      <c r="U36" s="1"/>
      <c r="V36" s="1"/>
      <c r="W36" s="1"/>
      <c r="X36" s="1"/>
    </row>
    <row r="37" spans="1:24" ht="12" customHeight="1" x14ac:dyDescent="0.2">
      <c r="A37" s="15" t="s">
        <v>509</v>
      </c>
      <c r="B37" s="15">
        <v>375</v>
      </c>
      <c r="C37" s="81">
        <v>95</v>
      </c>
      <c r="D37" s="82">
        <f>IF((I37=0),"",(C37/I37))</f>
        <v>0.48223350253807107</v>
      </c>
      <c r="E37" s="66">
        <v>101</v>
      </c>
      <c r="F37" s="67">
        <f>IF((I37=0),"",(E37/I37))</f>
        <v>0.51269035532994922</v>
      </c>
      <c r="G37" s="15">
        <v>1</v>
      </c>
      <c r="H37" s="17">
        <f>IF((I37=0),"",(G37/I37))</f>
        <v>5.076142131979695E-3</v>
      </c>
      <c r="I37" s="29">
        <f>SUM(C37,E37,G37)</f>
        <v>197</v>
      </c>
      <c r="J37" s="17">
        <f>IF((B37=0),"",(I37/B37))</f>
        <v>0.52533333333333332</v>
      </c>
      <c r="K37" s="29">
        <f>B37-I37</f>
        <v>178</v>
      </c>
      <c r="L37" s="17">
        <f>IF((B37=0),"",(K37/B37))</f>
        <v>0.47466666666666668</v>
      </c>
      <c r="M37" s="1"/>
      <c r="N37" s="1"/>
      <c r="O37" s="1"/>
      <c r="P37" s="1"/>
      <c r="Q37" s="1"/>
      <c r="R37" s="1"/>
      <c r="S37" s="1"/>
      <c r="T37" s="1"/>
      <c r="U37" s="1"/>
      <c r="V37" s="1"/>
      <c r="W37" s="1"/>
      <c r="X37" s="1"/>
    </row>
    <row r="38" spans="1:24" ht="12" customHeight="1" x14ac:dyDescent="0.2">
      <c r="A38" s="12" t="s">
        <v>120</v>
      </c>
      <c r="B38" s="12">
        <f>SUM(B34:B37)</f>
        <v>1598</v>
      </c>
      <c r="C38" s="78">
        <f>SUM(C34:C37)</f>
        <v>399</v>
      </c>
      <c r="D38" s="79">
        <f>IF((I38=0),"",(C38/I38))</f>
        <v>0.47727272727272729</v>
      </c>
      <c r="E38" s="63">
        <f>SUM(E34:E37)</f>
        <v>427</v>
      </c>
      <c r="F38" s="64">
        <f>IF((I38=0),"",(E38/I38))</f>
        <v>0.51076555023923442</v>
      </c>
      <c r="G38" s="12">
        <f>SUM(G34:G37)</f>
        <v>10</v>
      </c>
      <c r="H38" s="13">
        <f>IF((I38=0),"",(G38/I38))</f>
        <v>1.1961722488038277E-2</v>
      </c>
      <c r="I38" s="12">
        <f>SUM(I34:I37)</f>
        <v>836</v>
      </c>
      <c r="J38" s="13">
        <f>IF((B38=0),"",(I38/B38))</f>
        <v>0.52315394242803503</v>
      </c>
      <c r="K38" s="12">
        <f>SUM(K34:K37)</f>
        <v>762</v>
      </c>
      <c r="L38" s="13">
        <f>IF((B38=0),"",(K38/B38))</f>
        <v>0.47684605757196497</v>
      </c>
      <c r="M38" s="1"/>
      <c r="N38" s="1"/>
      <c r="O38" s="1"/>
      <c r="P38" s="1"/>
      <c r="Q38" s="1"/>
      <c r="R38" s="1"/>
      <c r="S38" s="1"/>
      <c r="T38" s="1"/>
      <c r="U38" s="1"/>
      <c r="V38" s="1"/>
      <c r="W38" s="1"/>
      <c r="X38" s="1"/>
    </row>
    <row r="39" spans="1:24" ht="12.75" customHeight="1" x14ac:dyDescent="0.2">
      <c r="A39" s="43" t="s">
        <v>542</v>
      </c>
      <c r="B39" s="43">
        <v>22</v>
      </c>
      <c r="C39" s="1"/>
      <c r="D39" s="1"/>
      <c r="E39" s="1"/>
      <c r="F39" s="1"/>
      <c r="G39" s="1"/>
      <c r="H39" s="1"/>
      <c r="I39" s="1"/>
      <c r="J39" s="1"/>
      <c r="K39" s="1"/>
      <c r="L39" s="1"/>
      <c r="M39" s="1"/>
      <c r="N39" s="1"/>
      <c r="O39" s="1"/>
      <c r="P39" s="1"/>
      <c r="Q39" s="1"/>
      <c r="R39" s="1"/>
      <c r="S39" s="1"/>
      <c r="T39" s="1"/>
      <c r="U39" s="1"/>
      <c r="V39" s="1"/>
      <c r="W39" s="1"/>
      <c r="X39" s="1"/>
    </row>
    <row r="40" spans="1:24" ht="12.75" customHeight="1" x14ac:dyDescent="0.2">
      <c r="A40" s="1"/>
      <c r="B40" s="1"/>
      <c r="C40" s="1"/>
      <c r="D40" s="1"/>
      <c r="E40" s="1"/>
      <c r="F40" s="1"/>
      <c r="G40" s="1"/>
      <c r="H40" s="1"/>
      <c r="I40" s="1"/>
      <c r="J40" s="1"/>
      <c r="K40" s="1"/>
      <c r="L40" s="1"/>
      <c r="M40" s="1"/>
      <c r="N40" s="1"/>
      <c r="O40" s="1"/>
      <c r="P40" s="1"/>
      <c r="Q40" s="1"/>
      <c r="R40" s="1"/>
      <c r="S40" s="1"/>
      <c r="T40" s="1"/>
      <c r="U40" s="1"/>
      <c r="V40" s="1"/>
      <c r="W40" s="1"/>
      <c r="X40" s="1"/>
    </row>
    <row r="41" spans="1:24" ht="12.75" customHeight="1" x14ac:dyDescent="0.2">
      <c r="A41" s="1"/>
      <c r="B41" s="1"/>
      <c r="C41" s="1"/>
      <c r="D41" s="1"/>
      <c r="E41" s="1"/>
      <c r="F41" s="1"/>
      <c r="G41" s="1"/>
      <c r="H41" s="1"/>
      <c r="I41" s="1"/>
      <c r="J41" s="1"/>
      <c r="K41" s="1"/>
      <c r="L41" s="1"/>
      <c r="M41" s="1"/>
      <c r="N41" s="1"/>
      <c r="O41" s="1"/>
      <c r="P41" s="1"/>
      <c r="Q41" s="1"/>
      <c r="R41" s="1"/>
      <c r="S41" s="1"/>
      <c r="T41" s="1"/>
      <c r="U41" s="1"/>
      <c r="V41" s="1"/>
      <c r="W41" s="1"/>
      <c r="X41" s="1"/>
    </row>
    <row r="42" spans="1:24" ht="12.75" customHeight="1" x14ac:dyDescent="0.2">
      <c r="A42" s="1"/>
      <c r="B42" s="1"/>
      <c r="C42" s="1"/>
      <c r="D42" s="1"/>
      <c r="E42" s="1"/>
      <c r="F42" s="1"/>
      <c r="G42" s="1"/>
      <c r="H42" s="1"/>
      <c r="I42" s="1"/>
      <c r="J42" s="1"/>
      <c r="K42" s="1"/>
      <c r="L42" s="1"/>
      <c r="M42" s="1"/>
      <c r="N42" s="1"/>
      <c r="O42" s="1"/>
      <c r="P42" s="1"/>
      <c r="Q42" s="1"/>
      <c r="R42" s="1"/>
      <c r="S42" s="1"/>
      <c r="T42" s="1"/>
      <c r="U42" s="1"/>
      <c r="V42" s="1"/>
      <c r="W42" s="1"/>
      <c r="X42" s="1"/>
    </row>
    <row r="43" spans="1:24" ht="12.75" customHeight="1" x14ac:dyDescent="0.2">
      <c r="A43" s="1"/>
      <c r="B43" s="1"/>
      <c r="C43" s="1"/>
      <c r="D43" s="1"/>
      <c r="E43" s="1"/>
      <c r="F43" s="1"/>
      <c r="G43" s="1"/>
      <c r="H43" s="1"/>
      <c r="I43" s="1"/>
      <c r="J43" s="1"/>
      <c r="K43" s="1"/>
      <c r="L43" s="1"/>
      <c r="M43" s="1"/>
      <c r="N43" s="1"/>
      <c r="O43" s="1"/>
      <c r="P43" s="1"/>
      <c r="Q43" s="1"/>
      <c r="R43" s="1"/>
      <c r="S43" s="1"/>
      <c r="T43" s="1"/>
      <c r="U43" s="1"/>
      <c r="V43" s="1"/>
      <c r="W43" s="1"/>
      <c r="X43" s="1"/>
    </row>
    <row r="44" spans="1:24" ht="12.75" customHeight="1" x14ac:dyDescent="0.2">
      <c r="A44" s="1"/>
      <c r="B44" s="1"/>
      <c r="C44" s="1"/>
      <c r="D44" s="1"/>
      <c r="E44" s="1"/>
      <c r="F44" s="1"/>
      <c r="G44" s="1"/>
      <c r="H44" s="1"/>
      <c r="I44" s="1"/>
      <c r="J44" s="1"/>
      <c r="K44" s="1"/>
      <c r="L44" s="1"/>
      <c r="M44" s="1"/>
      <c r="N44" s="1"/>
      <c r="O44" s="1"/>
      <c r="P44" s="1"/>
      <c r="Q44" s="1"/>
      <c r="R44" s="1"/>
      <c r="S44" s="1"/>
      <c r="T44" s="1"/>
      <c r="U44" s="1"/>
      <c r="V44" s="1"/>
      <c r="W44" s="1"/>
      <c r="X44" s="1"/>
    </row>
    <row r="45" spans="1:24" ht="12.75" customHeight="1" x14ac:dyDescent="0.2">
      <c r="A45" s="1"/>
      <c r="B45" s="1"/>
      <c r="C45" s="1"/>
      <c r="D45" s="1"/>
      <c r="E45" s="1"/>
      <c r="F45" s="1"/>
      <c r="G45" s="1"/>
      <c r="H45" s="1"/>
      <c r="I45" s="1"/>
      <c r="J45" s="1"/>
      <c r="K45" s="1"/>
      <c r="L45" s="1"/>
      <c r="M45" s="1"/>
      <c r="N45" s="1"/>
      <c r="O45" s="1"/>
      <c r="P45" s="1"/>
      <c r="Q45" s="1"/>
      <c r="R45" s="1"/>
      <c r="S45" s="1"/>
      <c r="T45" s="1"/>
      <c r="U45" s="1"/>
      <c r="V45" s="1"/>
      <c r="W45" s="1"/>
      <c r="X45" s="1"/>
    </row>
    <row r="46" spans="1:24" ht="12.75" customHeight="1" x14ac:dyDescent="0.2">
      <c r="A46" s="1"/>
      <c r="B46" s="1"/>
      <c r="C46" s="1"/>
      <c r="D46" s="1"/>
      <c r="E46" s="1"/>
      <c r="F46" s="1"/>
      <c r="G46" s="1"/>
      <c r="H46" s="1"/>
      <c r="I46" s="1"/>
      <c r="J46" s="1"/>
      <c r="K46" s="1"/>
      <c r="L46" s="1"/>
      <c r="M46" s="1"/>
      <c r="N46" s="1"/>
      <c r="O46" s="1"/>
      <c r="P46" s="1"/>
      <c r="Q46" s="1"/>
      <c r="R46" s="1"/>
      <c r="S46" s="1"/>
      <c r="T46" s="1"/>
      <c r="U46" s="1"/>
      <c r="V46" s="1"/>
      <c r="W46" s="1"/>
      <c r="X46" s="1"/>
    </row>
    <row r="47" spans="1:24" ht="12.75" customHeight="1" x14ac:dyDescent="0.2">
      <c r="A47" s="1"/>
      <c r="B47" s="1"/>
      <c r="C47" s="1"/>
      <c r="D47" s="1"/>
      <c r="E47" s="1"/>
      <c r="F47" s="1"/>
      <c r="G47" s="1"/>
      <c r="H47" s="1"/>
      <c r="I47" s="1"/>
      <c r="J47" s="1"/>
      <c r="K47" s="1"/>
      <c r="L47" s="1"/>
      <c r="M47" s="1"/>
      <c r="N47" s="1"/>
      <c r="O47" s="1"/>
      <c r="P47" s="1"/>
      <c r="Q47" s="1"/>
      <c r="R47" s="1"/>
      <c r="S47" s="1"/>
      <c r="T47" s="1"/>
      <c r="U47" s="1"/>
      <c r="V47" s="1"/>
      <c r="W47" s="1"/>
      <c r="X47" s="1"/>
    </row>
    <row r="48" spans="1:24" ht="12.75" customHeight="1" x14ac:dyDescent="0.2">
      <c r="A48" s="1"/>
      <c r="B48" s="1"/>
      <c r="C48" s="1"/>
      <c r="D48" s="1"/>
      <c r="E48" s="1"/>
      <c r="F48" s="1"/>
      <c r="G48" s="1"/>
      <c r="H48" s="1"/>
      <c r="I48" s="1"/>
      <c r="J48" s="1"/>
      <c r="K48" s="1"/>
      <c r="L48" s="1"/>
      <c r="M48" s="1"/>
      <c r="N48" s="1"/>
      <c r="O48" s="1"/>
      <c r="P48" s="1"/>
      <c r="Q48" s="1"/>
      <c r="R48" s="1"/>
      <c r="S48" s="1"/>
      <c r="T48" s="1"/>
      <c r="U48" s="1"/>
      <c r="V48" s="1"/>
      <c r="W48" s="1"/>
      <c r="X48" s="1"/>
    </row>
    <row r="49" spans="1:24" ht="12.75" customHeight="1" x14ac:dyDescent="0.2">
      <c r="A49" s="1"/>
      <c r="B49" s="1"/>
      <c r="C49" s="1"/>
      <c r="D49" s="1"/>
      <c r="E49" s="1"/>
      <c r="F49" s="1"/>
      <c r="G49" s="1"/>
      <c r="H49" s="1"/>
      <c r="I49" s="1"/>
      <c r="J49" s="1"/>
      <c r="K49" s="1"/>
      <c r="L49" s="1"/>
      <c r="M49" s="1"/>
      <c r="N49" s="1"/>
      <c r="O49" s="1"/>
      <c r="P49" s="1"/>
      <c r="Q49" s="1"/>
      <c r="R49" s="1"/>
      <c r="S49" s="1"/>
      <c r="T49" s="1"/>
      <c r="U49" s="1"/>
      <c r="V49" s="1"/>
      <c r="W49" s="1"/>
      <c r="X49" s="1"/>
    </row>
    <row r="50" spans="1:24" ht="12.75" customHeight="1" x14ac:dyDescent="0.2">
      <c r="A50" s="1"/>
      <c r="B50" s="1"/>
      <c r="C50" s="1"/>
      <c r="D50" s="1"/>
      <c r="E50" s="1"/>
      <c r="F50" s="1"/>
      <c r="G50" s="1"/>
      <c r="H50" s="1"/>
      <c r="I50" s="1"/>
      <c r="J50" s="1"/>
      <c r="K50" s="1"/>
      <c r="L50" s="1"/>
      <c r="M50" s="1"/>
      <c r="N50" s="1"/>
      <c r="O50" s="1"/>
      <c r="P50" s="1"/>
      <c r="Q50" s="1"/>
      <c r="R50" s="1"/>
      <c r="S50" s="1"/>
      <c r="T50" s="1"/>
      <c r="U50" s="1"/>
      <c r="V50" s="1"/>
      <c r="W50" s="1"/>
      <c r="X50" s="1"/>
    </row>
    <row r="51" spans="1:24" ht="12.75" customHeight="1" x14ac:dyDescent="0.2">
      <c r="A51" s="1"/>
      <c r="B51" s="1"/>
      <c r="C51" s="1"/>
      <c r="D51" s="1"/>
      <c r="E51" s="1"/>
      <c r="F51" s="1"/>
      <c r="G51" s="1"/>
      <c r="H51" s="1"/>
      <c r="I51" s="1"/>
      <c r="J51" s="1"/>
      <c r="K51" s="1"/>
      <c r="L51" s="1"/>
      <c r="M51" s="1"/>
      <c r="N51" s="1"/>
      <c r="O51" s="1"/>
      <c r="P51" s="1"/>
      <c r="Q51" s="1"/>
      <c r="R51" s="1"/>
      <c r="S51" s="1"/>
      <c r="T51" s="1"/>
      <c r="U51" s="1"/>
      <c r="V51" s="1"/>
      <c r="W51" s="1"/>
      <c r="X51" s="1"/>
    </row>
    <row r="52" spans="1:24" ht="12.75" customHeight="1" x14ac:dyDescent="0.2">
      <c r="A52" s="1"/>
      <c r="B52" s="1"/>
      <c r="C52" s="1"/>
      <c r="D52" s="1"/>
      <c r="E52" s="1"/>
      <c r="F52" s="1"/>
      <c r="G52" s="1"/>
      <c r="H52" s="1"/>
      <c r="I52" s="1"/>
      <c r="J52" s="1"/>
      <c r="K52" s="1"/>
      <c r="L52" s="1"/>
      <c r="M52" s="1"/>
      <c r="N52" s="1"/>
      <c r="O52" s="1"/>
      <c r="P52" s="1"/>
      <c r="Q52" s="1"/>
      <c r="R52" s="1"/>
      <c r="S52" s="1"/>
      <c r="T52" s="1"/>
      <c r="U52" s="1"/>
      <c r="V52" s="1"/>
      <c r="W52" s="1"/>
      <c r="X52" s="1"/>
    </row>
    <row r="53" spans="1:24" ht="12.75" customHeight="1" x14ac:dyDescent="0.2">
      <c r="A53" s="1"/>
      <c r="B53" s="1"/>
      <c r="C53" s="1"/>
      <c r="D53" s="1"/>
      <c r="E53" s="1"/>
      <c r="F53" s="1"/>
      <c r="G53" s="1"/>
      <c r="H53" s="1"/>
      <c r="I53" s="1"/>
      <c r="J53" s="1"/>
      <c r="K53" s="1"/>
      <c r="L53" s="1"/>
      <c r="M53" s="1"/>
      <c r="N53" s="1"/>
      <c r="O53" s="1"/>
      <c r="P53" s="1"/>
      <c r="Q53" s="1"/>
      <c r="R53" s="1"/>
      <c r="S53" s="1"/>
      <c r="T53" s="1"/>
      <c r="U53" s="1"/>
      <c r="V53" s="1"/>
      <c r="W53" s="1"/>
      <c r="X53" s="1"/>
    </row>
    <row r="54" spans="1:24" ht="12.75" customHeight="1" x14ac:dyDescent="0.2">
      <c r="A54" s="1"/>
      <c r="B54" s="1"/>
      <c r="C54" s="1"/>
      <c r="D54" s="1"/>
      <c r="E54" s="1"/>
      <c r="F54" s="1"/>
      <c r="G54" s="1"/>
      <c r="H54" s="1"/>
      <c r="I54" s="1"/>
      <c r="J54" s="1"/>
      <c r="K54" s="1"/>
      <c r="L54" s="1"/>
      <c r="M54" s="1"/>
      <c r="N54" s="1"/>
      <c r="O54" s="1"/>
      <c r="P54" s="1"/>
      <c r="Q54" s="1"/>
      <c r="R54" s="1"/>
      <c r="S54" s="1"/>
      <c r="T54" s="1"/>
      <c r="U54" s="1"/>
      <c r="V54" s="1"/>
      <c r="W54" s="1"/>
      <c r="X54" s="1"/>
    </row>
    <row r="55" spans="1:24" ht="12.75" customHeight="1" x14ac:dyDescent="0.2">
      <c r="A55" s="1"/>
      <c r="B55" s="1"/>
      <c r="C55" s="1"/>
      <c r="D55" s="1"/>
      <c r="E55" s="1"/>
      <c r="F55" s="1"/>
      <c r="G55" s="1"/>
      <c r="H55" s="1"/>
      <c r="I55" s="1"/>
      <c r="J55" s="1"/>
      <c r="K55" s="1"/>
      <c r="L55" s="1"/>
      <c r="M55" s="1"/>
      <c r="N55" s="1"/>
      <c r="O55" s="1"/>
      <c r="P55" s="1"/>
      <c r="Q55" s="1"/>
      <c r="R55" s="1"/>
      <c r="S55" s="1"/>
      <c r="T55" s="1"/>
      <c r="U55" s="1"/>
      <c r="V55" s="1"/>
      <c r="W55" s="1"/>
      <c r="X55" s="1"/>
    </row>
    <row r="56" spans="1:24" ht="12.75" customHeight="1" x14ac:dyDescent="0.2">
      <c r="A56" s="1"/>
      <c r="B56" s="1"/>
      <c r="C56" s="1"/>
      <c r="D56" s="1"/>
      <c r="E56" s="1"/>
      <c r="F56" s="1"/>
      <c r="G56" s="1"/>
      <c r="H56" s="1"/>
      <c r="I56" s="1"/>
      <c r="J56" s="1"/>
      <c r="K56" s="1"/>
      <c r="L56" s="1"/>
      <c r="M56" s="1"/>
      <c r="N56" s="1"/>
      <c r="O56" s="1"/>
      <c r="P56" s="1"/>
      <c r="Q56" s="1"/>
      <c r="R56" s="1"/>
      <c r="S56" s="1"/>
      <c r="T56" s="1"/>
      <c r="U56" s="1"/>
      <c r="V56" s="1"/>
      <c r="W56" s="1"/>
      <c r="X56" s="1"/>
    </row>
    <row r="57" spans="1:24" ht="12.75" customHeight="1" x14ac:dyDescent="0.2">
      <c r="A57" s="1"/>
      <c r="B57" s="1"/>
      <c r="C57" s="1"/>
      <c r="D57" s="1"/>
      <c r="E57" s="1"/>
      <c r="F57" s="1"/>
      <c r="G57" s="1"/>
      <c r="H57" s="1"/>
      <c r="I57" s="1"/>
      <c r="J57" s="1"/>
      <c r="K57" s="1"/>
      <c r="L57" s="1"/>
      <c r="M57" s="1"/>
      <c r="N57" s="1"/>
      <c r="O57" s="1"/>
      <c r="P57" s="1"/>
      <c r="Q57" s="1"/>
      <c r="R57" s="1"/>
      <c r="S57" s="1"/>
      <c r="T57" s="1"/>
      <c r="U57" s="1"/>
      <c r="V57" s="1"/>
      <c r="W57" s="1"/>
      <c r="X57" s="1"/>
    </row>
    <row r="58" spans="1:24" ht="12.75" customHeight="1" x14ac:dyDescent="0.2">
      <c r="A58" s="1"/>
      <c r="B58" s="1"/>
      <c r="C58" s="1"/>
      <c r="D58" s="1"/>
      <c r="E58" s="1"/>
      <c r="F58" s="1"/>
      <c r="G58" s="1"/>
      <c r="H58" s="1"/>
      <c r="I58" s="1"/>
      <c r="J58" s="1"/>
      <c r="K58" s="1"/>
      <c r="L58" s="1"/>
      <c r="M58" s="1"/>
      <c r="N58" s="1"/>
      <c r="O58" s="1"/>
      <c r="P58" s="1"/>
      <c r="Q58" s="1"/>
      <c r="R58" s="1"/>
      <c r="S58" s="1"/>
      <c r="T58" s="1"/>
      <c r="U58" s="1"/>
      <c r="V58" s="1"/>
      <c r="W58" s="1"/>
      <c r="X58" s="1"/>
    </row>
    <row r="59" spans="1:24" ht="12.75" customHeight="1" x14ac:dyDescent="0.2">
      <c r="A59" s="1"/>
      <c r="B59" s="1"/>
      <c r="C59" s="1"/>
      <c r="D59" s="1"/>
      <c r="E59" s="1"/>
      <c r="F59" s="1"/>
      <c r="G59" s="1"/>
      <c r="H59" s="1"/>
      <c r="I59" s="1"/>
      <c r="J59" s="1"/>
      <c r="K59" s="1"/>
      <c r="L59" s="1"/>
      <c r="M59" s="1"/>
      <c r="N59" s="1"/>
      <c r="O59" s="1"/>
      <c r="P59" s="1"/>
      <c r="Q59" s="1"/>
      <c r="R59" s="1"/>
      <c r="S59" s="1"/>
      <c r="T59" s="1"/>
      <c r="U59" s="1"/>
      <c r="V59" s="1"/>
      <c r="W59" s="1"/>
      <c r="X59" s="1"/>
    </row>
    <row r="60" spans="1:24" ht="12.75" customHeight="1" x14ac:dyDescent="0.2">
      <c r="A60" s="1"/>
      <c r="B60" s="1"/>
      <c r="C60" s="1"/>
      <c r="D60" s="1"/>
      <c r="E60" s="1"/>
      <c r="F60" s="1"/>
      <c r="G60" s="1"/>
      <c r="H60" s="1"/>
      <c r="I60" s="1"/>
      <c r="J60" s="1"/>
      <c r="K60" s="1"/>
      <c r="L60" s="1"/>
      <c r="M60" s="1"/>
      <c r="N60" s="1"/>
      <c r="O60" s="1"/>
      <c r="P60" s="1"/>
      <c r="Q60" s="1"/>
      <c r="R60" s="1"/>
      <c r="S60" s="1"/>
      <c r="T60" s="1"/>
      <c r="U60" s="1"/>
      <c r="V60" s="1"/>
      <c r="W60" s="1"/>
      <c r="X60" s="1"/>
    </row>
    <row r="61" spans="1:24" ht="12.75" customHeight="1" x14ac:dyDescent="0.2">
      <c r="A61" s="1"/>
      <c r="B61" s="1"/>
      <c r="C61" s="1"/>
      <c r="D61" s="1"/>
      <c r="E61" s="1"/>
      <c r="F61" s="1"/>
      <c r="G61" s="1"/>
      <c r="H61" s="1"/>
      <c r="I61" s="1"/>
      <c r="J61" s="1"/>
      <c r="K61" s="1"/>
      <c r="L61" s="1"/>
      <c r="M61" s="1"/>
      <c r="N61" s="1"/>
      <c r="O61" s="1"/>
      <c r="P61" s="1"/>
      <c r="Q61" s="1"/>
      <c r="R61" s="1"/>
      <c r="S61" s="1"/>
      <c r="T61" s="1"/>
      <c r="U61" s="1"/>
      <c r="V61" s="1"/>
      <c r="W61" s="1"/>
      <c r="X61" s="1"/>
    </row>
    <row r="62" spans="1:24" ht="12.75" customHeight="1" x14ac:dyDescent="0.2">
      <c r="A62" s="1"/>
      <c r="B62" s="1"/>
      <c r="C62" s="1"/>
      <c r="D62" s="1"/>
      <c r="E62" s="1"/>
      <c r="F62" s="1"/>
      <c r="G62" s="1"/>
      <c r="H62" s="1"/>
      <c r="I62" s="1"/>
      <c r="J62" s="1"/>
      <c r="K62" s="1"/>
      <c r="L62" s="1"/>
      <c r="M62" s="1"/>
      <c r="N62" s="1"/>
      <c r="O62" s="1"/>
      <c r="P62" s="1"/>
      <c r="Q62" s="1"/>
      <c r="R62" s="1"/>
      <c r="S62" s="1"/>
      <c r="T62" s="1"/>
      <c r="U62" s="1"/>
      <c r="V62" s="1"/>
      <c r="W62" s="1"/>
      <c r="X62" s="1"/>
    </row>
    <row r="63" spans="1:24" ht="12.75" customHeight="1" x14ac:dyDescent="0.2">
      <c r="A63" s="1"/>
      <c r="B63" s="1"/>
      <c r="C63" s="1"/>
      <c r="D63" s="1"/>
      <c r="E63" s="1"/>
      <c r="F63" s="1"/>
      <c r="G63" s="1"/>
      <c r="H63" s="1"/>
      <c r="I63" s="1"/>
      <c r="J63" s="1"/>
      <c r="K63" s="1"/>
      <c r="L63" s="1"/>
      <c r="M63" s="1"/>
      <c r="N63" s="1"/>
      <c r="O63" s="1"/>
      <c r="P63" s="1"/>
      <c r="Q63" s="1"/>
      <c r="R63" s="1"/>
      <c r="S63" s="1"/>
      <c r="T63" s="1"/>
      <c r="U63" s="1"/>
      <c r="V63" s="1"/>
      <c r="W63" s="1"/>
      <c r="X63" s="1"/>
    </row>
    <row r="64" spans="1:24" ht="12.75" customHeight="1" x14ac:dyDescent="0.2">
      <c r="A64" s="1"/>
      <c r="B64" s="1"/>
      <c r="C64" s="1"/>
      <c r="D64" s="1"/>
      <c r="E64" s="1"/>
      <c r="F64" s="1"/>
      <c r="G64" s="1"/>
      <c r="H64" s="1"/>
      <c r="I64" s="1"/>
      <c r="J64" s="1"/>
      <c r="K64" s="1"/>
      <c r="L64" s="1"/>
      <c r="M64" s="1"/>
      <c r="N64" s="1"/>
      <c r="O64" s="1"/>
      <c r="P64" s="1"/>
      <c r="Q64" s="1"/>
      <c r="R64" s="1"/>
      <c r="S64" s="1"/>
      <c r="T64" s="1"/>
      <c r="U64" s="1"/>
      <c r="V64" s="1"/>
      <c r="W64" s="1"/>
      <c r="X64" s="1"/>
    </row>
    <row r="65" spans="1:24" ht="12.75" customHeight="1" x14ac:dyDescent="0.2">
      <c r="A65" s="1"/>
      <c r="B65" s="1"/>
      <c r="C65" s="1"/>
      <c r="D65" s="1"/>
      <c r="E65" s="1"/>
      <c r="F65" s="1"/>
      <c r="G65" s="1"/>
      <c r="H65" s="1"/>
      <c r="I65" s="1"/>
      <c r="J65" s="1"/>
      <c r="K65" s="1"/>
      <c r="L65" s="1"/>
      <c r="M65" s="1"/>
      <c r="N65" s="1"/>
      <c r="O65" s="1"/>
      <c r="P65" s="1"/>
      <c r="Q65" s="1"/>
      <c r="R65" s="1"/>
      <c r="S65" s="1"/>
      <c r="T65" s="1"/>
      <c r="U65" s="1"/>
      <c r="V65" s="1"/>
      <c r="W65" s="1"/>
      <c r="X65" s="1"/>
    </row>
    <row r="66" spans="1:24" ht="12.75" customHeight="1" x14ac:dyDescent="0.2">
      <c r="A66" s="1"/>
      <c r="B66" s="1"/>
      <c r="C66" s="1"/>
      <c r="D66" s="1"/>
      <c r="E66" s="1"/>
      <c r="F66" s="1"/>
      <c r="G66" s="1"/>
      <c r="H66" s="1"/>
      <c r="I66" s="1"/>
      <c r="J66" s="1"/>
      <c r="K66" s="1"/>
      <c r="L66" s="1"/>
      <c r="M66" s="1"/>
      <c r="N66" s="1"/>
      <c r="O66" s="1"/>
      <c r="P66" s="1"/>
      <c r="Q66" s="1"/>
      <c r="R66" s="1"/>
      <c r="S66" s="1"/>
      <c r="T66" s="1"/>
      <c r="U66" s="1"/>
      <c r="V66" s="1"/>
      <c r="W66" s="1"/>
      <c r="X66" s="1"/>
    </row>
    <row r="67" spans="1:24" ht="12.75" customHeight="1" x14ac:dyDescent="0.2">
      <c r="A67" s="1"/>
      <c r="B67" s="1"/>
      <c r="C67" s="1"/>
      <c r="D67" s="1"/>
      <c r="E67" s="1"/>
      <c r="F67" s="1"/>
      <c r="G67" s="1"/>
      <c r="H67" s="1"/>
      <c r="I67" s="1"/>
      <c r="J67" s="1"/>
      <c r="K67" s="1"/>
      <c r="L67" s="1"/>
      <c r="M67" s="1"/>
      <c r="N67" s="1"/>
      <c r="O67" s="1"/>
      <c r="P67" s="1"/>
      <c r="Q67" s="1"/>
      <c r="R67" s="1"/>
      <c r="S67" s="1"/>
      <c r="T67" s="1"/>
      <c r="U67" s="1"/>
      <c r="V67" s="1"/>
      <c r="W67" s="1"/>
      <c r="X67" s="1"/>
    </row>
    <row r="68" spans="1:24" ht="12.75" customHeight="1" x14ac:dyDescent="0.2">
      <c r="A68" s="1"/>
      <c r="B68" s="1"/>
      <c r="C68" s="1"/>
      <c r="D68" s="1"/>
      <c r="E68" s="1"/>
      <c r="F68" s="1"/>
      <c r="G68" s="1"/>
      <c r="H68" s="1"/>
      <c r="I68" s="1"/>
      <c r="J68" s="1"/>
      <c r="K68" s="1"/>
      <c r="L68" s="1"/>
      <c r="M68" s="1"/>
      <c r="N68" s="1"/>
      <c r="O68" s="1"/>
      <c r="P68" s="1"/>
      <c r="Q68" s="1"/>
      <c r="R68" s="1"/>
      <c r="S68" s="1"/>
      <c r="T68" s="1"/>
      <c r="U68" s="1"/>
      <c r="V68" s="1"/>
      <c r="W68" s="1"/>
      <c r="X68" s="1"/>
    </row>
    <row r="69" spans="1:24" ht="12.75" customHeight="1" x14ac:dyDescent="0.2">
      <c r="A69" s="1"/>
      <c r="B69" s="1"/>
      <c r="C69" s="1"/>
      <c r="D69" s="1"/>
      <c r="E69" s="1"/>
      <c r="F69" s="1"/>
      <c r="G69" s="1"/>
      <c r="H69" s="1"/>
      <c r="I69" s="1"/>
      <c r="J69" s="1"/>
      <c r="K69" s="1"/>
      <c r="L69" s="1"/>
      <c r="M69" s="1"/>
      <c r="N69" s="1"/>
      <c r="O69" s="1"/>
      <c r="P69" s="1"/>
      <c r="Q69" s="1"/>
      <c r="R69" s="1"/>
      <c r="S69" s="1"/>
      <c r="T69" s="1"/>
      <c r="U69" s="1"/>
      <c r="V69" s="1"/>
      <c r="W69" s="1"/>
      <c r="X69" s="1"/>
    </row>
    <row r="70" spans="1:24" ht="12.75" customHeight="1" x14ac:dyDescent="0.2">
      <c r="A70" s="1"/>
      <c r="B70" s="1"/>
      <c r="C70" s="1"/>
      <c r="D70" s="1"/>
      <c r="E70" s="1"/>
      <c r="F70" s="1"/>
      <c r="G70" s="1"/>
      <c r="H70" s="1"/>
      <c r="I70" s="1"/>
      <c r="J70" s="1"/>
      <c r="K70" s="1"/>
      <c r="L70" s="1"/>
      <c r="M70" s="1"/>
      <c r="N70" s="1"/>
      <c r="O70" s="1"/>
      <c r="P70" s="1"/>
      <c r="Q70" s="1"/>
      <c r="R70" s="1"/>
      <c r="S70" s="1"/>
      <c r="T70" s="1"/>
      <c r="U70" s="1"/>
      <c r="V70" s="1"/>
      <c r="W70" s="1"/>
      <c r="X70" s="1"/>
    </row>
    <row r="71" spans="1:24" ht="12.75" customHeight="1" x14ac:dyDescent="0.2">
      <c r="A71" s="1"/>
      <c r="B71" s="1"/>
      <c r="C71" s="1"/>
      <c r="D71" s="1"/>
      <c r="E71" s="1"/>
      <c r="F71" s="1"/>
      <c r="G71" s="1"/>
      <c r="H71" s="1"/>
      <c r="I71" s="1"/>
      <c r="J71" s="1"/>
      <c r="K71" s="1"/>
      <c r="L71" s="1"/>
      <c r="M71" s="1"/>
      <c r="N71" s="1"/>
      <c r="O71" s="1"/>
      <c r="P71" s="1"/>
      <c r="Q71" s="1"/>
      <c r="R71" s="1"/>
      <c r="S71" s="1"/>
      <c r="T71" s="1"/>
      <c r="U71" s="1"/>
      <c r="V71" s="1"/>
      <c r="W71" s="1"/>
      <c r="X71" s="1"/>
    </row>
    <row r="72" spans="1:24" ht="12.75" customHeight="1" x14ac:dyDescent="0.2">
      <c r="A72" s="1"/>
      <c r="B72" s="1"/>
      <c r="C72" s="1"/>
      <c r="D72" s="1"/>
      <c r="E72" s="1"/>
      <c r="F72" s="1"/>
      <c r="G72" s="1"/>
      <c r="H72" s="1"/>
      <c r="I72" s="1"/>
      <c r="J72" s="1"/>
      <c r="K72" s="1"/>
      <c r="L72" s="1"/>
      <c r="M72" s="1"/>
      <c r="N72" s="1"/>
      <c r="O72" s="1"/>
      <c r="P72" s="1"/>
      <c r="Q72" s="1"/>
      <c r="R72" s="1"/>
      <c r="S72" s="1"/>
      <c r="T72" s="1"/>
      <c r="U72" s="1"/>
      <c r="V72" s="1"/>
      <c r="W72" s="1"/>
      <c r="X72" s="1"/>
    </row>
    <row r="73" spans="1:24" ht="12.75" customHeight="1" x14ac:dyDescent="0.2">
      <c r="A73" s="1"/>
      <c r="B73" s="1"/>
      <c r="C73" s="1"/>
      <c r="D73" s="1"/>
      <c r="E73" s="1"/>
      <c r="F73" s="1"/>
      <c r="G73" s="1"/>
      <c r="H73" s="1"/>
      <c r="I73" s="1"/>
      <c r="J73" s="1"/>
      <c r="K73" s="1"/>
      <c r="L73" s="1"/>
      <c r="M73" s="1"/>
      <c r="N73" s="1"/>
      <c r="O73" s="1"/>
      <c r="P73" s="1"/>
      <c r="Q73" s="1"/>
      <c r="R73" s="1"/>
      <c r="S73" s="1"/>
      <c r="T73" s="1"/>
      <c r="U73" s="1"/>
      <c r="V73" s="1"/>
      <c r="W73" s="1"/>
      <c r="X73" s="1"/>
    </row>
    <row r="74" spans="1:24" ht="12.75" customHeight="1" x14ac:dyDescent="0.2">
      <c r="A74" s="1"/>
      <c r="B74" s="1"/>
      <c r="C74" s="1"/>
      <c r="D74" s="1"/>
      <c r="E74" s="1"/>
      <c r="F74" s="1"/>
      <c r="G74" s="1"/>
      <c r="H74" s="1"/>
      <c r="I74" s="1"/>
      <c r="J74" s="1"/>
      <c r="K74" s="1"/>
      <c r="L74" s="1"/>
      <c r="M74" s="1"/>
      <c r="N74" s="1"/>
      <c r="O74" s="1"/>
      <c r="P74" s="1"/>
      <c r="Q74" s="1"/>
      <c r="R74" s="1"/>
      <c r="S74" s="1"/>
      <c r="T74" s="1"/>
      <c r="U74" s="1"/>
      <c r="V74" s="1"/>
      <c r="W74" s="1"/>
      <c r="X74" s="1"/>
    </row>
    <row r="75" spans="1:24" ht="12.75" customHeight="1" x14ac:dyDescent="0.2">
      <c r="A75" s="1"/>
      <c r="B75" s="1"/>
      <c r="C75" s="1"/>
      <c r="D75" s="1"/>
      <c r="E75" s="1"/>
      <c r="F75" s="1"/>
      <c r="G75" s="1"/>
      <c r="H75" s="1"/>
      <c r="I75" s="1"/>
      <c r="J75" s="1"/>
      <c r="K75" s="1"/>
      <c r="L75" s="1"/>
      <c r="M75" s="1"/>
      <c r="N75" s="1"/>
      <c r="O75" s="1"/>
      <c r="P75" s="1"/>
      <c r="Q75" s="1"/>
      <c r="R75" s="1"/>
      <c r="S75" s="1"/>
      <c r="T75" s="1"/>
      <c r="U75" s="1"/>
      <c r="V75" s="1"/>
      <c r="W75" s="1"/>
      <c r="X75" s="1"/>
    </row>
    <row r="76" spans="1:24" ht="12.75" customHeight="1" x14ac:dyDescent="0.2">
      <c r="A76" s="1"/>
      <c r="B76" s="1"/>
      <c r="C76" s="1"/>
      <c r="D76" s="1"/>
      <c r="E76" s="1"/>
      <c r="F76" s="1"/>
      <c r="G76" s="1"/>
      <c r="H76" s="1"/>
      <c r="I76" s="1"/>
      <c r="J76" s="1"/>
      <c r="K76" s="1"/>
      <c r="L76" s="1"/>
      <c r="M76" s="1"/>
      <c r="N76" s="1"/>
      <c r="O76" s="1"/>
      <c r="P76" s="1"/>
      <c r="Q76" s="1"/>
      <c r="R76" s="1"/>
      <c r="S76" s="1"/>
      <c r="T76" s="1"/>
      <c r="U76" s="1"/>
      <c r="V76" s="1"/>
      <c r="W76" s="1"/>
      <c r="X76" s="1"/>
    </row>
    <row r="77" spans="1:24" ht="12.75" customHeight="1" x14ac:dyDescent="0.2">
      <c r="A77" s="1"/>
      <c r="B77" s="1"/>
      <c r="C77" s="1"/>
      <c r="D77" s="1"/>
      <c r="E77" s="1"/>
      <c r="F77" s="1"/>
      <c r="G77" s="1"/>
      <c r="H77" s="1"/>
      <c r="I77" s="1"/>
      <c r="J77" s="1"/>
      <c r="K77" s="1"/>
      <c r="L77" s="1"/>
      <c r="M77" s="1"/>
      <c r="N77" s="1"/>
      <c r="O77" s="1"/>
      <c r="P77" s="1"/>
      <c r="Q77" s="1"/>
      <c r="R77" s="1"/>
      <c r="S77" s="1"/>
      <c r="T77" s="1"/>
      <c r="U77" s="1"/>
      <c r="V77" s="1"/>
      <c r="W77" s="1"/>
      <c r="X77" s="1"/>
    </row>
    <row r="78" spans="1:24" ht="12.75" customHeight="1" x14ac:dyDescent="0.2">
      <c r="A78" s="1"/>
      <c r="B78" s="1"/>
      <c r="C78" s="1"/>
      <c r="D78" s="1"/>
      <c r="E78" s="1"/>
      <c r="F78" s="1"/>
      <c r="G78" s="1"/>
      <c r="H78" s="1"/>
      <c r="I78" s="1"/>
      <c r="J78" s="1"/>
      <c r="K78" s="1"/>
      <c r="L78" s="1"/>
      <c r="M78" s="1"/>
      <c r="N78" s="1"/>
      <c r="O78" s="1"/>
      <c r="P78" s="1"/>
      <c r="Q78" s="1"/>
      <c r="R78" s="1"/>
      <c r="S78" s="1"/>
      <c r="T78" s="1"/>
      <c r="U78" s="1"/>
      <c r="V78" s="1"/>
      <c r="W78" s="1"/>
      <c r="X78" s="1"/>
    </row>
    <row r="79" spans="1:24" ht="12.75" customHeight="1" x14ac:dyDescent="0.2">
      <c r="A79" s="1"/>
      <c r="B79" s="1"/>
      <c r="C79" s="1"/>
      <c r="D79" s="1"/>
      <c r="E79" s="1"/>
      <c r="F79" s="1"/>
      <c r="G79" s="1"/>
      <c r="H79" s="1"/>
      <c r="I79" s="1"/>
      <c r="J79" s="1"/>
      <c r="K79" s="1"/>
      <c r="L79" s="1"/>
      <c r="M79" s="1"/>
      <c r="N79" s="1"/>
      <c r="O79" s="1"/>
      <c r="P79" s="1"/>
      <c r="Q79" s="1"/>
      <c r="R79" s="1"/>
      <c r="S79" s="1"/>
      <c r="T79" s="1"/>
      <c r="U79" s="1"/>
      <c r="V79" s="1"/>
      <c r="W79" s="1"/>
      <c r="X79" s="1"/>
    </row>
    <row r="80" spans="1:24" ht="12.75" customHeight="1" x14ac:dyDescent="0.2">
      <c r="A80" s="1"/>
      <c r="B80" s="1"/>
      <c r="C80" s="1"/>
      <c r="D80" s="1"/>
      <c r="E80" s="1"/>
      <c r="F80" s="1"/>
      <c r="G80" s="1"/>
      <c r="H80" s="1"/>
      <c r="I80" s="1"/>
      <c r="J80" s="1"/>
      <c r="K80" s="1"/>
      <c r="L80" s="1"/>
      <c r="M80" s="1"/>
      <c r="N80" s="1"/>
      <c r="O80" s="1"/>
      <c r="P80" s="1"/>
      <c r="Q80" s="1"/>
      <c r="R80" s="1"/>
      <c r="S80" s="1"/>
      <c r="T80" s="1"/>
      <c r="U80" s="1"/>
      <c r="V80" s="1"/>
      <c r="W80" s="1"/>
      <c r="X80" s="1"/>
    </row>
    <row r="81" spans="1:24" ht="12.75" customHeight="1" x14ac:dyDescent="0.2">
      <c r="A81" s="1"/>
      <c r="B81" s="1"/>
      <c r="C81" s="1"/>
      <c r="D81" s="1"/>
      <c r="E81" s="1"/>
      <c r="F81" s="1"/>
      <c r="G81" s="1"/>
      <c r="H81" s="1"/>
      <c r="I81" s="1"/>
      <c r="J81" s="1"/>
      <c r="K81" s="1"/>
      <c r="L81" s="1"/>
      <c r="M81" s="1"/>
      <c r="N81" s="1"/>
      <c r="O81" s="1"/>
      <c r="P81" s="1"/>
      <c r="Q81" s="1"/>
      <c r="R81" s="1"/>
      <c r="S81" s="1"/>
      <c r="T81" s="1"/>
      <c r="U81" s="1"/>
      <c r="V81" s="1"/>
      <c r="W81" s="1"/>
      <c r="X81" s="1"/>
    </row>
    <row r="82" spans="1:24" ht="12.75" customHeight="1" x14ac:dyDescent="0.2">
      <c r="A82" s="1"/>
      <c r="B82" s="1"/>
      <c r="C82" s="1"/>
      <c r="D82" s="1"/>
      <c r="E82" s="1"/>
      <c r="F82" s="1"/>
      <c r="G82" s="1"/>
      <c r="H82" s="1"/>
      <c r="I82" s="1"/>
      <c r="J82" s="1"/>
      <c r="K82" s="1"/>
      <c r="L82" s="1"/>
      <c r="M82" s="1"/>
      <c r="N82" s="1"/>
      <c r="O82" s="1"/>
      <c r="P82" s="1"/>
      <c r="Q82" s="1"/>
      <c r="R82" s="1"/>
      <c r="S82" s="1"/>
      <c r="T82" s="1"/>
      <c r="U82" s="1"/>
      <c r="V82" s="1"/>
      <c r="W82" s="1"/>
      <c r="X82" s="1"/>
    </row>
    <row r="83" spans="1:24" ht="12.75" customHeight="1" x14ac:dyDescent="0.2">
      <c r="A83" s="1"/>
      <c r="B83" s="1"/>
      <c r="C83" s="1"/>
      <c r="D83" s="1"/>
      <c r="E83" s="1"/>
      <c r="F83" s="1"/>
      <c r="G83" s="1"/>
      <c r="H83" s="1"/>
      <c r="I83" s="1"/>
      <c r="J83" s="1"/>
      <c r="K83" s="1"/>
      <c r="L83" s="1"/>
      <c r="M83" s="1"/>
      <c r="N83" s="1"/>
      <c r="O83" s="1"/>
      <c r="P83" s="1"/>
      <c r="Q83" s="1"/>
      <c r="R83" s="1"/>
      <c r="S83" s="1"/>
      <c r="T83" s="1"/>
      <c r="U83" s="1"/>
      <c r="V83" s="1"/>
      <c r="W83" s="1"/>
      <c r="X83" s="1"/>
    </row>
    <row r="84" spans="1:24" ht="12.75" customHeight="1" x14ac:dyDescent="0.2">
      <c r="A84" s="1"/>
      <c r="B84" s="1"/>
      <c r="C84" s="1"/>
      <c r="D84" s="1"/>
      <c r="E84" s="1"/>
      <c r="F84" s="1"/>
      <c r="G84" s="1"/>
      <c r="H84" s="1"/>
      <c r="I84" s="1"/>
      <c r="J84" s="1"/>
      <c r="K84" s="1"/>
      <c r="L84" s="1"/>
      <c r="M84" s="1"/>
      <c r="N84" s="1"/>
      <c r="O84" s="1"/>
      <c r="P84" s="1"/>
      <c r="Q84" s="1"/>
      <c r="R84" s="1"/>
      <c r="S84" s="1"/>
      <c r="T84" s="1"/>
      <c r="U84" s="1"/>
      <c r="V84" s="1"/>
      <c r="W84" s="1"/>
      <c r="X84" s="1"/>
    </row>
    <row r="85" spans="1:24" ht="12.75" customHeight="1" x14ac:dyDescent="0.2">
      <c r="A85" s="1"/>
      <c r="B85" s="1"/>
      <c r="C85" s="1"/>
      <c r="D85" s="1"/>
      <c r="E85" s="1"/>
      <c r="F85" s="1"/>
      <c r="G85" s="1"/>
      <c r="H85" s="1"/>
      <c r="I85" s="1"/>
      <c r="J85" s="1"/>
      <c r="K85" s="1"/>
      <c r="L85" s="1"/>
      <c r="M85" s="1"/>
      <c r="N85" s="1"/>
      <c r="O85" s="1"/>
      <c r="P85" s="1"/>
      <c r="Q85" s="1"/>
      <c r="R85" s="1"/>
      <c r="S85" s="1"/>
      <c r="T85" s="1"/>
      <c r="U85" s="1"/>
      <c r="V85" s="1"/>
      <c r="W85" s="1"/>
      <c r="X85" s="1"/>
    </row>
    <row r="86" spans="1:24" ht="12.75" customHeight="1" x14ac:dyDescent="0.2">
      <c r="A86" s="1"/>
      <c r="B86" s="1"/>
      <c r="C86" s="1"/>
      <c r="D86" s="1"/>
      <c r="E86" s="1"/>
      <c r="F86" s="1"/>
      <c r="G86" s="1"/>
      <c r="H86" s="1"/>
      <c r="I86" s="1"/>
      <c r="J86" s="1"/>
      <c r="K86" s="1"/>
      <c r="L86" s="1"/>
      <c r="M86" s="1"/>
      <c r="N86" s="1"/>
      <c r="O86" s="1"/>
      <c r="P86" s="1"/>
      <c r="Q86" s="1"/>
      <c r="R86" s="1"/>
      <c r="S86" s="1"/>
      <c r="T86" s="1"/>
      <c r="U86" s="1"/>
      <c r="V86" s="1"/>
      <c r="W86" s="1"/>
      <c r="X86" s="1"/>
    </row>
    <row r="87" spans="1:24" ht="12.75" customHeight="1" x14ac:dyDescent="0.2">
      <c r="A87" s="1"/>
      <c r="B87" s="1"/>
      <c r="C87" s="1"/>
      <c r="D87" s="1"/>
      <c r="E87" s="1"/>
      <c r="F87" s="1"/>
      <c r="G87" s="1"/>
      <c r="H87" s="1"/>
      <c r="I87" s="1"/>
      <c r="J87" s="1"/>
      <c r="K87" s="1"/>
      <c r="L87" s="1"/>
      <c r="M87" s="1"/>
      <c r="N87" s="1"/>
      <c r="O87" s="1"/>
      <c r="P87" s="1"/>
      <c r="Q87" s="1"/>
      <c r="R87" s="1"/>
      <c r="S87" s="1"/>
      <c r="T87" s="1"/>
      <c r="U87" s="1"/>
      <c r="V87" s="1"/>
      <c r="W87" s="1"/>
      <c r="X87" s="1"/>
    </row>
    <row r="88" spans="1:24" ht="12.75" customHeight="1" x14ac:dyDescent="0.2">
      <c r="A88" s="1"/>
      <c r="B88" s="1"/>
      <c r="C88" s="1"/>
      <c r="D88" s="1"/>
      <c r="E88" s="1"/>
      <c r="F88" s="1"/>
      <c r="G88" s="1"/>
      <c r="H88" s="1"/>
      <c r="I88" s="1"/>
      <c r="J88" s="1"/>
      <c r="K88" s="1"/>
      <c r="L88" s="1"/>
      <c r="M88" s="1"/>
      <c r="N88" s="1"/>
      <c r="O88" s="1"/>
      <c r="P88" s="1"/>
      <c r="Q88" s="1"/>
      <c r="R88" s="1"/>
      <c r="S88" s="1"/>
      <c r="T88" s="1"/>
      <c r="U88" s="1"/>
      <c r="V88" s="1"/>
      <c r="W88" s="1"/>
      <c r="X88" s="1"/>
    </row>
    <row r="89" spans="1:24" ht="12.75" customHeight="1" x14ac:dyDescent="0.2">
      <c r="A89" s="1"/>
      <c r="B89" s="1"/>
      <c r="C89" s="1"/>
      <c r="D89" s="1"/>
      <c r="E89" s="1"/>
      <c r="F89" s="1"/>
      <c r="G89" s="1"/>
      <c r="H89" s="1"/>
      <c r="I89" s="1"/>
      <c r="J89" s="1"/>
      <c r="K89" s="1"/>
      <c r="L89" s="1"/>
      <c r="M89" s="1"/>
      <c r="N89" s="1"/>
      <c r="O89" s="1"/>
      <c r="P89" s="1"/>
      <c r="Q89" s="1"/>
      <c r="R89" s="1"/>
      <c r="S89" s="1"/>
      <c r="T89" s="1"/>
      <c r="U89" s="1"/>
      <c r="V89" s="1"/>
      <c r="W89" s="1"/>
      <c r="X89" s="1"/>
    </row>
    <row r="90" spans="1:24" ht="12.75" customHeight="1" x14ac:dyDescent="0.2">
      <c r="A90" s="1"/>
      <c r="B90" s="1"/>
      <c r="C90" s="1"/>
      <c r="D90" s="1"/>
      <c r="E90" s="1"/>
      <c r="F90" s="1"/>
      <c r="G90" s="1"/>
      <c r="H90" s="1"/>
      <c r="I90" s="1"/>
      <c r="J90" s="1"/>
      <c r="K90" s="1"/>
      <c r="L90" s="1"/>
      <c r="M90" s="1"/>
      <c r="N90" s="1"/>
      <c r="O90" s="1"/>
      <c r="P90" s="1"/>
      <c r="Q90" s="1"/>
      <c r="R90" s="1"/>
      <c r="S90" s="1"/>
      <c r="T90" s="1"/>
      <c r="U90" s="1"/>
      <c r="V90" s="1"/>
      <c r="W90" s="1"/>
      <c r="X90" s="1"/>
    </row>
    <row r="91" spans="1:24" ht="12.75" customHeight="1" x14ac:dyDescent="0.2">
      <c r="A91" s="1"/>
      <c r="B91" s="1"/>
      <c r="C91" s="1"/>
      <c r="D91" s="1"/>
      <c r="E91" s="1"/>
      <c r="F91" s="1"/>
      <c r="G91" s="1"/>
      <c r="H91" s="1"/>
      <c r="I91" s="1"/>
      <c r="J91" s="1"/>
      <c r="K91" s="1"/>
      <c r="L91" s="1"/>
      <c r="M91" s="1"/>
      <c r="N91" s="1"/>
      <c r="O91" s="1"/>
      <c r="P91" s="1"/>
      <c r="Q91" s="1"/>
      <c r="R91" s="1"/>
      <c r="S91" s="1"/>
      <c r="T91" s="1"/>
      <c r="U91" s="1"/>
      <c r="V91" s="1"/>
      <c r="W91" s="1"/>
      <c r="X91" s="1"/>
    </row>
    <row r="92" spans="1:24" ht="12.75" customHeight="1" x14ac:dyDescent="0.2">
      <c r="A92" s="1"/>
      <c r="B92" s="1"/>
      <c r="C92" s="1"/>
      <c r="D92" s="1"/>
      <c r="E92" s="1"/>
      <c r="F92" s="1"/>
      <c r="G92" s="1"/>
      <c r="H92" s="1"/>
      <c r="I92" s="1"/>
      <c r="J92" s="1"/>
      <c r="K92" s="1"/>
      <c r="L92" s="1"/>
      <c r="M92" s="1"/>
      <c r="N92" s="1"/>
      <c r="O92" s="1"/>
      <c r="P92" s="1"/>
      <c r="Q92" s="1"/>
      <c r="R92" s="1"/>
      <c r="S92" s="1"/>
      <c r="T92" s="1"/>
      <c r="U92" s="1"/>
      <c r="V92" s="1"/>
      <c r="W92" s="1"/>
      <c r="X92" s="1"/>
    </row>
    <row r="93" spans="1:24" ht="12.75" customHeight="1" x14ac:dyDescent="0.2">
      <c r="A93" s="1"/>
      <c r="B93" s="1"/>
      <c r="C93" s="1"/>
      <c r="D93" s="1"/>
      <c r="E93" s="1"/>
      <c r="F93" s="1"/>
      <c r="G93" s="1"/>
      <c r="H93" s="1"/>
      <c r="I93" s="1"/>
      <c r="J93" s="1"/>
      <c r="K93" s="1"/>
      <c r="L93" s="1"/>
      <c r="M93" s="1"/>
      <c r="N93" s="1"/>
      <c r="O93" s="1"/>
      <c r="P93" s="1"/>
      <c r="Q93" s="1"/>
      <c r="R93" s="1"/>
      <c r="S93" s="1"/>
      <c r="T93" s="1"/>
      <c r="U93" s="1"/>
      <c r="V93" s="1"/>
      <c r="W93" s="1"/>
      <c r="X93" s="1"/>
    </row>
    <row r="94" spans="1:24" ht="12.75" customHeight="1" x14ac:dyDescent="0.2">
      <c r="A94" s="1"/>
      <c r="B94" s="1"/>
      <c r="C94" s="1"/>
      <c r="D94" s="1"/>
      <c r="E94" s="1"/>
      <c r="F94" s="1"/>
      <c r="G94" s="1"/>
      <c r="H94" s="1"/>
      <c r="I94" s="1"/>
      <c r="J94" s="1"/>
      <c r="K94" s="1"/>
      <c r="L94" s="1"/>
      <c r="M94" s="1"/>
      <c r="N94" s="1"/>
      <c r="O94" s="1"/>
      <c r="P94" s="1"/>
      <c r="Q94" s="1"/>
      <c r="R94" s="1"/>
      <c r="S94" s="1"/>
      <c r="T94" s="1"/>
      <c r="U94" s="1"/>
      <c r="V94" s="1"/>
      <c r="W94" s="1"/>
      <c r="X94" s="1"/>
    </row>
    <row r="95" spans="1:24" ht="12.75" customHeight="1" x14ac:dyDescent="0.2">
      <c r="A95" s="1"/>
      <c r="B95" s="1"/>
      <c r="C95" s="1"/>
      <c r="D95" s="1"/>
      <c r="E95" s="1"/>
      <c r="F95" s="1"/>
      <c r="G95" s="1"/>
      <c r="H95" s="1"/>
      <c r="I95" s="1"/>
      <c r="J95" s="1"/>
      <c r="K95" s="1"/>
      <c r="L95" s="1"/>
      <c r="M95" s="1"/>
      <c r="N95" s="1"/>
      <c r="O95" s="1"/>
      <c r="P95" s="1"/>
      <c r="Q95" s="1"/>
      <c r="R95" s="1"/>
      <c r="S95" s="1"/>
      <c r="T95" s="1"/>
      <c r="U95" s="1"/>
      <c r="V95" s="1"/>
      <c r="W95" s="1"/>
      <c r="X95" s="1"/>
    </row>
    <row r="96" spans="1:24" ht="12.75" customHeight="1" x14ac:dyDescent="0.2">
      <c r="A96" s="1"/>
      <c r="B96" s="1"/>
      <c r="C96" s="1"/>
      <c r="D96" s="1"/>
      <c r="E96" s="1"/>
      <c r="F96" s="1"/>
      <c r="G96" s="1"/>
      <c r="H96" s="1"/>
      <c r="I96" s="1"/>
      <c r="J96" s="1"/>
      <c r="K96" s="1"/>
      <c r="L96" s="1"/>
      <c r="M96" s="1"/>
      <c r="N96" s="1"/>
      <c r="O96" s="1"/>
      <c r="P96" s="1"/>
      <c r="Q96" s="1"/>
      <c r="R96" s="1"/>
      <c r="S96" s="1"/>
      <c r="T96" s="1"/>
      <c r="U96" s="1"/>
      <c r="V96" s="1"/>
      <c r="W96" s="1"/>
      <c r="X96" s="1"/>
    </row>
    <row r="97" spans="1:24" ht="12.75" customHeight="1" x14ac:dyDescent="0.2">
      <c r="A97" s="1"/>
      <c r="B97" s="1"/>
      <c r="C97" s="1"/>
      <c r="D97" s="1"/>
      <c r="E97" s="1"/>
      <c r="F97" s="1"/>
      <c r="G97" s="1"/>
      <c r="H97" s="1"/>
      <c r="I97" s="1"/>
      <c r="J97" s="1"/>
      <c r="K97" s="1"/>
      <c r="L97" s="1"/>
      <c r="M97" s="1"/>
      <c r="N97" s="1"/>
      <c r="O97" s="1"/>
      <c r="P97" s="1"/>
      <c r="Q97" s="1"/>
      <c r="R97" s="1"/>
      <c r="S97" s="1"/>
      <c r="T97" s="1"/>
      <c r="U97" s="1"/>
      <c r="V97" s="1"/>
      <c r="W97" s="1"/>
      <c r="X97" s="1"/>
    </row>
    <row r="98" spans="1:24" ht="12.75" customHeight="1" x14ac:dyDescent="0.2">
      <c r="A98" s="1"/>
      <c r="B98" s="1"/>
      <c r="C98" s="1"/>
      <c r="D98" s="1"/>
      <c r="E98" s="1"/>
      <c r="F98" s="1"/>
      <c r="G98" s="1"/>
      <c r="H98" s="1"/>
      <c r="I98" s="1"/>
      <c r="J98" s="1"/>
      <c r="K98" s="1"/>
      <c r="L98" s="1"/>
      <c r="M98" s="1"/>
      <c r="N98" s="1"/>
      <c r="O98" s="1"/>
      <c r="P98" s="1"/>
      <c r="Q98" s="1"/>
      <c r="R98" s="1"/>
      <c r="S98" s="1"/>
      <c r="T98" s="1"/>
      <c r="U98" s="1"/>
      <c r="V98" s="1"/>
      <c r="W98" s="1"/>
      <c r="X98" s="1"/>
    </row>
    <row r="99" spans="1:24" ht="12.75" customHeight="1" x14ac:dyDescent="0.2">
      <c r="A99" s="1"/>
      <c r="B99" s="1"/>
      <c r="C99" s="1"/>
      <c r="D99" s="1"/>
      <c r="E99" s="1"/>
      <c r="F99" s="1"/>
      <c r="G99" s="1"/>
      <c r="H99" s="1"/>
      <c r="I99" s="1"/>
      <c r="J99" s="1"/>
      <c r="K99" s="1"/>
      <c r="L99" s="1"/>
      <c r="M99" s="1"/>
      <c r="N99" s="1"/>
      <c r="O99" s="1"/>
      <c r="P99" s="1"/>
      <c r="Q99" s="1"/>
      <c r="R99" s="1"/>
      <c r="S99" s="1"/>
      <c r="T99" s="1"/>
      <c r="U99" s="1"/>
      <c r="V99" s="1"/>
      <c r="W99" s="1"/>
      <c r="X99" s="1"/>
    </row>
    <row r="100" spans="1:24"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row>
    <row r="101" spans="1:24"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row>
    <row r="102" spans="1:24"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row>
    <row r="103" spans="1:24"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row>
    <row r="104" spans="1:24"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row>
    <row r="105" spans="1:24"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row>
    <row r="106" spans="1:24"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row>
    <row r="107" spans="1:24"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row>
    <row r="108" spans="1:24"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row>
    <row r="109" spans="1:24"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row>
    <row r="110" spans="1:24"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row>
    <row r="111" spans="1:24"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row>
    <row r="112" spans="1:24"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row>
    <row r="113" spans="1:24"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row>
    <row r="114" spans="1:24"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row>
    <row r="115" spans="1:24"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row>
    <row r="116" spans="1:24"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row>
    <row r="117" spans="1:24"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row>
    <row r="118" spans="1:24"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row>
    <row r="119" spans="1:24"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row>
    <row r="120" spans="1:24"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row>
    <row r="121" spans="1:24"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row>
    <row r="122" spans="1:24"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row>
    <row r="123" spans="1:24"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row>
    <row r="124" spans="1:24"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row>
    <row r="125" spans="1:24"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row>
    <row r="126" spans="1:24"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row>
    <row r="127" spans="1:24"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row>
    <row r="128" spans="1:24"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row>
    <row r="129" spans="1:24"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row>
    <row r="130" spans="1:24"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row>
    <row r="131" spans="1:24"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row>
    <row r="132" spans="1:24"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row>
    <row r="133" spans="1:24"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row>
    <row r="134" spans="1:24"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row>
    <row r="135" spans="1:24"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row>
    <row r="136" spans="1:24"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row>
    <row r="137" spans="1:24"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row>
    <row r="138" spans="1:24"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row>
    <row r="139" spans="1:24"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row>
    <row r="140" spans="1:24"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row>
    <row r="141" spans="1:24"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row>
    <row r="142" spans="1:24"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row>
    <row r="143" spans="1:24"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row>
    <row r="144" spans="1:24"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row>
    <row r="145" spans="1:24"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row>
    <row r="146" spans="1:24"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row>
    <row r="147" spans="1:24"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row>
    <row r="148" spans="1:24"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row>
    <row r="149" spans="1:24"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row>
    <row r="222" spans="1:24"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row>
    <row r="223" spans="1:24"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row>
    <row r="224" spans="1:24"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row>
    <row r="225" spans="1:24"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row>
    <row r="226" spans="1:24"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row>
    <row r="227" spans="1:24"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row>
    <row r="228" spans="1:24"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row>
    <row r="229" spans="1:24"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row>
    <row r="230" spans="1:24"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row>
    <row r="231" spans="1:24"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row>
    <row r="232" spans="1:24"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row>
    <row r="233" spans="1:24"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row>
    <row r="234" spans="1:24"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row>
    <row r="235" spans="1:24"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row>
    <row r="236" spans="1:24"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row>
    <row r="237" spans="1:24"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row>
    <row r="238" spans="1:24"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row>
    <row r="239" spans="1:24"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row>
    <row r="240" spans="1:24"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row>
    <row r="241" spans="1:24"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row>
    <row r="242" spans="1:24"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row>
    <row r="243" spans="1:24"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row>
    <row r="244" spans="1:24"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row>
    <row r="245" spans="1:24"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row>
    <row r="246" spans="1:24"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row>
    <row r="247" spans="1:24"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row>
    <row r="248" spans="1:24"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row>
    <row r="249" spans="1:24"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row>
    <row r="250" spans="1:24"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row>
    <row r="251" spans="1:24"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row>
    <row r="252" spans="1:24"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row>
    <row r="253" spans="1:24"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row>
    <row r="254" spans="1:24"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row>
    <row r="255" spans="1:24"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row>
    <row r="256" spans="1:24"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row>
    <row r="257" spans="1:24"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row>
    <row r="258" spans="1:24"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row>
    <row r="259" spans="1:24"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row>
    <row r="260" spans="1:24"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row>
    <row r="261" spans="1:24"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row>
    <row r="262" spans="1:24"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row>
    <row r="263" spans="1:24"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row>
    <row r="264" spans="1:24"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row>
    <row r="265" spans="1:24"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row>
    <row r="266" spans="1:24"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row>
    <row r="267" spans="1:24"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row>
    <row r="268" spans="1:24"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row>
    <row r="269" spans="1:24"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row>
    <row r="270" spans="1:24"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row>
    <row r="271" spans="1:24"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row>
    <row r="272" spans="1:24"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row>
    <row r="273" spans="1:24"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row>
    <row r="274" spans="1:24"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row>
    <row r="275" spans="1:24"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row>
    <row r="276" spans="1:24"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row>
    <row r="277" spans="1:24"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row>
    <row r="278" spans="1:24"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row>
    <row r="279" spans="1:24"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row>
    <row r="280" spans="1:24"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row>
    <row r="281" spans="1:24"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row>
    <row r="282" spans="1:24"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row>
    <row r="283" spans="1:24"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row>
    <row r="284" spans="1:24"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row>
    <row r="285" spans="1:24"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row>
    <row r="286" spans="1:24"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row>
    <row r="287" spans="1:24"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row>
    <row r="288" spans="1:24"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row>
    <row r="289" spans="1:24"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row>
    <row r="290" spans="1:24"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row>
    <row r="291" spans="1:24"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row>
    <row r="292" spans="1:24"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row>
    <row r="293" spans="1:24"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row>
    <row r="294" spans="1:24"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row>
    <row r="295" spans="1:24"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row>
    <row r="296" spans="1:24"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row>
    <row r="297" spans="1:24"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row>
    <row r="298" spans="1:24"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row>
    <row r="299" spans="1:24"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row>
    <row r="300" spans="1:24"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row>
    <row r="301" spans="1:24"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row>
    <row r="302" spans="1:24"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row>
    <row r="303" spans="1:24"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row>
    <row r="304" spans="1:24"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row>
    <row r="305" spans="1:24"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row>
    <row r="306" spans="1:24"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row>
    <row r="307" spans="1:24"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row>
    <row r="308" spans="1:24"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row>
    <row r="309" spans="1:24"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row>
    <row r="310" spans="1:24"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row>
    <row r="311" spans="1:24"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row>
    <row r="312" spans="1:24"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row>
    <row r="313" spans="1:24"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row>
    <row r="314" spans="1:24"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row>
    <row r="315" spans="1:24"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row>
    <row r="316" spans="1:24"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row>
    <row r="317" spans="1:24"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row>
    <row r="318" spans="1:24"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row>
    <row r="319" spans="1:24"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row>
    <row r="320" spans="1:24"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row>
    <row r="321" spans="1:24"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row>
    <row r="322" spans="1:24"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row>
    <row r="323" spans="1:24"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row>
    <row r="324" spans="1:24"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row>
    <row r="325" spans="1:24"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row>
    <row r="326" spans="1:24"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row>
    <row r="327" spans="1:24"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row>
    <row r="328" spans="1:24"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row>
    <row r="329" spans="1:24"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row>
    <row r="330" spans="1:24"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row>
    <row r="331" spans="1:24"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row>
    <row r="332" spans="1:24"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row>
    <row r="333" spans="1:24"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row>
    <row r="334" spans="1:24"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row>
    <row r="335" spans="1:24"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row>
    <row r="336" spans="1:24"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row>
    <row r="337" spans="1:24"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row>
    <row r="338" spans="1:24"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row>
    <row r="339" spans="1:24"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row>
    <row r="340" spans="1:24"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row>
    <row r="341" spans="1:24"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row>
    <row r="342" spans="1:24"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row>
    <row r="343" spans="1:24"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row>
    <row r="344" spans="1:24"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row>
    <row r="345" spans="1:24"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row>
    <row r="346" spans="1:24"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row>
    <row r="347" spans="1:24"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row>
    <row r="348" spans="1:24"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row>
    <row r="349" spans="1:24"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row>
    <row r="350" spans="1:24"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row>
    <row r="351" spans="1:24"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row>
    <row r="352" spans="1:24"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row>
    <row r="353" spans="1:24"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row>
    <row r="354" spans="1:24"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row>
    <row r="355" spans="1:24"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row>
    <row r="356" spans="1:24"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row>
    <row r="357" spans="1:24"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row>
    <row r="358" spans="1:24"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row>
    <row r="359" spans="1:24"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row>
    <row r="360" spans="1:24"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row>
    <row r="361" spans="1:24"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row>
    <row r="362" spans="1:24"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row>
    <row r="363" spans="1:24"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row>
    <row r="364" spans="1:24"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row>
    <row r="365" spans="1:24"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row>
    <row r="366" spans="1:24"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row>
    <row r="367" spans="1:24"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row>
    <row r="368" spans="1:24"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row>
    <row r="369" spans="1:24"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row>
    <row r="370" spans="1:24"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row>
    <row r="371" spans="1:24"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row>
    <row r="372" spans="1:24"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row>
    <row r="373" spans="1:24"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row>
    <row r="374" spans="1:24"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row>
    <row r="375" spans="1:24"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row>
    <row r="376" spans="1:24"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row>
    <row r="377" spans="1:24"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row>
    <row r="378" spans="1:24"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row>
    <row r="379" spans="1:24"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row>
    <row r="380" spans="1:24"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row>
    <row r="381" spans="1:24"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row>
    <row r="382" spans="1:24"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row>
    <row r="383" spans="1:24"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row>
    <row r="384" spans="1:24"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row>
    <row r="385" spans="1:24"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row>
    <row r="386" spans="1:24"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row>
    <row r="387" spans="1:24"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row>
    <row r="388" spans="1:24"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row>
    <row r="389" spans="1:24"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row>
    <row r="390" spans="1:24"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row>
    <row r="391" spans="1:24"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row>
    <row r="392" spans="1:24"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row>
    <row r="393" spans="1:24"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row>
    <row r="394" spans="1:24"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row>
    <row r="395" spans="1:24"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row>
    <row r="396" spans="1:24"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row>
    <row r="397" spans="1:24"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row>
    <row r="398" spans="1:24"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row>
    <row r="399" spans="1:24"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row>
    <row r="400" spans="1:24"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row>
    <row r="401" spans="1:24"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row>
    <row r="402" spans="1:24"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row>
    <row r="403" spans="1:24"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row>
    <row r="404" spans="1:24"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row>
    <row r="405" spans="1:24"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row>
    <row r="406" spans="1:24"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row>
    <row r="407" spans="1:24"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row>
    <row r="408" spans="1:24"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row>
    <row r="409" spans="1:24"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row>
    <row r="410" spans="1:24"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row>
    <row r="411" spans="1:24"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row>
    <row r="412" spans="1:24"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row>
    <row r="413" spans="1:24"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row>
    <row r="414" spans="1:24"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row>
    <row r="415" spans="1:24"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row>
    <row r="416" spans="1:24"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row>
    <row r="417" spans="1:24"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row>
    <row r="418" spans="1:24"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row>
    <row r="419" spans="1:24"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row>
    <row r="420" spans="1:24"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row>
    <row r="421" spans="1:24"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row>
    <row r="422" spans="1:24"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row>
    <row r="423" spans="1:24"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row>
    <row r="424" spans="1:24"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row>
    <row r="425" spans="1:24"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row>
    <row r="426" spans="1:24"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row>
    <row r="427" spans="1:24"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row>
    <row r="428" spans="1:24"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row>
    <row r="429" spans="1:24"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row>
    <row r="430" spans="1:24"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row>
    <row r="431" spans="1:24"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row>
    <row r="432" spans="1:24"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row>
    <row r="433" spans="1:24"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row>
    <row r="434" spans="1:24"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row>
    <row r="435" spans="1:24"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row>
    <row r="436" spans="1:24"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row>
    <row r="437" spans="1:24"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row>
    <row r="438" spans="1:24"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row>
    <row r="439" spans="1:24"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row>
    <row r="440" spans="1:24"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row>
    <row r="441" spans="1:24"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row>
    <row r="442" spans="1:24"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row>
    <row r="443" spans="1:24"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row>
    <row r="444" spans="1:24"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row>
    <row r="445" spans="1:24"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row>
    <row r="446" spans="1:24"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row>
    <row r="447" spans="1:24"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row>
    <row r="448" spans="1:24"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row>
    <row r="449" spans="1:24"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row>
    <row r="450" spans="1:24"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row>
    <row r="451" spans="1:24"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row>
    <row r="452" spans="1:24"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row>
    <row r="453" spans="1:24"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row>
    <row r="454" spans="1:24"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row>
    <row r="455" spans="1:24"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row>
    <row r="456" spans="1:24"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row>
    <row r="457" spans="1:24"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row>
    <row r="458" spans="1:24"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row>
    <row r="459" spans="1:24"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row>
    <row r="460" spans="1:24"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row>
    <row r="461" spans="1:24"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row>
    <row r="462" spans="1:24"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row>
    <row r="463" spans="1:24"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row>
    <row r="464" spans="1:24"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row>
    <row r="465" spans="1:24"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row>
    <row r="466" spans="1:24"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row>
    <row r="467" spans="1:24"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row>
    <row r="468" spans="1:24"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row>
    <row r="469" spans="1:24"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row>
    <row r="470" spans="1:24"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row>
    <row r="471" spans="1:24"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row>
    <row r="472" spans="1:24"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row>
    <row r="473" spans="1:24"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row>
    <row r="474" spans="1:24"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row>
    <row r="475" spans="1:24"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row>
    <row r="476" spans="1:24"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row>
    <row r="477" spans="1:24"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row>
    <row r="478" spans="1:24"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row>
    <row r="479" spans="1:24"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row>
    <row r="480" spans="1:24"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row>
    <row r="481" spans="1:24"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row>
    <row r="482" spans="1:24"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row>
    <row r="483" spans="1:24"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row>
    <row r="484" spans="1:24"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row>
    <row r="485" spans="1:24"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row>
    <row r="486" spans="1:24"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row>
    <row r="487" spans="1:24"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row>
    <row r="488" spans="1:24"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row>
    <row r="489" spans="1:24"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row>
    <row r="490" spans="1:24"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row>
    <row r="491" spans="1:24"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row>
    <row r="492" spans="1:24"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row>
    <row r="493" spans="1:24"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row>
    <row r="494" spans="1:24"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row>
    <row r="495" spans="1:24"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row>
    <row r="496" spans="1:24"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row>
    <row r="497" spans="1:24"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row>
    <row r="498" spans="1:24"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row>
    <row r="499" spans="1:24"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row>
    <row r="500" spans="1:24"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row>
    <row r="501" spans="1:24"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row>
    <row r="502" spans="1:24"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row>
    <row r="503" spans="1:24"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row>
    <row r="504" spans="1:24"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row>
    <row r="505" spans="1:24"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row>
    <row r="506" spans="1:24"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row>
    <row r="507" spans="1:24"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row>
    <row r="508" spans="1:24"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row>
    <row r="509" spans="1:24"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row>
    <row r="510" spans="1:24"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row>
    <row r="511" spans="1:24"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row>
    <row r="512" spans="1:24"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row>
    <row r="513" spans="1:24"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row>
    <row r="514" spans="1:24"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row>
    <row r="515" spans="1:24"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row>
    <row r="516" spans="1:24"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row>
    <row r="517" spans="1:24"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row>
    <row r="518" spans="1:24"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row>
    <row r="519" spans="1:24"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row>
    <row r="520" spans="1:24"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row>
    <row r="521" spans="1:24"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row>
    <row r="522" spans="1:24"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row>
    <row r="523" spans="1:24"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row>
    <row r="524" spans="1:24"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row>
    <row r="525" spans="1:24"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row>
    <row r="526" spans="1:24"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row>
    <row r="527" spans="1:24"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row>
    <row r="528" spans="1:24"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row>
    <row r="529" spans="1:24"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row>
    <row r="530" spans="1:24"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row>
    <row r="531" spans="1:24"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row>
    <row r="532" spans="1:24"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row>
    <row r="533" spans="1:24"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row>
    <row r="534" spans="1:24"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row>
    <row r="535" spans="1:24"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row>
    <row r="536" spans="1:24"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row>
    <row r="537" spans="1:24"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row>
    <row r="538" spans="1:24"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row>
    <row r="539" spans="1:24"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row>
    <row r="540" spans="1:24"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row>
    <row r="541" spans="1:24"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row>
    <row r="542" spans="1:24"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row>
    <row r="543" spans="1:24"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row>
    <row r="544" spans="1:24"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row>
    <row r="545" spans="1:24"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row>
    <row r="546" spans="1:24"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row>
    <row r="547" spans="1:24"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row>
    <row r="548" spans="1:24"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row>
    <row r="549" spans="1:24"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row>
    <row r="550" spans="1:24"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row>
    <row r="551" spans="1:24"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row>
    <row r="552" spans="1:24"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row>
    <row r="553" spans="1:24"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row>
    <row r="554" spans="1:24"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row>
    <row r="555" spans="1:24"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row>
    <row r="556" spans="1:24"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row>
    <row r="557" spans="1:24"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row>
    <row r="558" spans="1:24"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row>
    <row r="559" spans="1:24"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row>
    <row r="560" spans="1:24"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row>
    <row r="561" spans="1:24"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row>
    <row r="562" spans="1:24"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row>
    <row r="563" spans="1:24"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row>
    <row r="564" spans="1:24"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row>
    <row r="565" spans="1:24"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row>
    <row r="566" spans="1:24"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row>
    <row r="567" spans="1:24"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row>
    <row r="568" spans="1:24"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row>
    <row r="569" spans="1:24"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row>
    <row r="570" spans="1:24"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row>
    <row r="571" spans="1:24"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row>
    <row r="572" spans="1:24"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row>
    <row r="573" spans="1:24"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row>
    <row r="574" spans="1:24"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row>
    <row r="575" spans="1:24"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row>
    <row r="576" spans="1:24"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row>
    <row r="577" spans="1:24"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row>
    <row r="578" spans="1:24"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row>
    <row r="579" spans="1:24"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row>
    <row r="580" spans="1:24"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row>
    <row r="581" spans="1:24"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row>
    <row r="582" spans="1:24"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row>
    <row r="583" spans="1:24"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row>
    <row r="584" spans="1:24"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row>
    <row r="585" spans="1:24"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row>
    <row r="586" spans="1:24"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row>
    <row r="587" spans="1:24"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row>
    <row r="588" spans="1:24"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row>
    <row r="589" spans="1:24"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row>
    <row r="590" spans="1:24"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row>
    <row r="591" spans="1:24"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row>
    <row r="592" spans="1:24"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row>
    <row r="593" spans="1:24"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row>
    <row r="594" spans="1:24"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row>
    <row r="595" spans="1:24"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row>
    <row r="596" spans="1:24"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row>
    <row r="597" spans="1:24"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row>
    <row r="598" spans="1:24"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row>
    <row r="599" spans="1:24"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row>
    <row r="600" spans="1:24"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row>
    <row r="601" spans="1:24"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row>
    <row r="602" spans="1:24"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row>
    <row r="603" spans="1:24"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row>
    <row r="604" spans="1:24"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row>
    <row r="605" spans="1:24"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row>
    <row r="606" spans="1:24"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row>
    <row r="607" spans="1:24"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row>
    <row r="608" spans="1:24"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row>
    <row r="609" spans="1:24"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row>
    <row r="610" spans="1:24"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row>
    <row r="611" spans="1:24"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row>
    <row r="612" spans="1:24"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row>
    <row r="613" spans="1:24"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row>
    <row r="614" spans="1:24"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row>
    <row r="615" spans="1:24"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row>
    <row r="616" spans="1:24"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row>
    <row r="617" spans="1:24"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row>
    <row r="618" spans="1:24"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row>
    <row r="619" spans="1:24"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row>
    <row r="620" spans="1:24"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row>
    <row r="621" spans="1:24"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row>
    <row r="622" spans="1:24"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row>
    <row r="623" spans="1:24"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row>
    <row r="624" spans="1:24"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row>
    <row r="625" spans="1:24"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row>
    <row r="626" spans="1:24"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row>
    <row r="627" spans="1:24"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row>
    <row r="628" spans="1:24"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row>
    <row r="629" spans="1:24"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row>
    <row r="630" spans="1:24"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row>
    <row r="631" spans="1:24"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row>
    <row r="632" spans="1:24"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row>
    <row r="633" spans="1:24"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row>
    <row r="634" spans="1:24"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row>
    <row r="635" spans="1:24"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row>
    <row r="636" spans="1:24"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row>
    <row r="637" spans="1:24"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row>
    <row r="638" spans="1:24"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row>
    <row r="639" spans="1:24"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row>
    <row r="640" spans="1:24"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row>
    <row r="641" spans="1:24"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row>
    <row r="642" spans="1:24"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row>
    <row r="643" spans="1:24"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row>
    <row r="644" spans="1:24"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row>
    <row r="645" spans="1:24"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row>
    <row r="646" spans="1:24"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row>
    <row r="647" spans="1:24"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row>
    <row r="648" spans="1:24"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row>
    <row r="649" spans="1:24"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row>
    <row r="650" spans="1:24"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row>
    <row r="651" spans="1:24"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row>
    <row r="652" spans="1:24"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row>
    <row r="653" spans="1:24"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row>
    <row r="654" spans="1:24"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row>
    <row r="655" spans="1:24"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row>
    <row r="656" spans="1:24"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row>
    <row r="657" spans="1:24"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row>
    <row r="658" spans="1:24"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row>
    <row r="659" spans="1:24"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row>
    <row r="660" spans="1:24"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row>
    <row r="661" spans="1:24"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row>
    <row r="662" spans="1:24"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row>
    <row r="663" spans="1:24"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row>
    <row r="664" spans="1:24"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row>
    <row r="665" spans="1:24"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row>
    <row r="666" spans="1:24"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row>
    <row r="667" spans="1:24"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row>
    <row r="668" spans="1:24"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row>
    <row r="669" spans="1:24"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row>
    <row r="670" spans="1:24"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row>
    <row r="671" spans="1:24"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row>
    <row r="672" spans="1:24"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row>
    <row r="673" spans="1:24"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row>
    <row r="674" spans="1:24"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row>
    <row r="675" spans="1:24"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row>
    <row r="676" spans="1:24"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row>
    <row r="677" spans="1:24"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row>
    <row r="678" spans="1:24"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row>
    <row r="679" spans="1:24"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row>
    <row r="680" spans="1:24"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row>
    <row r="681" spans="1:24"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row>
    <row r="682" spans="1:24"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row>
    <row r="683" spans="1:24"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row>
    <row r="684" spans="1:24"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row>
    <row r="685" spans="1:24"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row>
    <row r="686" spans="1:24"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row>
    <row r="687" spans="1:24"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row>
    <row r="688" spans="1:24"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row>
    <row r="689" spans="1:24"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row>
    <row r="690" spans="1:24"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row>
    <row r="691" spans="1:24"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row>
    <row r="692" spans="1:24"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row>
    <row r="693" spans="1:24"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row>
    <row r="694" spans="1:24"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row>
    <row r="695" spans="1:24"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row>
    <row r="696" spans="1:24"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row>
    <row r="697" spans="1:24"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row>
    <row r="698" spans="1:24"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row>
    <row r="699" spans="1:24"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row>
    <row r="700" spans="1:24"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row>
    <row r="701" spans="1:24"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row>
    <row r="702" spans="1:24"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row>
    <row r="703" spans="1:24"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row>
    <row r="704" spans="1:24"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row>
    <row r="705" spans="1:24"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row>
    <row r="706" spans="1:24"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row>
    <row r="707" spans="1:24"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row>
    <row r="708" spans="1:24"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row>
    <row r="709" spans="1:24"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row>
    <row r="710" spans="1:24"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row>
    <row r="711" spans="1:24"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row>
    <row r="712" spans="1:24"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row>
    <row r="713" spans="1:24"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row>
    <row r="714" spans="1:24"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row>
    <row r="715" spans="1:24"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row>
    <row r="716" spans="1:24"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row>
    <row r="717" spans="1:24"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row>
    <row r="718" spans="1:24"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row>
    <row r="719" spans="1:24"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row>
    <row r="720" spans="1:24"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row>
    <row r="721" spans="1:24"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row>
    <row r="722" spans="1:24"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row>
    <row r="723" spans="1:24"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row>
    <row r="724" spans="1:24"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row>
    <row r="725" spans="1:24"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row>
    <row r="726" spans="1:24"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row>
    <row r="727" spans="1:24"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row>
    <row r="728" spans="1:24"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row>
    <row r="729" spans="1:24"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row>
    <row r="730" spans="1:24"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row>
    <row r="731" spans="1:24"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row>
    <row r="732" spans="1:24"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row>
    <row r="733" spans="1:24"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row>
    <row r="734" spans="1:24"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row>
    <row r="735" spans="1:24"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row>
    <row r="736" spans="1:24"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row>
    <row r="737" spans="1:24"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row>
    <row r="738" spans="1:24"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row>
    <row r="739" spans="1:24"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row>
    <row r="740" spans="1:24"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row>
    <row r="741" spans="1:24"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row>
    <row r="742" spans="1:24"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row>
    <row r="743" spans="1:24"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row>
    <row r="744" spans="1:24"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row>
    <row r="745" spans="1:24"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row>
    <row r="746" spans="1:24"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row>
    <row r="747" spans="1:24"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row>
    <row r="748" spans="1:24"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row>
    <row r="749" spans="1:24"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row>
    <row r="750" spans="1:24"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row>
    <row r="751" spans="1:24"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row>
    <row r="752" spans="1:24"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row>
    <row r="753" spans="1:24"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row>
    <row r="754" spans="1:24"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row>
    <row r="755" spans="1:24"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row>
    <row r="756" spans="1:24"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row>
    <row r="757" spans="1:24"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row>
    <row r="758" spans="1:24"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row>
    <row r="759" spans="1:24"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row>
    <row r="760" spans="1:24"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row>
    <row r="761" spans="1:24"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row>
    <row r="762" spans="1:24"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row>
    <row r="763" spans="1:24"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row>
    <row r="764" spans="1:24"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row>
    <row r="765" spans="1:24"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row>
    <row r="766" spans="1:24"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row>
    <row r="767" spans="1:24"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row>
    <row r="768" spans="1:24"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row>
    <row r="769" spans="1:24"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row>
    <row r="770" spans="1:24"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row>
    <row r="771" spans="1:24"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row>
    <row r="772" spans="1:24"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row>
    <row r="773" spans="1:24"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row>
    <row r="774" spans="1:24"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row>
    <row r="775" spans="1:24"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row>
    <row r="776" spans="1:24"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row>
    <row r="777" spans="1:24"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row>
    <row r="778" spans="1:24"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row>
    <row r="779" spans="1:24"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row>
    <row r="780" spans="1:24"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row>
    <row r="781" spans="1:24"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row>
    <row r="782" spans="1:24"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row>
    <row r="783" spans="1:24"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row>
    <row r="784" spans="1:24"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row>
    <row r="785" spans="1:24"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row>
    <row r="786" spans="1:24"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row>
    <row r="787" spans="1:24"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row>
    <row r="788" spans="1:24"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row>
    <row r="789" spans="1:24"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row>
    <row r="790" spans="1:24"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row>
    <row r="791" spans="1:24"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row>
    <row r="792" spans="1:24"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row>
    <row r="793" spans="1:24"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row>
    <row r="794" spans="1:24"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row>
    <row r="795" spans="1:24"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row>
    <row r="796" spans="1:24"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row>
    <row r="797" spans="1:24"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row>
    <row r="798" spans="1:24"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row>
    <row r="799" spans="1:24"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row>
    <row r="800" spans="1:24"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row>
    <row r="801" spans="1:24"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row>
    <row r="802" spans="1:24"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row>
    <row r="803" spans="1:24"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row>
    <row r="804" spans="1:24"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row>
    <row r="805" spans="1:24"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row>
    <row r="806" spans="1:24"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row>
    <row r="807" spans="1:24"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row>
    <row r="808" spans="1:24"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row>
    <row r="809" spans="1:24"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row>
    <row r="810" spans="1:24"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row>
    <row r="811" spans="1:24"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row>
    <row r="812" spans="1:24"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row>
    <row r="813" spans="1:24"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row>
    <row r="814" spans="1:24"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row>
    <row r="815" spans="1:24"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row>
    <row r="816" spans="1:24"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row>
    <row r="817" spans="1:24"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row>
    <row r="818" spans="1:24"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row>
    <row r="819" spans="1:24"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row>
    <row r="820" spans="1:24"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row>
    <row r="821" spans="1:24"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row>
    <row r="822" spans="1:24"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row>
    <row r="823" spans="1:24"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row>
    <row r="824" spans="1:24"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row>
    <row r="825" spans="1:24"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row>
    <row r="826" spans="1:24"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row>
    <row r="827" spans="1:24"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row>
    <row r="828" spans="1:24"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row>
    <row r="829" spans="1:24"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row>
    <row r="830" spans="1:24"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row>
    <row r="831" spans="1:24"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row>
    <row r="832" spans="1:24"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row>
    <row r="833" spans="1:24"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row>
    <row r="834" spans="1:24"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row>
    <row r="835" spans="1:24"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row>
    <row r="836" spans="1:24"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row>
    <row r="837" spans="1:24"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row>
    <row r="838" spans="1:24"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row>
    <row r="839" spans="1:24"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row>
    <row r="840" spans="1:24"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row>
    <row r="841" spans="1:24"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row>
    <row r="842" spans="1:24"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row>
    <row r="843" spans="1:24"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row>
    <row r="844" spans="1:24"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row>
    <row r="845" spans="1:24"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row>
    <row r="846" spans="1:24"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row>
    <row r="847" spans="1:24"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row>
    <row r="848" spans="1:24"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row>
    <row r="849" spans="1:24"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row>
    <row r="850" spans="1:24"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row>
    <row r="851" spans="1:24"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row>
    <row r="852" spans="1:24"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row>
    <row r="853" spans="1:24"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row>
    <row r="854" spans="1:24"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row>
    <row r="855" spans="1:24"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row>
    <row r="856" spans="1:24"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row>
    <row r="857" spans="1:24"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row>
    <row r="858" spans="1:24"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row>
    <row r="859" spans="1:24"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row>
    <row r="860" spans="1:24"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row>
    <row r="861" spans="1:24"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row>
    <row r="862" spans="1:24"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row>
    <row r="863" spans="1:24"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row>
    <row r="864" spans="1:24"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row>
    <row r="865" spans="1:24"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row>
    <row r="866" spans="1:24"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row>
    <row r="867" spans="1:24"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row>
    <row r="868" spans="1:24"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row>
    <row r="869" spans="1:24"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row>
    <row r="870" spans="1:24"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row>
    <row r="871" spans="1:24"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row>
    <row r="872" spans="1:24"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row>
    <row r="873" spans="1:24"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row>
    <row r="874" spans="1:24"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row>
    <row r="875" spans="1:24"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row>
    <row r="876" spans="1:24"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row>
    <row r="877" spans="1:24"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row>
    <row r="878" spans="1:24"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row>
    <row r="879" spans="1:24"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row>
    <row r="880" spans="1:24"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row>
    <row r="881" spans="1:24"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row>
    <row r="882" spans="1:24"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row>
    <row r="883" spans="1:24"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row>
    <row r="884" spans="1:24"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row>
    <row r="885" spans="1:24"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row>
    <row r="886" spans="1:24"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row>
    <row r="887" spans="1:24"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row>
    <row r="888" spans="1:24"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row>
    <row r="889" spans="1:24"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row>
    <row r="890" spans="1:24"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row>
    <row r="891" spans="1:24"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row>
    <row r="892" spans="1:24"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row>
    <row r="893" spans="1:24"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row>
    <row r="894" spans="1:24"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row>
    <row r="895" spans="1:24"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row>
    <row r="896" spans="1:24"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row>
    <row r="897" spans="1:24"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row>
    <row r="898" spans="1:24"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row>
    <row r="899" spans="1:24"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row>
    <row r="900" spans="1:24"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row>
    <row r="901" spans="1:24"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row>
    <row r="902" spans="1:24"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row>
    <row r="903" spans="1:24"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row>
    <row r="904" spans="1:24"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row>
    <row r="905" spans="1:24"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row>
    <row r="906" spans="1:24"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row>
    <row r="907" spans="1:24"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row>
    <row r="908" spans="1:24"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row>
    <row r="909" spans="1:24"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row>
    <row r="910" spans="1:24"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row>
    <row r="911" spans="1:24"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row>
    <row r="912" spans="1:24"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row>
    <row r="913" spans="1:24"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row>
    <row r="914" spans="1:24"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row>
    <row r="915" spans="1:24"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row>
    <row r="916" spans="1:24"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row>
    <row r="917" spans="1:24"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row>
    <row r="918" spans="1:24"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row>
    <row r="919" spans="1:24"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row>
    <row r="920" spans="1:24"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row>
    <row r="921" spans="1:24"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row>
    <row r="922" spans="1:24"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row>
    <row r="923" spans="1:24"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row>
    <row r="924" spans="1:24"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row>
    <row r="925" spans="1:24"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row>
    <row r="926" spans="1:24"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row>
    <row r="927" spans="1:24"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row>
    <row r="928" spans="1:24"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row>
    <row r="929" spans="1:24"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row>
    <row r="930" spans="1:24"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row>
    <row r="931" spans="1:24"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row>
    <row r="932" spans="1:24"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row>
    <row r="933" spans="1:24"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row>
    <row r="934" spans="1:24"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row>
    <row r="935" spans="1:24"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row>
    <row r="936" spans="1:24"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row>
    <row r="937" spans="1:24"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row>
    <row r="938" spans="1:24"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row>
    <row r="939" spans="1:24"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row>
    <row r="940" spans="1:24"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row>
    <row r="941" spans="1:24"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row>
    <row r="942" spans="1:24"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row>
    <row r="943" spans="1:24"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row>
    <row r="944" spans="1:24"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row>
    <row r="945" spans="1:24"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row>
    <row r="946" spans="1:24"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row>
    <row r="947" spans="1:24"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row>
    <row r="948" spans="1:24"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row>
    <row r="949" spans="1:24"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row>
    <row r="950" spans="1:24"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row>
    <row r="951" spans="1:24"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row>
    <row r="952" spans="1:24"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row>
    <row r="953" spans="1:24"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row>
    <row r="954" spans="1:24"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row>
    <row r="955" spans="1:24"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row>
    <row r="956" spans="1:24"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row>
    <row r="957" spans="1:24"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row>
    <row r="958" spans="1:24"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row>
    <row r="959" spans="1:24"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row>
    <row r="960" spans="1:24"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row>
    <row r="961" spans="1:24"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row>
    <row r="962" spans="1:24"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row>
    <row r="963" spans="1:24"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row>
    <row r="964" spans="1:24"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row>
    <row r="965" spans="1:24"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row>
    <row r="966" spans="1:24"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row>
    <row r="967" spans="1:24"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row>
    <row r="968" spans="1:24"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row>
    <row r="969" spans="1:24"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row>
    <row r="970" spans="1:24"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row>
    <row r="971" spans="1:24"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row>
    <row r="972" spans="1:24"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row>
    <row r="973" spans="1:24"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row>
    <row r="974" spans="1:24"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row>
    <row r="975" spans="1:24"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row>
    <row r="976" spans="1:24"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row>
    <row r="977" spans="1:24"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row>
    <row r="978" spans="1:24"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row>
    <row r="979" spans="1:24"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row>
    <row r="980" spans="1:24"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row>
    <row r="981" spans="1:24"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row>
    <row r="982" spans="1:24"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row>
    <row r="983" spans="1:24"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row>
    <row r="984" spans="1:24"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row>
    <row r="985" spans="1:24"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row>
    <row r="986" spans="1:24"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row>
    <row r="987" spans="1:24"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row>
    <row r="988" spans="1:24"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row>
    <row r="989" spans="1:24"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row>
    <row r="990" spans="1:24"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row>
    <row r="991" spans="1:24"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row>
    <row r="992" spans="1:24"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row>
    <row r="993" spans="1:24"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row>
    <row r="994" spans="1:24"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row>
    <row r="995" spans="1:24"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row>
    <row r="996" spans="1:24"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row>
    <row r="997" spans="1:24"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row>
    <row r="998" spans="1:24"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row>
    <row r="999" spans="1:24"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row>
    <row r="1000" spans="1:24"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row>
    <row r="1001" spans="1:24" ht="12.75" customHeight="1"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row>
    <row r="1002" spans="1:24" ht="12.75" customHeight="1"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row>
  </sheetData>
  <mergeCells count="10">
    <mergeCell ref="A1:L1"/>
    <mergeCell ref="C3:D3"/>
    <mergeCell ref="E3:F3"/>
    <mergeCell ref="A3:B3"/>
    <mergeCell ref="G3:H3"/>
    <mergeCell ref="K3:L3"/>
    <mergeCell ref="I3:J3"/>
    <mergeCell ref="C2:D2"/>
    <mergeCell ref="E2:F2"/>
    <mergeCell ref="G2:L2"/>
  </mergeCells>
  <pageMargins left="0.75" right="0.75" top="1" bottom="1" header="0.3" footer="0.3"/>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2"/>
  <sheetViews>
    <sheetView workbookViewId="0">
      <pane xSplit="1" ySplit="4" topLeftCell="B5" activePane="bottomRight" state="frozen"/>
      <selection pane="topRight" activeCell="B1" sqref="B1"/>
      <selection pane="bottomLeft" activeCell="A5" sqref="A5"/>
      <selection pane="bottomRight" activeCell="K27" sqref="K27"/>
    </sheetView>
  </sheetViews>
  <sheetFormatPr defaultColWidth="17.28515625" defaultRowHeight="15" customHeight="1" x14ac:dyDescent="0.2"/>
  <cols>
    <col min="1" max="1" width="11.28515625" customWidth="1"/>
    <col min="2" max="2" width="9.5703125" customWidth="1"/>
    <col min="3" max="4" width="12.28515625" customWidth="1"/>
    <col min="5" max="5" width="11" customWidth="1"/>
    <col min="6" max="6" width="11.7109375" customWidth="1"/>
    <col min="7" max="7" width="7.7109375" customWidth="1"/>
    <col min="8" max="8" width="12.7109375" customWidth="1"/>
    <col min="9" max="9" width="9.5703125" customWidth="1"/>
    <col min="10" max="10" width="11.28515625" customWidth="1"/>
    <col min="11" max="11" width="10.85546875" customWidth="1"/>
    <col min="12" max="12" width="14.5703125" customWidth="1"/>
    <col min="13" max="22" width="11.42578125" customWidth="1"/>
    <col min="23" max="26" width="10" customWidth="1"/>
  </cols>
  <sheetData>
    <row r="1" spans="1:26" ht="12.75" customHeight="1" x14ac:dyDescent="0.2">
      <c r="A1" s="163" t="s">
        <v>306</v>
      </c>
      <c r="B1" s="162"/>
      <c r="C1" s="162"/>
      <c r="D1" s="162"/>
      <c r="E1" s="162"/>
      <c r="F1" s="162"/>
      <c r="G1" s="162"/>
      <c r="H1" s="162"/>
      <c r="I1" s="162"/>
      <c r="J1" s="162"/>
      <c r="K1" s="162"/>
      <c r="L1" s="160"/>
      <c r="M1" s="1"/>
      <c r="N1" s="1"/>
      <c r="O1" s="1"/>
      <c r="P1" s="1"/>
      <c r="Q1" s="1"/>
      <c r="R1" s="1"/>
      <c r="S1" s="1"/>
      <c r="T1" s="1"/>
      <c r="U1" s="1"/>
      <c r="V1" s="1"/>
      <c r="W1" s="1"/>
      <c r="X1" s="1"/>
      <c r="Y1" s="1"/>
      <c r="Z1" s="1"/>
    </row>
    <row r="2" spans="1:26" ht="12.75" customHeight="1" x14ac:dyDescent="0.2">
      <c r="A2" s="25" t="s">
        <v>103</v>
      </c>
      <c r="B2" s="26"/>
      <c r="C2" s="156" t="s">
        <v>307</v>
      </c>
      <c r="D2" s="167"/>
      <c r="E2" s="157" t="s">
        <v>510</v>
      </c>
      <c r="F2" s="164"/>
      <c r="G2" s="161"/>
      <c r="H2" s="162"/>
      <c r="I2" s="162"/>
      <c r="J2" s="162"/>
      <c r="K2" s="162"/>
      <c r="L2" s="160"/>
      <c r="M2" s="1"/>
      <c r="N2" s="1"/>
      <c r="O2" s="1"/>
      <c r="P2" s="1"/>
      <c r="Q2" s="1"/>
      <c r="R2" s="1"/>
      <c r="S2" s="1"/>
      <c r="T2" s="1"/>
      <c r="U2" s="1"/>
      <c r="V2" s="1"/>
      <c r="W2" s="1"/>
      <c r="X2" s="1"/>
      <c r="Y2" s="1"/>
      <c r="Z2" s="1"/>
    </row>
    <row r="3" spans="1:26" ht="12.75" customHeight="1" x14ac:dyDescent="0.2">
      <c r="A3" s="154" t="s">
        <v>101</v>
      </c>
      <c r="B3" s="160"/>
      <c r="C3" s="152" t="s">
        <v>40</v>
      </c>
      <c r="D3" s="167"/>
      <c r="E3" s="148" t="s">
        <v>43</v>
      </c>
      <c r="F3" s="164"/>
      <c r="G3" s="147" t="s">
        <v>107</v>
      </c>
      <c r="H3" s="160"/>
      <c r="I3" s="147" t="s">
        <v>30</v>
      </c>
      <c r="J3" s="160"/>
      <c r="K3" s="147" t="s">
        <v>108</v>
      </c>
      <c r="L3" s="160"/>
      <c r="M3" s="1"/>
      <c r="N3" s="1"/>
      <c r="O3" s="1"/>
      <c r="P3" s="1"/>
      <c r="Q3" s="1"/>
      <c r="R3" s="1"/>
      <c r="S3" s="1"/>
      <c r="T3" s="1"/>
      <c r="U3" s="1"/>
      <c r="V3" s="1"/>
      <c r="W3" s="1"/>
      <c r="X3" s="1"/>
      <c r="Y3" s="1"/>
      <c r="Z3" s="1"/>
    </row>
    <row r="4" spans="1:26" ht="12.75" customHeight="1" x14ac:dyDescent="0.2">
      <c r="A4" s="12"/>
      <c r="B4" s="12">
        <f>+B6+B7+B17+B18+B24+B25+B31+B32</f>
        <v>6498</v>
      </c>
      <c r="C4" s="78">
        <f>SUM(C6,C17,C24,C31,C32)</f>
        <v>1748</v>
      </c>
      <c r="D4" s="79">
        <f>IF((I4=0),"",(C4/I4))</f>
        <v>0.56007689842999042</v>
      </c>
      <c r="E4" s="63">
        <f>SUM(E6,E17,E24,E31,E32)</f>
        <v>1314</v>
      </c>
      <c r="F4" s="64">
        <f>IF((I4=0),"",(E4/I4))</f>
        <v>0.42101890419737265</v>
      </c>
      <c r="G4" s="12">
        <f>SUM(G6,G17,G24,G31,G32)</f>
        <v>59</v>
      </c>
      <c r="H4" s="13">
        <f>IF((I4=0),"",(G4/I4))</f>
        <v>1.8904197372636974E-2</v>
      </c>
      <c r="I4" s="12">
        <f>SUM(I6,I17,I24,I31,I32)</f>
        <v>3121</v>
      </c>
      <c r="J4" s="13">
        <f>IF((B4=0),"",(I4/B4))</f>
        <v>0.48030163127116038</v>
      </c>
      <c r="K4" s="12">
        <f>B4-I4</f>
        <v>3377</v>
      </c>
      <c r="L4" s="13">
        <f>IF((B4=0),"",(K4/B4))</f>
        <v>0.51969836872883968</v>
      </c>
      <c r="M4" s="1"/>
      <c r="N4" s="1"/>
      <c r="O4" s="1"/>
      <c r="P4" s="1"/>
      <c r="Q4" s="1"/>
      <c r="R4" s="1"/>
      <c r="S4" s="1"/>
      <c r="T4" s="1"/>
      <c r="U4" s="1"/>
      <c r="V4" s="1"/>
      <c r="W4" s="1"/>
      <c r="X4" s="1"/>
      <c r="Y4" s="1"/>
      <c r="Z4" s="1"/>
    </row>
    <row r="5" spans="1:26" ht="12.75" customHeight="1" x14ac:dyDescent="0.2">
      <c r="A5" s="14" t="s">
        <v>308</v>
      </c>
      <c r="B5" s="32" t="s">
        <v>309</v>
      </c>
      <c r="C5" s="86"/>
      <c r="D5" s="86"/>
      <c r="E5" s="90"/>
      <c r="F5" s="90"/>
      <c r="G5" s="16"/>
      <c r="H5" s="16"/>
      <c r="I5" s="16"/>
      <c r="J5" s="16"/>
      <c r="K5" s="16"/>
      <c r="L5" s="16"/>
      <c r="M5" s="1"/>
      <c r="N5" s="1"/>
      <c r="O5" s="1"/>
      <c r="P5" s="1"/>
      <c r="Q5" s="1"/>
      <c r="R5" s="1"/>
      <c r="S5" s="1"/>
      <c r="T5" s="1"/>
      <c r="U5" s="1"/>
      <c r="V5" s="1"/>
      <c r="W5" s="1"/>
      <c r="X5" s="1"/>
      <c r="Y5" s="1"/>
      <c r="Z5" s="1"/>
    </row>
    <row r="6" spans="1:26" ht="12.75" customHeight="1" x14ac:dyDescent="0.2">
      <c r="A6" s="12" t="s">
        <v>310</v>
      </c>
      <c r="B6" s="12">
        <v>432</v>
      </c>
      <c r="C6" s="78">
        <v>84</v>
      </c>
      <c r="D6" s="79">
        <f>IF((I6=0),"",(C6/I6))</f>
        <v>0.375</v>
      </c>
      <c r="E6" s="63">
        <v>138</v>
      </c>
      <c r="F6" s="64">
        <f>IF((I6=0),"",(E6/I6))</f>
        <v>0.6160714285714286</v>
      </c>
      <c r="G6" s="12">
        <v>2</v>
      </c>
      <c r="H6" s="13">
        <f>IF((I6=0),"",(G6/I6))</f>
        <v>8.9285714285714281E-3</v>
      </c>
      <c r="I6" s="12">
        <f>SUM(C6,E6,G6)</f>
        <v>224</v>
      </c>
      <c r="J6" s="13">
        <f>IF((B6=0),"",(I6/B6))</f>
        <v>0.51851851851851849</v>
      </c>
      <c r="K6" s="12">
        <f>B6-I6</f>
        <v>208</v>
      </c>
      <c r="L6" s="13">
        <f>IF((B6=0),"",(K6/B6))</f>
        <v>0.48148148148148145</v>
      </c>
      <c r="M6" s="1"/>
      <c r="N6" s="1"/>
      <c r="O6" s="1"/>
      <c r="P6" s="1"/>
      <c r="Q6" s="1"/>
      <c r="R6" s="1"/>
      <c r="S6" s="1"/>
      <c r="T6" s="1"/>
      <c r="U6" s="1"/>
      <c r="V6" s="1"/>
      <c r="W6" s="1"/>
      <c r="X6" s="1"/>
      <c r="Y6" s="1"/>
      <c r="Z6" s="1"/>
    </row>
    <row r="7" spans="1:26" s="52" customFormat="1" ht="12.75" customHeight="1" x14ac:dyDescent="0.2">
      <c r="A7" s="32" t="s">
        <v>542</v>
      </c>
      <c r="B7" s="32">
        <v>8</v>
      </c>
      <c r="C7" s="78"/>
      <c r="D7" s="79"/>
      <c r="E7" s="63"/>
      <c r="F7" s="64"/>
      <c r="G7" s="32"/>
      <c r="H7" s="28"/>
      <c r="I7" s="32"/>
      <c r="J7" s="28"/>
      <c r="K7" s="32"/>
      <c r="L7" s="28"/>
      <c r="M7" s="1"/>
      <c r="N7" s="1"/>
      <c r="O7" s="1"/>
      <c r="P7" s="1"/>
      <c r="Q7" s="1"/>
      <c r="R7" s="1"/>
      <c r="S7" s="1"/>
      <c r="T7" s="1"/>
      <c r="U7" s="1"/>
      <c r="V7" s="1"/>
      <c r="W7" s="1"/>
      <c r="X7" s="1"/>
      <c r="Y7" s="1"/>
      <c r="Z7" s="1"/>
    </row>
    <row r="8" spans="1:26" ht="12.75" customHeight="1" x14ac:dyDescent="0.2">
      <c r="A8" s="14" t="s">
        <v>311</v>
      </c>
      <c r="B8" s="32" t="s">
        <v>312</v>
      </c>
      <c r="C8" s="86"/>
      <c r="D8" s="86"/>
      <c r="E8" s="90"/>
      <c r="F8" s="90"/>
      <c r="G8" s="16"/>
      <c r="H8" s="16"/>
      <c r="I8" s="16"/>
      <c r="J8" s="16"/>
      <c r="K8" s="16"/>
      <c r="L8" s="16"/>
      <c r="M8" s="1"/>
      <c r="N8" s="1"/>
      <c r="O8" s="1"/>
      <c r="P8" s="1"/>
      <c r="Q8" s="1"/>
      <c r="R8" s="1"/>
      <c r="S8" s="1"/>
      <c r="T8" s="1"/>
      <c r="U8" s="1"/>
      <c r="V8" s="1"/>
      <c r="W8" s="1"/>
      <c r="X8" s="1"/>
      <c r="Y8" s="1"/>
      <c r="Z8" s="1"/>
    </row>
    <row r="9" spans="1:26" ht="12.75" customHeight="1" x14ac:dyDescent="0.2">
      <c r="A9" s="15" t="s">
        <v>511</v>
      </c>
      <c r="B9" s="15">
        <v>374</v>
      </c>
      <c r="C9" s="81">
        <v>94</v>
      </c>
      <c r="D9" s="82">
        <f t="shared" ref="D9:D17" si="0">IF((I9=0),"",(C9/I9))</f>
        <v>0.53714285714285714</v>
      </c>
      <c r="E9" s="66">
        <v>81</v>
      </c>
      <c r="F9" s="67">
        <f t="shared" ref="F9:F17" si="1">IF((I9=0),"",(E9/I9))</f>
        <v>0.46285714285714286</v>
      </c>
      <c r="G9" s="15">
        <v>0</v>
      </c>
      <c r="H9" s="17">
        <f t="shared" ref="H9:H17" si="2">IF((I9=0),"",(G9/I9))</f>
        <v>0</v>
      </c>
      <c r="I9" s="15">
        <f t="shared" ref="I9:I16" si="3">SUM(C9,E9,G9)</f>
        <v>175</v>
      </c>
      <c r="J9" s="17">
        <f t="shared" ref="J9:J17" si="4">IF((B9=0),"",(I9/B9))</f>
        <v>0.46791443850267378</v>
      </c>
      <c r="K9" s="15">
        <f>B9-I9</f>
        <v>199</v>
      </c>
      <c r="L9" s="17">
        <f t="shared" ref="L9:L17" si="5">IF((B9=0),"",(K9/B9))</f>
        <v>0.53208556149732622</v>
      </c>
      <c r="M9" s="1"/>
      <c r="N9" s="1"/>
      <c r="O9" s="1"/>
      <c r="P9" s="1"/>
      <c r="Q9" s="1"/>
      <c r="R9" s="1"/>
      <c r="S9" s="1"/>
      <c r="T9" s="1"/>
      <c r="U9" s="1"/>
      <c r="V9" s="1"/>
      <c r="W9" s="1"/>
      <c r="X9" s="1"/>
      <c r="Y9" s="1"/>
      <c r="Z9" s="1"/>
    </row>
    <row r="10" spans="1:26" ht="12.75" customHeight="1" x14ac:dyDescent="0.2">
      <c r="A10" s="15" t="s">
        <v>512</v>
      </c>
      <c r="B10" s="15">
        <v>408</v>
      </c>
      <c r="C10" s="81">
        <v>84</v>
      </c>
      <c r="D10" s="82">
        <f t="shared" si="0"/>
        <v>0.4375</v>
      </c>
      <c r="E10" s="66">
        <v>103</v>
      </c>
      <c r="F10" s="67">
        <f t="shared" si="1"/>
        <v>0.53645833333333337</v>
      </c>
      <c r="G10" s="15">
        <v>5</v>
      </c>
      <c r="H10" s="17">
        <f t="shared" si="2"/>
        <v>2.6041666666666668E-2</v>
      </c>
      <c r="I10" s="15">
        <f t="shared" si="3"/>
        <v>192</v>
      </c>
      <c r="J10" s="17">
        <f t="shared" si="4"/>
        <v>0.47058823529411764</v>
      </c>
      <c r="K10" s="29">
        <f t="shared" ref="K10:K16" si="6">B10-I10</f>
        <v>216</v>
      </c>
      <c r="L10" s="17">
        <f t="shared" si="5"/>
        <v>0.52941176470588236</v>
      </c>
      <c r="M10" s="1"/>
      <c r="N10" s="1"/>
      <c r="O10" s="1"/>
      <c r="P10" s="1"/>
      <c r="Q10" s="1"/>
      <c r="R10" s="1"/>
      <c r="S10" s="1"/>
      <c r="T10" s="1"/>
      <c r="U10" s="1"/>
      <c r="V10" s="1"/>
      <c r="W10" s="1"/>
      <c r="X10" s="1"/>
      <c r="Y10" s="1"/>
      <c r="Z10" s="1"/>
    </row>
    <row r="11" spans="1:26" ht="12.75" customHeight="1" x14ac:dyDescent="0.2">
      <c r="A11" s="15" t="s">
        <v>178</v>
      </c>
      <c r="B11" s="15">
        <v>387</v>
      </c>
      <c r="C11" s="81">
        <v>86</v>
      </c>
      <c r="D11" s="82">
        <f t="shared" si="0"/>
        <v>0.50292397660818711</v>
      </c>
      <c r="E11" s="66">
        <v>84</v>
      </c>
      <c r="F11" s="67">
        <f t="shared" si="1"/>
        <v>0.49122807017543857</v>
      </c>
      <c r="G11" s="15">
        <v>1</v>
      </c>
      <c r="H11" s="17">
        <f t="shared" si="2"/>
        <v>5.8479532163742687E-3</v>
      </c>
      <c r="I11" s="15">
        <f t="shared" si="3"/>
        <v>171</v>
      </c>
      <c r="J11" s="17">
        <f t="shared" si="4"/>
        <v>0.44186046511627908</v>
      </c>
      <c r="K11" s="29">
        <f t="shared" si="6"/>
        <v>216</v>
      </c>
      <c r="L11" s="17">
        <f t="shared" si="5"/>
        <v>0.55813953488372092</v>
      </c>
      <c r="M11" s="1"/>
      <c r="N11" s="1"/>
      <c r="O11" s="1"/>
      <c r="P11" s="1"/>
      <c r="Q11" s="1"/>
      <c r="R11" s="1"/>
      <c r="S11" s="1"/>
      <c r="T11" s="1"/>
      <c r="U11" s="1"/>
      <c r="V11" s="1"/>
      <c r="W11" s="1"/>
      <c r="X11" s="1"/>
      <c r="Y11" s="1"/>
      <c r="Z11" s="1"/>
    </row>
    <row r="12" spans="1:26" ht="12.75" customHeight="1" x14ac:dyDescent="0.2">
      <c r="A12" s="15" t="s">
        <v>449</v>
      </c>
      <c r="B12" s="15">
        <v>368</v>
      </c>
      <c r="C12" s="81">
        <v>84</v>
      </c>
      <c r="D12" s="82">
        <f t="shared" si="0"/>
        <v>0.51851851851851849</v>
      </c>
      <c r="E12" s="66">
        <v>77</v>
      </c>
      <c r="F12" s="67">
        <f t="shared" si="1"/>
        <v>0.47530864197530864</v>
      </c>
      <c r="G12" s="15">
        <v>1</v>
      </c>
      <c r="H12" s="17">
        <f t="shared" si="2"/>
        <v>6.1728395061728392E-3</v>
      </c>
      <c r="I12" s="15">
        <f t="shared" si="3"/>
        <v>162</v>
      </c>
      <c r="J12" s="17">
        <f t="shared" si="4"/>
        <v>0.44021739130434784</v>
      </c>
      <c r="K12" s="29">
        <f t="shared" si="6"/>
        <v>206</v>
      </c>
      <c r="L12" s="17">
        <f t="shared" si="5"/>
        <v>0.55978260869565222</v>
      </c>
      <c r="M12" s="1"/>
      <c r="N12" s="1"/>
      <c r="O12" s="1"/>
      <c r="P12" s="1"/>
      <c r="Q12" s="1"/>
      <c r="R12" s="1"/>
      <c r="S12" s="1"/>
      <c r="T12" s="1"/>
      <c r="U12" s="1"/>
      <c r="V12" s="1"/>
      <c r="W12" s="1"/>
      <c r="X12" s="1"/>
      <c r="Y12" s="1"/>
      <c r="Z12" s="1"/>
    </row>
    <row r="13" spans="1:26" ht="12.75" customHeight="1" x14ac:dyDescent="0.2">
      <c r="A13" s="15" t="s">
        <v>389</v>
      </c>
      <c r="B13" s="15">
        <v>369</v>
      </c>
      <c r="C13" s="81">
        <v>101</v>
      </c>
      <c r="D13" s="82">
        <f t="shared" si="0"/>
        <v>0.58381502890173409</v>
      </c>
      <c r="E13" s="66">
        <v>69</v>
      </c>
      <c r="F13" s="67">
        <f t="shared" si="1"/>
        <v>0.39884393063583817</v>
      </c>
      <c r="G13" s="15">
        <v>3</v>
      </c>
      <c r="H13" s="17">
        <f t="shared" si="2"/>
        <v>1.7341040462427744E-2</v>
      </c>
      <c r="I13" s="15">
        <f t="shared" si="3"/>
        <v>173</v>
      </c>
      <c r="J13" s="17">
        <f t="shared" si="4"/>
        <v>0.46883468834688347</v>
      </c>
      <c r="K13" s="29">
        <f t="shared" si="6"/>
        <v>196</v>
      </c>
      <c r="L13" s="17">
        <f t="shared" si="5"/>
        <v>0.53116531165311653</v>
      </c>
      <c r="M13" s="1"/>
      <c r="N13" s="1"/>
      <c r="O13" s="1"/>
      <c r="P13" s="1"/>
      <c r="Q13" s="1"/>
      <c r="R13" s="1"/>
      <c r="S13" s="1"/>
      <c r="T13" s="1"/>
      <c r="U13" s="1"/>
      <c r="V13" s="1"/>
      <c r="W13" s="1"/>
      <c r="X13" s="1"/>
      <c r="Y13" s="1"/>
      <c r="Z13" s="1"/>
    </row>
    <row r="14" spans="1:26" ht="12.75" customHeight="1" x14ac:dyDescent="0.2">
      <c r="A14" s="15" t="s">
        <v>200</v>
      </c>
      <c r="B14" s="15">
        <v>299</v>
      </c>
      <c r="C14" s="81">
        <v>77</v>
      </c>
      <c r="D14" s="82">
        <f t="shared" si="0"/>
        <v>0.58333333333333337</v>
      </c>
      <c r="E14" s="66">
        <v>52</v>
      </c>
      <c r="F14" s="67">
        <f t="shared" si="1"/>
        <v>0.39393939393939392</v>
      </c>
      <c r="G14" s="15">
        <v>3</v>
      </c>
      <c r="H14" s="17">
        <f t="shared" si="2"/>
        <v>2.2727272727272728E-2</v>
      </c>
      <c r="I14" s="15">
        <f t="shared" si="3"/>
        <v>132</v>
      </c>
      <c r="J14" s="17">
        <f t="shared" si="4"/>
        <v>0.4414715719063545</v>
      </c>
      <c r="K14" s="29">
        <f t="shared" si="6"/>
        <v>167</v>
      </c>
      <c r="L14" s="17">
        <f t="shared" si="5"/>
        <v>0.55852842809364545</v>
      </c>
      <c r="M14" s="1"/>
      <c r="N14" s="1"/>
      <c r="O14" s="1"/>
      <c r="P14" s="1"/>
      <c r="Q14" s="1"/>
      <c r="R14" s="1"/>
      <c r="S14" s="1"/>
      <c r="T14" s="1"/>
      <c r="U14" s="1"/>
      <c r="V14" s="1"/>
      <c r="W14" s="1"/>
      <c r="X14" s="1"/>
      <c r="Y14" s="1"/>
      <c r="Z14" s="1"/>
    </row>
    <row r="15" spans="1:26" ht="12.75" customHeight="1" x14ac:dyDescent="0.2">
      <c r="A15" s="15" t="s">
        <v>413</v>
      </c>
      <c r="B15" s="15">
        <v>387</v>
      </c>
      <c r="C15" s="81">
        <v>92</v>
      </c>
      <c r="D15" s="82">
        <f t="shared" si="0"/>
        <v>0.51111111111111107</v>
      </c>
      <c r="E15" s="66">
        <v>81</v>
      </c>
      <c r="F15" s="67">
        <f t="shared" si="1"/>
        <v>0.45</v>
      </c>
      <c r="G15" s="15">
        <v>7</v>
      </c>
      <c r="H15" s="17">
        <f t="shared" si="2"/>
        <v>3.888888888888889E-2</v>
      </c>
      <c r="I15" s="15">
        <f t="shared" si="3"/>
        <v>180</v>
      </c>
      <c r="J15" s="17">
        <f t="shared" si="4"/>
        <v>0.46511627906976744</v>
      </c>
      <c r="K15" s="29">
        <f t="shared" si="6"/>
        <v>207</v>
      </c>
      <c r="L15" s="17">
        <f t="shared" si="5"/>
        <v>0.53488372093023251</v>
      </c>
      <c r="M15" s="1"/>
      <c r="N15" s="1"/>
      <c r="O15" s="1"/>
      <c r="P15" s="1"/>
      <c r="Q15" s="1"/>
      <c r="R15" s="1"/>
      <c r="S15" s="1"/>
      <c r="T15" s="1"/>
      <c r="U15" s="1"/>
      <c r="V15" s="1"/>
      <c r="W15" s="1"/>
      <c r="X15" s="1"/>
      <c r="Y15" s="1"/>
      <c r="Z15" s="1"/>
    </row>
    <row r="16" spans="1:26" ht="12.75" customHeight="1" x14ac:dyDescent="0.2">
      <c r="A16" s="15" t="s">
        <v>491</v>
      </c>
      <c r="B16" s="15">
        <v>343</v>
      </c>
      <c r="C16" s="81">
        <v>89</v>
      </c>
      <c r="D16" s="82">
        <f t="shared" si="0"/>
        <v>0.50282485875706218</v>
      </c>
      <c r="E16" s="66">
        <v>82</v>
      </c>
      <c r="F16" s="67">
        <f t="shared" si="1"/>
        <v>0.4632768361581921</v>
      </c>
      <c r="G16" s="15">
        <v>6</v>
      </c>
      <c r="H16" s="17">
        <f t="shared" si="2"/>
        <v>3.3898305084745763E-2</v>
      </c>
      <c r="I16" s="15">
        <f t="shared" si="3"/>
        <v>177</v>
      </c>
      <c r="J16" s="17">
        <f t="shared" si="4"/>
        <v>0.51603498542274051</v>
      </c>
      <c r="K16" s="29">
        <f t="shared" si="6"/>
        <v>166</v>
      </c>
      <c r="L16" s="17">
        <f t="shared" si="5"/>
        <v>0.48396501457725949</v>
      </c>
      <c r="M16" s="1"/>
      <c r="N16" s="1"/>
      <c r="O16" s="1"/>
      <c r="P16" s="1"/>
      <c r="Q16" s="1"/>
      <c r="R16" s="1"/>
      <c r="S16" s="1"/>
      <c r="T16" s="1"/>
      <c r="U16" s="1"/>
      <c r="V16" s="1"/>
      <c r="W16" s="1"/>
      <c r="X16" s="1"/>
      <c r="Y16" s="1"/>
      <c r="Z16" s="1"/>
    </row>
    <row r="17" spans="1:26" ht="12.75" customHeight="1" x14ac:dyDescent="0.2">
      <c r="A17" s="12" t="s">
        <v>120</v>
      </c>
      <c r="B17" s="12">
        <f>SUM(B9:B16)</f>
        <v>2935</v>
      </c>
      <c r="C17" s="78">
        <f>SUM(C9:C16)</f>
        <v>707</v>
      </c>
      <c r="D17" s="79">
        <f t="shared" si="0"/>
        <v>0.51908957415565349</v>
      </c>
      <c r="E17" s="63">
        <f>SUM(E9:E16)</f>
        <v>629</v>
      </c>
      <c r="F17" s="64">
        <f t="shared" si="1"/>
        <v>0.46182085168869308</v>
      </c>
      <c r="G17" s="12">
        <f>SUM(G9:G16)</f>
        <v>26</v>
      </c>
      <c r="H17" s="13">
        <f t="shared" si="2"/>
        <v>1.908957415565345E-2</v>
      </c>
      <c r="I17" s="12">
        <f>SUM(I9:I16)</f>
        <v>1362</v>
      </c>
      <c r="J17" s="13">
        <f t="shared" si="4"/>
        <v>0.46405451448040885</v>
      </c>
      <c r="K17" s="12">
        <f>SUM(K9:K16)</f>
        <v>1573</v>
      </c>
      <c r="L17" s="13">
        <f t="shared" si="5"/>
        <v>0.53594548551959109</v>
      </c>
      <c r="M17" s="1"/>
      <c r="N17" s="1"/>
      <c r="O17" s="1"/>
      <c r="P17" s="1"/>
      <c r="Q17" s="1"/>
      <c r="R17" s="1"/>
      <c r="S17" s="1"/>
      <c r="T17" s="1"/>
      <c r="U17" s="1"/>
      <c r="V17" s="1"/>
      <c r="W17" s="1"/>
      <c r="X17" s="1"/>
      <c r="Y17" s="1"/>
      <c r="Z17" s="1"/>
    </row>
    <row r="18" spans="1:26" s="52" customFormat="1" ht="12.75" customHeight="1" x14ac:dyDescent="0.2">
      <c r="A18" s="32" t="s">
        <v>542</v>
      </c>
      <c r="B18" s="32">
        <v>47</v>
      </c>
      <c r="C18" s="78"/>
      <c r="D18" s="79"/>
      <c r="E18" s="63"/>
      <c r="F18" s="64"/>
      <c r="G18" s="32"/>
      <c r="H18" s="28"/>
      <c r="I18" s="32"/>
      <c r="J18" s="28"/>
      <c r="K18" s="32"/>
      <c r="L18" s="28"/>
      <c r="M18" s="1"/>
      <c r="N18" s="1"/>
      <c r="O18" s="1"/>
      <c r="P18" s="1"/>
      <c r="Q18" s="1"/>
      <c r="R18" s="1"/>
      <c r="S18" s="1"/>
      <c r="T18" s="1"/>
      <c r="U18" s="1"/>
      <c r="V18" s="1"/>
      <c r="W18" s="1"/>
      <c r="X18" s="1"/>
      <c r="Y18" s="1"/>
      <c r="Z18" s="1"/>
    </row>
    <row r="19" spans="1:26" ht="12.75" customHeight="1" x14ac:dyDescent="0.2">
      <c r="A19" s="14" t="s">
        <v>313</v>
      </c>
      <c r="B19" s="32" t="s">
        <v>314</v>
      </c>
      <c r="C19" s="86"/>
      <c r="D19" s="86"/>
      <c r="E19" s="90"/>
      <c r="F19" s="90"/>
      <c r="G19" s="16"/>
      <c r="H19" s="16"/>
      <c r="I19" s="16"/>
      <c r="J19" s="16"/>
      <c r="K19" s="16"/>
      <c r="L19" s="16"/>
      <c r="M19" s="1"/>
      <c r="N19" s="1"/>
      <c r="O19" s="1"/>
      <c r="P19" s="1"/>
      <c r="Q19" s="1"/>
      <c r="R19" s="1"/>
      <c r="S19" s="1"/>
      <c r="T19" s="1"/>
      <c r="U19" s="1"/>
      <c r="V19" s="1"/>
      <c r="W19" s="1"/>
      <c r="X19" s="1"/>
      <c r="Y19" s="1"/>
      <c r="Z19" s="1"/>
    </row>
    <row r="20" spans="1:26" ht="12.75" customHeight="1" x14ac:dyDescent="0.2">
      <c r="A20" s="15" t="s">
        <v>191</v>
      </c>
      <c r="B20" s="15">
        <v>413</v>
      </c>
      <c r="C20" s="81">
        <v>126</v>
      </c>
      <c r="D20" s="82">
        <f>IF((I20=0),"",(C20/I20))</f>
        <v>0.68852459016393441</v>
      </c>
      <c r="E20" s="66">
        <v>53</v>
      </c>
      <c r="F20" s="67">
        <f>IF((I20=0),"",(E20/I20))</f>
        <v>0.2896174863387978</v>
      </c>
      <c r="G20" s="15">
        <v>4</v>
      </c>
      <c r="H20" s="17">
        <f>IF((I20=0),"",(G20/I20))</f>
        <v>2.185792349726776E-2</v>
      </c>
      <c r="I20" s="15">
        <f>SUM(C20,E20,G20)</f>
        <v>183</v>
      </c>
      <c r="J20" s="17">
        <f>IF((B20=0),"",(I20/B20))</f>
        <v>0.4430992736077482</v>
      </c>
      <c r="K20" s="15">
        <f>B20-I20</f>
        <v>230</v>
      </c>
      <c r="L20" s="17">
        <f>IF((B20=0),"",(K20/B20))</f>
        <v>0.55690072639225185</v>
      </c>
      <c r="M20" s="1"/>
      <c r="N20" s="1"/>
      <c r="O20" s="1"/>
      <c r="P20" s="1"/>
      <c r="Q20" s="1"/>
      <c r="R20" s="1"/>
      <c r="S20" s="1"/>
      <c r="T20" s="1"/>
      <c r="U20" s="1"/>
      <c r="V20" s="1"/>
      <c r="W20" s="1"/>
      <c r="X20" s="1"/>
      <c r="Y20" s="1"/>
      <c r="Z20" s="1"/>
    </row>
    <row r="21" spans="1:26" ht="12.75" customHeight="1" x14ac:dyDescent="0.2">
      <c r="A21" s="15" t="s">
        <v>192</v>
      </c>
      <c r="B21" s="15">
        <v>373</v>
      </c>
      <c r="C21" s="81">
        <v>125</v>
      </c>
      <c r="D21" s="82">
        <f>IF((I21=0),"",(C21/I21))</f>
        <v>0.69060773480662985</v>
      </c>
      <c r="E21" s="66">
        <v>52</v>
      </c>
      <c r="F21" s="67">
        <f>IF((I21=0),"",(E21/I21))</f>
        <v>0.287292817679558</v>
      </c>
      <c r="G21" s="15">
        <v>4</v>
      </c>
      <c r="H21" s="17">
        <f>IF((I21=0),"",(G21/I21))</f>
        <v>2.2099447513812154E-2</v>
      </c>
      <c r="I21" s="15">
        <f>SUM(C21,E21,G21)</f>
        <v>181</v>
      </c>
      <c r="J21" s="17">
        <f>IF((B21=0),"",(I21/B21))</f>
        <v>0.48525469168900803</v>
      </c>
      <c r="K21" s="29">
        <f>B21-I21</f>
        <v>192</v>
      </c>
      <c r="L21" s="17">
        <f>IF((B21=0),"",(K21/B21))</f>
        <v>0.51474530831099197</v>
      </c>
      <c r="M21" s="1"/>
      <c r="N21" s="1"/>
      <c r="O21" s="1"/>
      <c r="P21" s="1"/>
      <c r="Q21" s="1"/>
      <c r="R21" s="1"/>
      <c r="S21" s="1"/>
      <c r="T21" s="1"/>
      <c r="U21" s="1"/>
      <c r="V21" s="1"/>
      <c r="W21" s="1"/>
      <c r="X21" s="1"/>
      <c r="Y21" s="1"/>
      <c r="Z21" s="1"/>
    </row>
    <row r="22" spans="1:26" ht="12.75" customHeight="1" x14ac:dyDescent="0.2">
      <c r="A22" s="15" t="s">
        <v>153</v>
      </c>
      <c r="B22" s="15">
        <v>278</v>
      </c>
      <c r="C22" s="81">
        <v>74</v>
      </c>
      <c r="D22" s="82">
        <f>IF((I22=0),"",(C22/I22))</f>
        <v>0.58267716535433067</v>
      </c>
      <c r="E22" s="66">
        <v>46</v>
      </c>
      <c r="F22" s="67">
        <f>IF((I22=0),"",(E22/I22))</f>
        <v>0.36220472440944884</v>
      </c>
      <c r="G22" s="15">
        <v>7</v>
      </c>
      <c r="H22" s="17">
        <f>IF((I22=0),"",(G22/I22))</f>
        <v>5.5118110236220472E-2</v>
      </c>
      <c r="I22" s="15">
        <f>SUM(C22,E22,G22)</f>
        <v>127</v>
      </c>
      <c r="J22" s="17">
        <f>IF((B22=0),"",(I22/B22))</f>
        <v>0.45683453237410071</v>
      </c>
      <c r="K22" s="29">
        <f>B22-I22</f>
        <v>151</v>
      </c>
      <c r="L22" s="17">
        <f>IF((B22=0),"",(K22/B22))</f>
        <v>0.54316546762589923</v>
      </c>
      <c r="M22" s="1"/>
      <c r="N22" s="1"/>
      <c r="O22" s="1"/>
      <c r="P22" s="1"/>
      <c r="Q22" s="1"/>
      <c r="R22" s="1"/>
      <c r="S22" s="1"/>
      <c r="T22" s="1"/>
      <c r="U22" s="1"/>
      <c r="V22" s="1"/>
      <c r="W22" s="1"/>
      <c r="X22" s="1"/>
      <c r="Y22" s="1"/>
      <c r="Z22" s="1"/>
    </row>
    <row r="23" spans="1:26" ht="12.75" customHeight="1" x14ac:dyDescent="0.2">
      <c r="A23" s="15" t="s">
        <v>145</v>
      </c>
      <c r="B23" s="15">
        <v>269</v>
      </c>
      <c r="C23" s="81">
        <v>93</v>
      </c>
      <c r="D23" s="82">
        <f>IF((I23=0),"",(C23/I23))</f>
        <v>0.69402985074626866</v>
      </c>
      <c r="E23" s="66">
        <v>39</v>
      </c>
      <c r="F23" s="67">
        <f>IF((I23=0),"",(E23/I23))</f>
        <v>0.29104477611940299</v>
      </c>
      <c r="G23" s="15">
        <v>2</v>
      </c>
      <c r="H23" s="17">
        <f>IF((I23=0),"",(G23/I23))</f>
        <v>1.4925373134328358E-2</v>
      </c>
      <c r="I23" s="15">
        <f>SUM(C23,E23,G23)</f>
        <v>134</v>
      </c>
      <c r="J23" s="17">
        <f>IF((B23=0),"",(I23/B23))</f>
        <v>0.49814126394052044</v>
      </c>
      <c r="K23" s="29">
        <f>B23-I23</f>
        <v>135</v>
      </c>
      <c r="L23" s="17">
        <f>IF((B23=0),"",(K23/B23))</f>
        <v>0.5018587360594795</v>
      </c>
      <c r="M23" s="1"/>
      <c r="N23" s="1"/>
      <c r="O23" s="1"/>
      <c r="P23" s="1"/>
      <c r="Q23" s="1"/>
      <c r="R23" s="1"/>
      <c r="S23" s="1"/>
      <c r="T23" s="1"/>
      <c r="U23" s="1"/>
      <c r="V23" s="1"/>
      <c r="W23" s="1"/>
      <c r="X23" s="1"/>
      <c r="Y23" s="1"/>
      <c r="Z23" s="1"/>
    </row>
    <row r="24" spans="1:26" ht="12.75" customHeight="1" x14ac:dyDescent="0.2">
      <c r="A24" s="12" t="s">
        <v>120</v>
      </c>
      <c r="B24" s="12">
        <f>SUM(B20:B23)</f>
        <v>1333</v>
      </c>
      <c r="C24" s="78">
        <f>SUM(C20:C23)</f>
        <v>418</v>
      </c>
      <c r="D24" s="79">
        <f>IF((I24=0),"",(C24/I24))</f>
        <v>0.66879999999999995</v>
      </c>
      <c r="E24" s="63">
        <f>SUM(E20:E23)</f>
        <v>190</v>
      </c>
      <c r="F24" s="64">
        <f>IF((I24=0),"",(E24/I24))</f>
        <v>0.30399999999999999</v>
      </c>
      <c r="G24" s="12">
        <f>SUM(G20:G23)</f>
        <v>17</v>
      </c>
      <c r="H24" s="13">
        <f>IF((I24=0),"",(G24/I24))</f>
        <v>2.7199999999999998E-2</v>
      </c>
      <c r="I24" s="12">
        <f>SUM(I20:I23)</f>
        <v>625</v>
      </c>
      <c r="J24" s="13">
        <f>IF((B24=0),"",(I24/B24))</f>
        <v>0.46886721680420107</v>
      </c>
      <c r="K24" s="12">
        <f>SUM(K20:K23)</f>
        <v>708</v>
      </c>
      <c r="L24" s="13">
        <f>IF((B24=0),"",(K24/B24))</f>
        <v>0.53113278319579893</v>
      </c>
      <c r="M24" s="1"/>
      <c r="N24" s="1"/>
      <c r="O24" s="1"/>
      <c r="P24" s="1"/>
      <c r="Q24" s="1"/>
      <c r="R24" s="1"/>
      <c r="S24" s="1"/>
      <c r="T24" s="1"/>
      <c r="U24" s="1"/>
      <c r="V24" s="1"/>
      <c r="W24" s="1"/>
      <c r="X24" s="1"/>
      <c r="Y24" s="1"/>
      <c r="Z24" s="1"/>
    </row>
    <row r="25" spans="1:26" s="52" customFormat="1" ht="12.75" customHeight="1" x14ac:dyDescent="0.2">
      <c r="A25" s="32" t="s">
        <v>542</v>
      </c>
      <c r="B25" s="32">
        <v>16</v>
      </c>
      <c r="C25" s="78"/>
      <c r="D25" s="79"/>
      <c r="E25" s="63"/>
      <c r="F25" s="64"/>
      <c r="G25" s="32"/>
      <c r="H25" s="28"/>
      <c r="I25" s="32"/>
      <c r="J25" s="28"/>
      <c r="K25" s="32"/>
      <c r="L25" s="28"/>
      <c r="M25" s="1"/>
      <c r="N25" s="1"/>
      <c r="O25" s="1"/>
      <c r="P25" s="1"/>
      <c r="Q25" s="1"/>
      <c r="R25" s="1"/>
      <c r="S25" s="1"/>
      <c r="T25" s="1"/>
      <c r="U25" s="1"/>
      <c r="V25" s="1"/>
      <c r="W25" s="1"/>
      <c r="X25" s="1"/>
      <c r="Y25" s="1"/>
      <c r="Z25" s="1"/>
    </row>
    <row r="26" spans="1:26" ht="12.75" customHeight="1" x14ac:dyDescent="0.2">
      <c r="A26" s="14" t="s">
        <v>316</v>
      </c>
      <c r="B26" s="32" t="s">
        <v>317</v>
      </c>
      <c r="C26" s="86"/>
      <c r="D26" s="86"/>
      <c r="E26" s="90"/>
      <c r="F26" s="90"/>
      <c r="G26" s="16"/>
      <c r="H26" s="16"/>
      <c r="I26" s="16"/>
      <c r="J26" s="16"/>
      <c r="K26" s="16"/>
      <c r="L26" s="16"/>
      <c r="M26" s="1"/>
      <c r="N26" s="1"/>
      <c r="O26" s="1"/>
      <c r="P26" s="1"/>
      <c r="Q26" s="1"/>
      <c r="R26" s="1"/>
      <c r="S26" s="1"/>
      <c r="T26" s="1"/>
      <c r="U26" s="1"/>
      <c r="V26" s="1"/>
      <c r="W26" s="1"/>
      <c r="X26" s="1"/>
      <c r="Y26" s="1"/>
      <c r="Z26" s="1"/>
    </row>
    <row r="27" spans="1:26" ht="12.75" customHeight="1" x14ac:dyDescent="0.2">
      <c r="A27" s="15" t="s">
        <v>513</v>
      </c>
      <c r="B27" s="15">
        <v>431</v>
      </c>
      <c r="C27" s="81">
        <v>134</v>
      </c>
      <c r="D27" s="82">
        <f>IF((I27=0),"",(C27/I27))</f>
        <v>0.62910798122065725</v>
      </c>
      <c r="E27" s="66">
        <v>78</v>
      </c>
      <c r="F27" s="67">
        <f>IF((I27=0),"",(E27/I27))</f>
        <v>0.36619718309859156</v>
      </c>
      <c r="G27" s="15">
        <v>1</v>
      </c>
      <c r="H27" s="17">
        <f>IF((I27=0),"",(G27/I27))</f>
        <v>4.6948356807511738E-3</v>
      </c>
      <c r="I27" s="15">
        <f>SUM(C27,E27,G27)</f>
        <v>213</v>
      </c>
      <c r="J27" s="17">
        <f>IF((B27=0),"",(I27/B27))</f>
        <v>0.49419953596287702</v>
      </c>
      <c r="K27" s="29">
        <f>B27-I27</f>
        <v>218</v>
      </c>
      <c r="L27" s="17">
        <f>IF((B27=0),"",(K27/B27))</f>
        <v>0.50580046403712298</v>
      </c>
      <c r="M27" s="1"/>
      <c r="N27" s="1"/>
      <c r="O27" s="1"/>
      <c r="P27" s="1"/>
      <c r="Q27" s="1"/>
      <c r="R27" s="1"/>
      <c r="S27" s="1"/>
      <c r="T27" s="1"/>
      <c r="U27" s="1"/>
      <c r="V27" s="1"/>
      <c r="W27" s="1"/>
      <c r="X27" s="1"/>
      <c r="Y27" s="1"/>
      <c r="Z27" s="1"/>
    </row>
    <row r="28" spans="1:26" ht="12.75" customHeight="1" x14ac:dyDescent="0.2">
      <c r="A28" s="15" t="s">
        <v>514</v>
      </c>
      <c r="B28" s="15">
        <v>445</v>
      </c>
      <c r="C28" s="81">
        <v>140</v>
      </c>
      <c r="D28" s="82">
        <f>IF((I28=0),"",(C28/I28))</f>
        <v>0.65116279069767447</v>
      </c>
      <c r="E28" s="66">
        <v>70</v>
      </c>
      <c r="F28" s="67">
        <f>IF((I28=0),"",(E28/I28))</f>
        <v>0.32558139534883723</v>
      </c>
      <c r="G28" s="15">
        <v>5</v>
      </c>
      <c r="H28" s="17">
        <f>IF((I28=0),"",(G28/I28))</f>
        <v>2.3255813953488372E-2</v>
      </c>
      <c r="I28" s="15">
        <f>SUM(C28,E28,G28)</f>
        <v>215</v>
      </c>
      <c r="J28" s="17">
        <f>IF((B28=0),"",(I28/B28))</f>
        <v>0.48314606741573035</v>
      </c>
      <c r="K28" s="29">
        <f>B28-I28</f>
        <v>230</v>
      </c>
      <c r="L28" s="17">
        <f>IF((B28=0),"",(K28/B28))</f>
        <v>0.5168539325842697</v>
      </c>
      <c r="M28" s="1"/>
      <c r="N28" s="1"/>
      <c r="O28" s="1"/>
      <c r="P28" s="1"/>
      <c r="Q28" s="1"/>
      <c r="R28" s="1"/>
      <c r="S28" s="1"/>
      <c r="T28" s="1"/>
      <c r="U28" s="1"/>
      <c r="V28" s="1"/>
      <c r="W28" s="1"/>
      <c r="X28" s="1"/>
      <c r="Y28" s="1"/>
      <c r="Z28" s="1"/>
    </row>
    <row r="29" spans="1:26" ht="12.75" customHeight="1" x14ac:dyDescent="0.2">
      <c r="A29" s="15" t="s">
        <v>315</v>
      </c>
      <c r="B29" s="15">
        <v>398</v>
      </c>
      <c r="C29" s="81">
        <v>112</v>
      </c>
      <c r="D29" s="82">
        <f>IF((I29=0),"",(C29/I29))</f>
        <v>0.57731958762886593</v>
      </c>
      <c r="E29" s="66">
        <v>80</v>
      </c>
      <c r="F29" s="67">
        <f>IF((I29=0),"",(E29/I29))</f>
        <v>0.41237113402061853</v>
      </c>
      <c r="G29" s="15">
        <v>2</v>
      </c>
      <c r="H29" s="17">
        <f>IF((I29=0),"",(G29/I29))</f>
        <v>1.0309278350515464E-2</v>
      </c>
      <c r="I29" s="15">
        <f>SUM(C29,E29,G29)</f>
        <v>194</v>
      </c>
      <c r="J29" s="17">
        <f>IF((B29=0),"",(I29/B29))</f>
        <v>0.48743718592964824</v>
      </c>
      <c r="K29" s="29">
        <f>B29-I29</f>
        <v>204</v>
      </c>
      <c r="L29" s="17">
        <f>IF((B29=0),"",(K29/B29))</f>
        <v>0.51256281407035176</v>
      </c>
      <c r="M29" s="1"/>
      <c r="N29" s="1"/>
      <c r="O29" s="1"/>
      <c r="P29" s="1"/>
      <c r="Q29" s="1"/>
      <c r="R29" s="1"/>
      <c r="S29" s="1"/>
      <c r="T29" s="1"/>
      <c r="U29" s="1"/>
      <c r="V29" s="1"/>
      <c r="W29" s="1"/>
      <c r="X29" s="1"/>
      <c r="Y29" s="1"/>
      <c r="Z29" s="1"/>
    </row>
    <row r="30" spans="1:26" ht="12.75" customHeight="1" x14ac:dyDescent="0.2">
      <c r="A30" s="15" t="s">
        <v>134</v>
      </c>
      <c r="B30" s="15">
        <v>441</v>
      </c>
      <c r="C30" s="81">
        <v>153</v>
      </c>
      <c r="D30" s="82">
        <f>IF((I30=0),"",(C30/I30))</f>
        <v>0.53125</v>
      </c>
      <c r="E30" s="66">
        <v>129</v>
      </c>
      <c r="F30" s="67">
        <f>IF((I30=0),"",(E30/I30))</f>
        <v>0.44791666666666669</v>
      </c>
      <c r="G30" s="15">
        <v>6</v>
      </c>
      <c r="H30" s="17">
        <f>IF((I30=0),"",(G30/I30))</f>
        <v>2.0833333333333332E-2</v>
      </c>
      <c r="I30" s="15">
        <f>SUM(C30,E30,G30)</f>
        <v>288</v>
      </c>
      <c r="J30" s="17">
        <f>IF((B30=0),"",(I30/B30))</f>
        <v>0.65306122448979587</v>
      </c>
      <c r="K30" s="29">
        <f>B30-I30</f>
        <v>153</v>
      </c>
      <c r="L30" s="17">
        <f>IF((B30=0),"",(K30/B30))</f>
        <v>0.34693877551020408</v>
      </c>
      <c r="M30" s="1"/>
      <c r="N30" s="1"/>
      <c r="O30" s="1"/>
      <c r="P30" s="1"/>
      <c r="Q30" s="1"/>
      <c r="R30" s="1"/>
      <c r="S30" s="1"/>
      <c r="T30" s="1"/>
      <c r="U30" s="1"/>
      <c r="V30" s="1"/>
      <c r="W30" s="1"/>
      <c r="X30" s="1"/>
      <c r="Y30" s="1"/>
      <c r="Z30" s="1"/>
    </row>
    <row r="31" spans="1:26" ht="12.75" customHeight="1" x14ac:dyDescent="0.2">
      <c r="A31" s="12" t="s">
        <v>120</v>
      </c>
      <c r="B31" s="12">
        <f>SUM(B27:B30)</f>
        <v>1715</v>
      </c>
      <c r="C31" s="78">
        <f>SUM(C27:C30)</f>
        <v>539</v>
      </c>
      <c r="D31" s="79">
        <f>IF((I31=0),"",(C31/I31))</f>
        <v>0.59230769230769231</v>
      </c>
      <c r="E31" s="63">
        <f>SUM(E27:E30)</f>
        <v>357</v>
      </c>
      <c r="F31" s="64">
        <f>IF((I31=0),"",(E31/I31))</f>
        <v>0.3923076923076923</v>
      </c>
      <c r="G31" s="12">
        <f>SUM(G27:G30)</f>
        <v>14</v>
      </c>
      <c r="H31" s="13">
        <f>IF((I31=0),"",(G31/I31))</f>
        <v>1.5384615384615385E-2</v>
      </c>
      <c r="I31" s="12">
        <f>SUM(I27:I30)</f>
        <v>910</v>
      </c>
      <c r="J31" s="13">
        <f>IF((B31=0),"",(I31/B31))</f>
        <v>0.53061224489795922</v>
      </c>
      <c r="K31" s="12">
        <f>SUM(K27:K30)</f>
        <v>805</v>
      </c>
      <c r="L31" s="13">
        <f>IF((B31=0),"",(K31/B31))</f>
        <v>0.46938775510204084</v>
      </c>
      <c r="M31" s="1"/>
      <c r="N31" s="1"/>
      <c r="O31" s="1"/>
      <c r="P31" s="1"/>
      <c r="Q31" s="1"/>
      <c r="R31" s="1"/>
      <c r="S31" s="1"/>
      <c r="T31" s="1"/>
      <c r="U31" s="1"/>
      <c r="V31" s="1"/>
      <c r="W31" s="1"/>
      <c r="X31" s="1"/>
      <c r="Y31" s="1"/>
      <c r="Z31" s="1"/>
    </row>
    <row r="32" spans="1:26" ht="12.75" customHeight="1" x14ac:dyDescent="0.2">
      <c r="A32" s="43" t="s">
        <v>542</v>
      </c>
      <c r="B32" s="43">
        <v>12</v>
      </c>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10">
    <mergeCell ref="K3:L3"/>
    <mergeCell ref="G2:L2"/>
    <mergeCell ref="E2:F2"/>
    <mergeCell ref="A1:L1"/>
    <mergeCell ref="A3:B3"/>
    <mergeCell ref="C2:D2"/>
    <mergeCell ref="C3:D3"/>
    <mergeCell ref="E3:F3"/>
    <mergeCell ref="G3:H3"/>
    <mergeCell ref="I3:J3"/>
  </mergeCells>
  <pageMargins left="0.75" right="0.75" top="1" bottom="1" header="0.3" footer="0.3"/>
  <pageSetup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X1003"/>
  <sheetViews>
    <sheetView workbookViewId="0">
      <pane xSplit="1" ySplit="4" topLeftCell="B14" activePane="bottomRight" state="frozen"/>
      <selection pane="topRight" activeCell="B1" sqref="B1"/>
      <selection pane="bottomLeft" activeCell="A5" sqref="A5"/>
      <selection pane="bottomRight" activeCell="J24" sqref="J24"/>
    </sheetView>
  </sheetViews>
  <sheetFormatPr defaultColWidth="17.28515625" defaultRowHeight="15" customHeight="1" x14ac:dyDescent="0.2"/>
  <cols>
    <col min="1" max="1" width="7.85546875" customWidth="1"/>
    <col min="2" max="2" width="10.28515625" customWidth="1"/>
    <col min="3" max="3" width="9.140625" customWidth="1"/>
    <col min="4" max="4" width="12.28515625" customWidth="1"/>
    <col min="5" max="5" width="10.28515625" customWidth="1"/>
    <col min="6" max="6" width="11.42578125" customWidth="1"/>
    <col min="7" max="7" width="10.140625" customWidth="1"/>
    <col min="8" max="8" width="10.42578125" customWidth="1"/>
    <col min="9" max="9" width="9.140625" customWidth="1"/>
    <col min="10" max="10" width="11.28515625" customWidth="1"/>
    <col min="11" max="11" width="9.5703125" customWidth="1"/>
    <col min="12" max="12" width="12.42578125" customWidth="1"/>
    <col min="13" max="22" width="11.42578125" customWidth="1"/>
    <col min="23" max="24" width="10" customWidth="1"/>
  </cols>
  <sheetData>
    <row r="1" spans="1:24" ht="12.75" customHeight="1" x14ac:dyDescent="0.2">
      <c r="A1" s="163" t="s">
        <v>318</v>
      </c>
      <c r="B1" s="162"/>
      <c r="C1" s="162"/>
      <c r="D1" s="162"/>
      <c r="E1" s="162"/>
      <c r="F1" s="162"/>
      <c r="G1" s="162"/>
      <c r="H1" s="162"/>
      <c r="I1" s="162"/>
      <c r="J1" s="162"/>
      <c r="K1" s="162"/>
      <c r="L1" s="160"/>
      <c r="M1" s="1"/>
      <c r="N1" s="1"/>
      <c r="O1" s="1"/>
      <c r="P1" s="1"/>
      <c r="Q1" s="1"/>
      <c r="R1" s="1"/>
      <c r="S1" s="1"/>
      <c r="T1" s="1"/>
      <c r="U1" s="1"/>
      <c r="V1" s="1"/>
      <c r="W1" s="1"/>
      <c r="X1" s="1"/>
    </row>
    <row r="2" spans="1:24" ht="12.75" customHeight="1" x14ac:dyDescent="0.2">
      <c r="A2" s="21" t="s">
        <v>103</v>
      </c>
      <c r="B2" s="22"/>
      <c r="C2" s="156" t="s">
        <v>515</v>
      </c>
      <c r="D2" s="167"/>
      <c r="E2" s="157" t="s">
        <v>516</v>
      </c>
      <c r="F2" s="164"/>
      <c r="G2" s="161"/>
      <c r="H2" s="162"/>
      <c r="I2" s="162"/>
      <c r="J2" s="162"/>
      <c r="K2" s="162"/>
      <c r="L2" s="160"/>
      <c r="M2" s="1"/>
      <c r="N2" s="1"/>
      <c r="O2" s="1"/>
      <c r="P2" s="1"/>
      <c r="Q2" s="1"/>
      <c r="R2" s="1"/>
      <c r="S2" s="1"/>
      <c r="T2" s="1"/>
      <c r="U2" s="1"/>
      <c r="V2" s="1"/>
      <c r="W2" s="1"/>
      <c r="X2" s="1"/>
    </row>
    <row r="3" spans="1:24" ht="12.75" customHeight="1" x14ac:dyDescent="0.2">
      <c r="A3" s="147" t="s">
        <v>101</v>
      </c>
      <c r="B3" s="160"/>
      <c r="C3" s="152" t="s">
        <v>40</v>
      </c>
      <c r="D3" s="167"/>
      <c r="E3" s="148" t="s">
        <v>43</v>
      </c>
      <c r="F3" s="164"/>
      <c r="G3" s="147" t="s">
        <v>107</v>
      </c>
      <c r="H3" s="160"/>
      <c r="I3" s="147" t="s">
        <v>30</v>
      </c>
      <c r="J3" s="160"/>
      <c r="K3" s="147" t="s">
        <v>108</v>
      </c>
      <c r="L3" s="160"/>
      <c r="M3" s="1"/>
      <c r="N3" s="1"/>
      <c r="O3" s="1"/>
      <c r="P3" s="1"/>
      <c r="Q3" s="1"/>
      <c r="R3" s="1"/>
      <c r="S3" s="1"/>
      <c r="T3" s="1"/>
      <c r="U3" s="1"/>
      <c r="V3" s="1"/>
      <c r="W3" s="1"/>
      <c r="X3" s="1"/>
    </row>
    <row r="4" spans="1:24" ht="12.75" customHeight="1" x14ac:dyDescent="0.2">
      <c r="A4" s="12"/>
      <c r="B4" s="12">
        <f>+B8+B9+B15+B16+B18+B19+B23+B24+B31+B32+B38+B39</f>
        <v>7018</v>
      </c>
      <c r="C4" s="78">
        <f>SUM(C8,C15,C18,C23,C31,C38,C39)</f>
        <v>1409</v>
      </c>
      <c r="D4" s="79">
        <f>IF((I4=0),"",(C4/I4))</f>
        <v>0.34500489715964738</v>
      </c>
      <c r="E4" s="63">
        <f>SUM(E8,E15,E18,E23,E31,E38,E39)</f>
        <v>2571</v>
      </c>
      <c r="F4" s="64">
        <f>IF((I4=0),"",(E4/I4))</f>
        <v>0.62952987267384919</v>
      </c>
      <c r="G4" s="12">
        <f>SUM(G8,G15,G18,G23,G31,G38,G39)</f>
        <v>134</v>
      </c>
      <c r="H4" s="13">
        <f>IF((I4=0),"",(G4/I4))</f>
        <v>3.2810969637610189E-2</v>
      </c>
      <c r="I4" s="12">
        <f>SUM(I8,I15,I18,I23,I31,I38,I39)</f>
        <v>4084</v>
      </c>
      <c r="J4" s="13">
        <f>IF((B4=0),"",(I4/B4))</f>
        <v>0.58193217440866341</v>
      </c>
      <c r="K4" s="12">
        <f>B4-I4</f>
        <v>2934</v>
      </c>
      <c r="L4" s="13">
        <f>IF((B4=0),"",(K4/B4))</f>
        <v>0.41806782559133654</v>
      </c>
      <c r="M4" s="1"/>
      <c r="N4" s="1"/>
      <c r="O4" s="1"/>
      <c r="P4" s="1"/>
      <c r="Q4" s="1"/>
      <c r="R4" s="1"/>
      <c r="S4" s="1"/>
      <c r="T4" s="1"/>
      <c r="U4" s="1"/>
      <c r="V4" s="1"/>
      <c r="W4" s="1"/>
      <c r="X4" s="1"/>
    </row>
    <row r="5" spans="1:24" ht="12.75" customHeight="1" x14ac:dyDescent="0.2">
      <c r="A5" s="14" t="s">
        <v>319</v>
      </c>
      <c r="B5" s="32" t="s">
        <v>320</v>
      </c>
      <c r="C5" s="86"/>
      <c r="D5" s="86"/>
      <c r="E5" s="90"/>
      <c r="F5" s="90"/>
      <c r="G5" s="16"/>
      <c r="H5" s="16"/>
      <c r="I5" s="16"/>
      <c r="J5" s="16"/>
      <c r="K5" s="16"/>
      <c r="L5" s="16"/>
      <c r="M5" s="1"/>
      <c r="N5" s="1"/>
      <c r="O5" s="1"/>
      <c r="P5" s="1"/>
      <c r="Q5" s="1"/>
      <c r="R5" s="1"/>
      <c r="S5" s="1"/>
      <c r="T5" s="1"/>
      <c r="U5" s="1"/>
      <c r="V5" s="1"/>
      <c r="W5" s="1"/>
      <c r="X5" s="1"/>
    </row>
    <row r="6" spans="1:24" ht="12.75" customHeight="1" x14ac:dyDescent="0.2">
      <c r="A6" s="15" t="s">
        <v>161</v>
      </c>
      <c r="B6" s="15">
        <v>338</v>
      </c>
      <c r="C6" s="81">
        <v>59</v>
      </c>
      <c r="D6" s="82">
        <f>IF((I6=0),"",(C6/I6))</f>
        <v>0.27962085308056872</v>
      </c>
      <c r="E6" s="66">
        <v>151</v>
      </c>
      <c r="F6" s="67">
        <f>IF((I6=0),"",(E6/I6))</f>
        <v>0.71563981042654023</v>
      </c>
      <c r="G6" s="15">
        <v>1</v>
      </c>
      <c r="H6" s="17">
        <f>IF((I6=0),"",(G6/I6))</f>
        <v>4.7393364928909956E-3</v>
      </c>
      <c r="I6" s="15">
        <f>SUM(C6,E6,G6)</f>
        <v>211</v>
      </c>
      <c r="J6" s="17">
        <f>IF((B6=0),"",(I6/B6))</f>
        <v>0.62426035502958577</v>
      </c>
      <c r="K6" s="15">
        <f>B6-I6</f>
        <v>127</v>
      </c>
      <c r="L6" s="17">
        <f>IF((B6=0),"",(K6/B6))</f>
        <v>0.37573964497041418</v>
      </c>
      <c r="M6" s="1"/>
      <c r="N6" s="1"/>
      <c r="O6" s="1"/>
      <c r="P6" s="1"/>
      <c r="Q6" s="1"/>
      <c r="R6" s="1"/>
      <c r="S6" s="1"/>
      <c r="T6" s="1"/>
      <c r="U6" s="1"/>
      <c r="V6" s="1"/>
      <c r="W6" s="1"/>
      <c r="X6" s="1"/>
    </row>
    <row r="7" spans="1:24" ht="12.75" customHeight="1" x14ac:dyDescent="0.2">
      <c r="A7" s="15" t="s">
        <v>162</v>
      </c>
      <c r="B7" s="15">
        <v>396</v>
      </c>
      <c r="C7" s="81">
        <v>81</v>
      </c>
      <c r="D7" s="82">
        <f>IF((I7=0),"",(C7/I7))</f>
        <v>0.31395348837209303</v>
      </c>
      <c r="E7" s="66">
        <v>177</v>
      </c>
      <c r="F7" s="67">
        <f>IF((I7=0),"",(E7/I7))</f>
        <v>0.68604651162790697</v>
      </c>
      <c r="G7" s="15">
        <v>0</v>
      </c>
      <c r="H7" s="17">
        <f>IF((I7=0),"",(G7/I7))</f>
        <v>0</v>
      </c>
      <c r="I7" s="29">
        <f>SUM(C7,E7,G7)</f>
        <v>258</v>
      </c>
      <c r="J7" s="17">
        <f>IF((B7=0),"",(I7/B7))</f>
        <v>0.65151515151515149</v>
      </c>
      <c r="K7" s="29">
        <f>B7-I7</f>
        <v>138</v>
      </c>
      <c r="L7" s="17">
        <f>IF((B7=0),"",(K7/B7))</f>
        <v>0.34848484848484851</v>
      </c>
      <c r="M7" s="1"/>
      <c r="N7" s="1"/>
      <c r="O7" s="1"/>
      <c r="P7" s="1"/>
      <c r="Q7" s="1"/>
      <c r="R7" s="1"/>
      <c r="S7" s="1"/>
      <c r="T7" s="1"/>
      <c r="U7" s="1"/>
      <c r="V7" s="1"/>
      <c r="W7" s="1"/>
      <c r="X7" s="1"/>
    </row>
    <row r="8" spans="1:24" ht="12.75" customHeight="1" x14ac:dyDescent="0.2">
      <c r="A8" s="12" t="s">
        <v>120</v>
      </c>
      <c r="B8" s="12">
        <f>SUM(B6:B7)</f>
        <v>734</v>
      </c>
      <c r="C8" s="78">
        <f>SUM(C6:C7)</f>
        <v>140</v>
      </c>
      <c r="D8" s="79">
        <f>IF((I8=0),"",(C8/I8))</f>
        <v>0.29850746268656714</v>
      </c>
      <c r="E8" s="63">
        <f>SUM(E6:E7)</f>
        <v>328</v>
      </c>
      <c r="F8" s="64">
        <f>IF((I8=0),"",(E8/I8))</f>
        <v>0.6993603411513859</v>
      </c>
      <c r="G8" s="12">
        <f>SUM(G6:G7)</f>
        <v>1</v>
      </c>
      <c r="H8" s="13">
        <f>IF((I8=0),"",(G8/I8))</f>
        <v>2.1321961620469083E-3</v>
      </c>
      <c r="I8" s="12">
        <f>SUM(I6:I7)</f>
        <v>469</v>
      </c>
      <c r="J8" s="13">
        <f>IF((B8=0),"",(I8/B8))</f>
        <v>0.6389645776566758</v>
      </c>
      <c r="K8" s="12">
        <f>SUM(K6:K7)</f>
        <v>265</v>
      </c>
      <c r="L8" s="13">
        <f>IF((B8=0),"",(K8/B8))</f>
        <v>0.36103542234332425</v>
      </c>
      <c r="M8" s="1"/>
      <c r="N8" s="1"/>
      <c r="O8" s="1"/>
      <c r="P8" s="1"/>
      <c r="Q8" s="1"/>
      <c r="R8" s="1"/>
      <c r="S8" s="1"/>
      <c r="T8" s="1"/>
      <c r="U8" s="1"/>
      <c r="V8" s="1"/>
      <c r="W8" s="1"/>
      <c r="X8" s="1"/>
    </row>
    <row r="9" spans="1:24" s="53" customFormat="1" ht="12.75" customHeight="1" x14ac:dyDescent="0.2">
      <c r="A9" s="32" t="s">
        <v>542</v>
      </c>
      <c r="B9" s="32">
        <v>12</v>
      </c>
      <c r="C9" s="78"/>
      <c r="D9" s="79"/>
      <c r="E9" s="63"/>
      <c r="F9" s="64"/>
      <c r="G9" s="32"/>
      <c r="H9" s="28"/>
      <c r="I9" s="32"/>
      <c r="J9" s="28"/>
      <c r="K9" s="32"/>
      <c r="L9" s="28"/>
      <c r="M9" s="1"/>
      <c r="N9" s="1"/>
      <c r="O9" s="1"/>
      <c r="P9" s="1"/>
      <c r="Q9" s="1"/>
      <c r="R9" s="1"/>
      <c r="S9" s="1"/>
      <c r="T9" s="1"/>
      <c r="U9" s="1"/>
      <c r="V9" s="1"/>
      <c r="W9" s="1"/>
      <c r="X9" s="1"/>
    </row>
    <row r="10" spans="1:24" ht="12.75" customHeight="1" x14ac:dyDescent="0.2">
      <c r="A10" s="14" t="s">
        <v>321</v>
      </c>
      <c r="B10" s="32" t="s">
        <v>322</v>
      </c>
      <c r="C10" s="86"/>
      <c r="D10" s="86"/>
      <c r="E10" s="90"/>
      <c r="F10" s="90"/>
      <c r="G10" s="16"/>
      <c r="H10" s="16"/>
      <c r="I10" s="16"/>
      <c r="J10" s="16"/>
      <c r="K10" s="16"/>
      <c r="L10" s="16"/>
      <c r="M10" s="1"/>
      <c r="N10" s="1"/>
      <c r="O10" s="1"/>
      <c r="P10" s="1"/>
      <c r="Q10" s="1"/>
      <c r="R10" s="1"/>
      <c r="S10" s="1"/>
      <c r="T10" s="1"/>
      <c r="U10" s="1"/>
      <c r="V10" s="1"/>
      <c r="W10" s="1"/>
      <c r="X10" s="1"/>
    </row>
    <row r="11" spans="1:24" ht="12.75" customHeight="1" x14ac:dyDescent="0.2">
      <c r="A11" s="15" t="s">
        <v>111</v>
      </c>
      <c r="B11" s="15">
        <v>331</v>
      </c>
      <c r="C11" s="81">
        <v>37</v>
      </c>
      <c r="D11" s="82">
        <f>IF((I11=0),"",(C11/I11))</f>
        <v>0.23417721518987342</v>
      </c>
      <c r="E11" s="66">
        <v>113</v>
      </c>
      <c r="F11" s="67">
        <f>IF((I11=0),"",(E11/I11))</f>
        <v>0.71518987341772156</v>
      </c>
      <c r="G11" s="15">
        <v>8</v>
      </c>
      <c r="H11" s="17">
        <f>IF((I11=0),"",(G11/I11))</f>
        <v>5.0632911392405063E-2</v>
      </c>
      <c r="I11" s="29">
        <f>SUM(C11,E11,G11)</f>
        <v>158</v>
      </c>
      <c r="J11" s="17">
        <f>IF((B11=0),"",(I11/B11))</f>
        <v>0.4773413897280967</v>
      </c>
      <c r="K11" s="29">
        <f>B11-I11</f>
        <v>173</v>
      </c>
      <c r="L11" s="17">
        <f>IF((B11=0),"",(K11/B11))</f>
        <v>0.5226586102719033</v>
      </c>
      <c r="M11" s="1"/>
      <c r="N11" s="1"/>
      <c r="O11" s="1"/>
      <c r="P11" s="1"/>
      <c r="Q11" s="1"/>
      <c r="R11" s="1"/>
      <c r="S11" s="1"/>
      <c r="T11" s="1"/>
      <c r="U11" s="1"/>
      <c r="V11" s="1"/>
      <c r="W11" s="1"/>
      <c r="X11" s="1"/>
    </row>
    <row r="12" spans="1:24" ht="12.75" customHeight="1" x14ac:dyDescent="0.2">
      <c r="A12" s="15" t="s">
        <v>524</v>
      </c>
      <c r="B12" s="15">
        <v>485</v>
      </c>
      <c r="C12" s="81">
        <v>59</v>
      </c>
      <c r="D12" s="82">
        <f>IF((I12=0),"",(C12/I12))</f>
        <v>0.23137254901960785</v>
      </c>
      <c r="E12" s="66">
        <v>185</v>
      </c>
      <c r="F12" s="67">
        <f>IF((I12=0),"",(E12/I12))</f>
        <v>0.72549019607843135</v>
      </c>
      <c r="G12" s="15">
        <v>11</v>
      </c>
      <c r="H12" s="17">
        <f>IF((I12=0),"",(G12/I12))</f>
        <v>4.3137254901960784E-2</v>
      </c>
      <c r="I12" s="29">
        <f>SUM(C12,E12,G12)</f>
        <v>255</v>
      </c>
      <c r="J12" s="17">
        <f>IF((B12=0),"",(I12/B12))</f>
        <v>0.52577319587628868</v>
      </c>
      <c r="K12" s="29">
        <f>B12-I12</f>
        <v>230</v>
      </c>
      <c r="L12" s="17">
        <f>IF((B12=0),"",(K12/B12))</f>
        <v>0.47422680412371132</v>
      </c>
      <c r="M12" s="1"/>
      <c r="N12" s="1"/>
      <c r="O12" s="1"/>
      <c r="P12" s="1"/>
      <c r="Q12" s="1"/>
      <c r="R12" s="1"/>
      <c r="S12" s="1"/>
      <c r="T12" s="1"/>
      <c r="U12" s="1"/>
      <c r="V12" s="1"/>
      <c r="W12" s="1"/>
      <c r="X12" s="1"/>
    </row>
    <row r="13" spans="1:24" ht="12.75" customHeight="1" x14ac:dyDescent="0.2">
      <c r="A13" s="15" t="s">
        <v>525</v>
      </c>
      <c r="B13" s="15">
        <v>479</v>
      </c>
      <c r="C13" s="81">
        <v>149</v>
      </c>
      <c r="D13" s="82">
        <f>IF((I13=0),"",(C13/I13))</f>
        <v>0.36881188118811881</v>
      </c>
      <c r="E13" s="66">
        <v>247</v>
      </c>
      <c r="F13" s="67">
        <f>IF((I13=0),"",(E13/I13))</f>
        <v>0.61138613861386137</v>
      </c>
      <c r="G13" s="15">
        <v>8</v>
      </c>
      <c r="H13" s="17">
        <f>IF((I13=0),"",(G13/I13))</f>
        <v>1.9801980198019802E-2</v>
      </c>
      <c r="I13" s="29">
        <f>SUM(C13,E13,G13)</f>
        <v>404</v>
      </c>
      <c r="J13" s="17">
        <f>IF((B13=0),"",(I13/B13))</f>
        <v>0.8434237995824635</v>
      </c>
      <c r="K13" s="29">
        <f>B13-I13</f>
        <v>75</v>
      </c>
      <c r="L13" s="17">
        <f>IF((B13=0),"",(K13/B13))</f>
        <v>0.15657620041753653</v>
      </c>
      <c r="M13" s="1"/>
      <c r="N13" s="1"/>
      <c r="O13" s="1"/>
      <c r="P13" s="1"/>
      <c r="Q13" s="1"/>
      <c r="R13" s="1"/>
      <c r="S13" s="1"/>
      <c r="T13" s="1"/>
      <c r="U13" s="1"/>
      <c r="V13" s="1"/>
      <c r="W13" s="1"/>
      <c r="X13" s="1"/>
    </row>
    <row r="14" spans="1:24" ht="12.75" customHeight="1" x14ac:dyDescent="0.2">
      <c r="A14" s="15" t="s">
        <v>509</v>
      </c>
      <c r="B14" s="15">
        <v>401</v>
      </c>
      <c r="C14" s="81">
        <v>45</v>
      </c>
      <c r="D14" s="82">
        <f>IF((I14=0),"",(C14/I14))</f>
        <v>0.22277227722772278</v>
      </c>
      <c r="E14" s="66">
        <v>152</v>
      </c>
      <c r="F14" s="67">
        <f>IF((I14=0),"",(E14/I14))</f>
        <v>0.75247524752475248</v>
      </c>
      <c r="G14" s="15">
        <v>5</v>
      </c>
      <c r="H14" s="17">
        <f>IF((I14=0),"",(G14/I14))</f>
        <v>2.4752475247524754E-2</v>
      </c>
      <c r="I14" s="29">
        <f>SUM(C14,E14,G14)</f>
        <v>202</v>
      </c>
      <c r="J14" s="17">
        <f>IF((B14=0),"",(I14/B14))</f>
        <v>0.50374064837905241</v>
      </c>
      <c r="K14" s="29">
        <f>B14-I14</f>
        <v>199</v>
      </c>
      <c r="L14" s="17">
        <f>IF((B14=0),"",(K14/B14))</f>
        <v>0.49625935162094764</v>
      </c>
      <c r="M14" s="1"/>
      <c r="N14" s="1"/>
      <c r="O14" s="1"/>
      <c r="P14" s="1"/>
      <c r="Q14" s="1"/>
      <c r="R14" s="1"/>
      <c r="S14" s="1"/>
      <c r="T14" s="1"/>
      <c r="U14" s="1"/>
      <c r="V14" s="1"/>
      <c r="W14" s="1"/>
      <c r="X14" s="1"/>
    </row>
    <row r="15" spans="1:24" ht="12.75" customHeight="1" x14ac:dyDescent="0.2">
      <c r="A15" s="12" t="s">
        <v>120</v>
      </c>
      <c r="B15" s="12">
        <f>SUM(B11:B14)</f>
        <v>1696</v>
      </c>
      <c r="C15" s="78">
        <f>SUM(C11:C14)</f>
        <v>290</v>
      </c>
      <c r="D15" s="79">
        <f>IF((I15=0),"",(C15/I15))</f>
        <v>0.28459273797841023</v>
      </c>
      <c r="E15" s="63">
        <f>SUM(E11:E14)</f>
        <v>697</v>
      </c>
      <c r="F15" s="64">
        <f>IF((I15=0),"",(E15/I15))</f>
        <v>0.68400392541707555</v>
      </c>
      <c r="G15" s="12">
        <f>SUM(G11:G14)</f>
        <v>32</v>
      </c>
      <c r="H15" s="13">
        <f>IF((I15=0),"",(G15/I15))</f>
        <v>3.1403336604514227E-2</v>
      </c>
      <c r="I15" s="12">
        <f>SUM(I11:I14)</f>
        <v>1019</v>
      </c>
      <c r="J15" s="13">
        <f>IF((B15=0),"",(I15/B15))</f>
        <v>0.60082547169811318</v>
      </c>
      <c r="K15" s="12">
        <f>SUM(K11:K14)</f>
        <v>677</v>
      </c>
      <c r="L15" s="13">
        <f>IF((B15=0),"",(K15/B15))</f>
        <v>0.39917452830188677</v>
      </c>
      <c r="M15" s="1"/>
      <c r="N15" s="1"/>
      <c r="O15" s="1"/>
      <c r="P15" s="1"/>
      <c r="Q15" s="1"/>
      <c r="R15" s="1"/>
      <c r="S15" s="1"/>
      <c r="T15" s="1"/>
      <c r="U15" s="1"/>
      <c r="V15" s="1"/>
      <c r="W15" s="1"/>
      <c r="X15" s="1"/>
    </row>
    <row r="16" spans="1:24" s="53" customFormat="1" ht="12.75" customHeight="1" x14ac:dyDescent="0.2">
      <c r="A16" s="32" t="s">
        <v>542</v>
      </c>
      <c r="B16" s="32">
        <v>30</v>
      </c>
      <c r="C16" s="78"/>
      <c r="D16" s="79"/>
      <c r="E16" s="63"/>
      <c r="F16" s="64"/>
      <c r="G16" s="32"/>
      <c r="H16" s="28"/>
      <c r="I16" s="32"/>
      <c r="J16" s="28"/>
      <c r="K16" s="32"/>
      <c r="L16" s="28"/>
      <c r="M16" s="1"/>
      <c r="N16" s="1"/>
      <c r="O16" s="1"/>
      <c r="P16" s="1"/>
      <c r="Q16" s="1"/>
      <c r="R16" s="1"/>
      <c r="S16" s="1"/>
      <c r="T16" s="1"/>
      <c r="U16" s="1"/>
      <c r="V16" s="1"/>
      <c r="W16" s="1"/>
      <c r="X16" s="1"/>
    </row>
    <row r="17" spans="1:24" ht="12.75" customHeight="1" x14ac:dyDescent="0.2">
      <c r="A17" s="14" t="s">
        <v>323</v>
      </c>
      <c r="B17" s="32" t="s">
        <v>324</v>
      </c>
      <c r="C17" s="86"/>
      <c r="D17" s="86"/>
      <c r="E17" s="90"/>
      <c r="F17" s="90"/>
      <c r="G17" s="16"/>
      <c r="H17" s="16"/>
      <c r="I17" s="16"/>
      <c r="J17" s="16"/>
      <c r="K17" s="16"/>
      <c r="L17" s="16"/>
      <c r="M17" s="1"/>
      <c r="N17" s="1"/>
      <c r="O17" s="1"/>
      <c r="P17" s="1"/>
      <c r="Q17" s="1"/>
      <c r="R17" s="1"/>
      <c r="S17" s="1"/>
      <c r="T17" s="1"/>
      <c r="U17" s="1"/>
      <c r="V17" s="1"/>
      <c r="W17" s="1"/>
      <c r="X17" s="1"/>
    </row>
    <row r="18" spans="1:24" ht="12.75" customHeight="1" x14ac:dyDescent="0.2">
      <c r="A18" s="12" t="s">
        <v>128</v>
      </c>
      <c r="B18" s="12">
        <v>265</v>
      </c>
      <c r="C18" s="78">
        <v>75</v>
      </c>
      <c r="D18" s="79">
        <f>IF((I18=0),"",(C18/I18))</f>
        <v>0.44910179640718562</v>
      </c>
      <c r="E18" s="63">
        <v>90</v>
      </c>
      <c r="F18" s="64">
        <f>IF((I18=0),"",(E18/I18))</f>
        <v>0.53892215568862278</v>
      </c>
      <c r="G18" s="12">
        <v>2</v>
      </c>
      <c r="H18" s="13">
        <f>IF((I18=0),"",(G18/I18))</f>
        <v>1.1976047904191617E-2</v>
      </c>
      <c r="I18" s="12">
        <f>SUM(C18,E18,G18)</f>
        <v>167</v>
      </c>
      <c r="J18" s="13">
        <f>IF((B18=0),"",(I18/B18))</f>
        <v>0.63018867924528299</v>
      </c>
      <c r="K18" s="12">
        <f>B18-I18</f>
        <v>98</v>
      </c>
      <c r="L18" s="13">
        <f>IF((B18=0),"",(K18/B18))</f>
        <v>0.36981132075471695</v>
      </c>
      <c r="M18" s="1"/>
      <c r="N18" s="1"/>
      <c r="O18" s="1"/>
      <c r="P18" s="1"/>
      <c r="Q18" s="1"/>
      <c r="R18" s="1"/>
      <c r="S18" s="1"/>
      <c r="T18" s="1"/>
      <c r="U18" s="1"/>
      <c r="V18" s="1"/>
      <c r="W18" s="1"/>
      <c r="X18" s="1"/>
    </row>
    <row r="19" spans="1:24" s="53" customFormat="1" ht="12.75" customHeight="1" x14ac:dyDescent="0.2">
      <c r="A19" s="32" t="s">
        <v>542</v>
      </c>
      <c r="B19" s="32">
        <v>7</v>
      </c>
      <c r="C19" s="78"/>
      <c r="D19" s="79"/>
      <c r="E19" s="63"/>
      <c r="F19" s="64"/>
      <c r="G19" s="32"/>
      <c r="H19" s="28"/>
      <c r="I19" s="32"/>
      <c r="J19" s="28"/>
      <c r="K19" s="32"/>
      <c r="L19" s="28"/>
      <c r="M19" s="1"/>
      <c r="N19" s="1"/>
      <c r="O19" s="1"/>
      <c r="P19" s="1"/>
      <c r="Q19" s="1"/>
      <c r="R19" s="1"/>
      <c r="S19" s="1"/>
      <c r="T19" s="1"/>
      <c r="U19" s="1"/>
      <c r="V19" s="1"/>
      <c r="W19" s="1"/>
      <c r="X19" s="1"/>
    </row>
    <row r="20" spans="1:24" ht="12.75" customHeight="1" x14ac:dyDescent="0.2">
      <c r="A20" s="14" t="s">
        <v>325</v>
      </c>
      <c r="B20" s="32" t="s">
        <v>326</v>
      </c>
      <c r="C20" s="86"/>
      <c r="D20" s="86"/>
      <c r="E20" s="90"/>
      <c r="F20" s="90"/>
      <c r="G20" s="16"/>
      <c r="H20" s="16"/>
      <c r="I20" s="16"/>
      <c r="J20" s="16"/>
      <c r="K20" s="16"/>
      <c r="L20" s="16"/>
      <c r="M20" s="1"/>
      <c r="N20" s="1"/>
      <c r="O20" s="1"/>
      <c r="P20" s="1"/>
      <c r="Q20" s="1"/>
      <c r="R20" s="1"/>
      <c r="S20" s="1"/>
      <c r="T20" s="1"/>
      <c r="U20" s="1"/>
      <c r="V20" s="1"/>
      <c r="W20" s="1"/>
      <c r="X20" s="1"/>
    </row>
    <row r="21" spans="1:24" ht="12.75" customHeight="1" x14ac:dyDescent="0.2">
      <c r="A21" s="15" t="s">
        <v>161</v>
      </c>
      <c r="B21" s="15">
        <v>366</v>
      </c>
      <c r="C21" s="81">
        <v>83</v>
      </c>
      <c r="D21" s="82">
        <f>IF((I21=0),"",(C21/I21))</f>
        <v>0.33603238866396762</v>
      </c>
      <c r="E21" s="66">
        <v>162</v>
      </c>
      <c r="F21" s="67">
        <f>IF((I21=0),"",(E21/I21))</f>
        <v>0.65587044534412953</v>
      </c>
      <c r="G21" s="15">
        <v>2</v>
      </c>
      <c r="H21" s="17">
        <f>IF((I21=0),"",(G21/I21))</f>
        <v>8.0971659919028341E-3</v>
      </c>
      <c r="I21" s="29">
        <f>SUM(C21,E21,G21)</f>
        <v>247</v>
      </c>
      <c r="J21" s="17">
        <f>IF((B21=0),"",(I21/B21))</f>
        <v>0.67486338797814205</v>
      </c>
      <c r="K21" s="29">
        <f>B21-I21</f>
        <v>119</v>
      </c>
      <c r="L21" s="17">
        <f>IF((B21=0),"",(K21/B21))</f>
        <v>0.3251366120218579</v>
      </c>
      <c r="M21" s="1"/>
      <c r="N21" s="1"/>
      <c r="O21" s="1"/>
      <c r="P21" s="1"/>
      <c r="Q21" s="1"/>
      <c r="R21" s="1"/>
      <c r="S21" s="1"/>
      <c r="T21" s="1"/>
      <c r="U21" s="1"/>
      <c r="V21" s="1"/>
      <c r="W21" s="1"/>
      <c r="X21" s="1"/>
    </row>
    <row r="22" spans="1:24" ht="12.75" customHeight="1" x14ac:dyDescent="0.2">
      <c r="A22" s="15" t="s">
        <v>162</v>
      </c>
      <c r="B22" s="15">
        <v>418</v>
      </c>
      <c r="C22" s="81">
        <v>89</v>
      </c>
      <c r="D22" s="82">
        <f>IF((I22=0),"",(C22/I22))</f>
        <v>0.30795847750865052</v>
      </c>
      <c r="E22" s="66">
        <v>184</v>
      </c>
      <c r="F22" s="67">
        <f>IF((I22=0),"",(E22/I22))</f>
        <v>0.63667820069204151</v>
      </c>
      <c r="G22" s="15">
        <v>16</v>
      </c>
      <c r="H22" s="17">
        <f>IF((I22=0),"",(G22/I22))</f>
        <v>5.536332179930796E-2</v>
      </c>
      <c r="I22" s="29">
        <f>SUM(C22,E22,G22)</f>
        <v>289</v>
      </c>
      <c r="J22" s="17">
        <f>IF((B22=0),"",(I22/B22))</f>
        <v>0.69138755980861244</v>
      </c>
      <c r="K22" s="29">
        <f>B22-I22</f>
        <v>129</v>
      </c>
      <c r="L22" s="17">
        <f>IF((B22=0),"",(K22/B22))</f>
        <v>0.30861244019138756</v>
      </c>
      <c r="M22" s="1"/>
      <c r="N22" s="1"/>
      <c r="O22" s="1"/>
      <c r="P22" s="1"/>
      <c r="Q22" s="1"/>
      <c r="R22" s="1"/>
      <c r="S22" s="1"/>
      <c r="T22" s="1"/>
      <c r="U22" s="1"/>
      <c r="V22" s="1"/>
      <c r="W22" s="1"/>
      <c r="X22" s="1"/>
    </row>
    <row r="23" spans="1:24" ht="12.75" customHeight="1" x14ac:dyDescent="0.2">
      <c r="A23" s="12" t="s">
        <v>120</v>
      </c>
      <c r="B23" s="12">
        <f>SUM(B21:B22)</f>
        <v>784</v>
      </c>
      <c r="C23" s="78">
        <f>SUM(C21:C22)</f>
        <v>172</v>
      </c>
      <c r="D23" s="79">
        <f>IF((I23=0),"",(C23/I23))</f>
        <v>0.32089552238805968</v>
      </c>
      <c r="E23" s="63">
        <f>SUM(E21:E22)</f>
        <v>346</v>
      </c>
      <c r="F23" s="64">
        <f>IF((I23=0),"",(E23/I23))</f>
        <v>0.64552238805970152</v>
      </c>
      <c r="G23" s="12">
        <f>SUM(G21:G22)</f>
        <v>18</v>
      </c>
      <c r="H23" s="13">
        <f>IF((I23=0),"",(G23/I23))</f>
        <v>3.3582089552238806E-2</v>
      </c>
      <c r="I23" s="12">
        <f>SUM(I21:I22)</f>
        <v>536</v>
      </c>
      <c r="J23" s="13">
        <f>IF((B23=0),"",(I23/B23))</f>
        <v>0.68367346938775508</v>
      </c>
      <c r="K23" s="12">
        <f>SUM(K21:K22)</f>
        <v>248</v>
      </c>
      <c r="L23" s="13">
        <f>IF((B23=0),"",(K23/B23))</f>
        <v>0.31632653061224492</v>
      </c>
      <c r="M23" s="1"/>
      <c r="N23" s="1"/>
      <c r="O23" s="1"/>
      <c r="P23" s="1"/>
      <c r="Q23" s="1"/>
      <c r="R23" s="1"/>
      <c r="S23" s="1"/>
      <c r="T23" s="1"/>
      <c r="U23" s="1"/>
      <c r="V23" s="1"/>
      <c r="W23" s="1"/>
      <c r="X23" s="1"/>
    </row>
    <row r="24" spans="1:24" s="53" customFormat="1" ht="12.75" customHeight="1" x14ac:dyDescent="0.2">
      <c r="A24" s="32" t="s">
        <v>542</v>
      </c>
      <c r="B24" s="32">
        <v>12</v>
      </c>
      <c r="C24" s="78"/>
      <c r="D24" s="79"/>
      <c r="E24" s="63"/>
      <c r="F24" s="64"/>
      <c r="G24" s="32"/>
      <c r="H24" s="28"/>
      <c r="I24" s="32"/>
      <c r="J24" s="28"/>
      <c r="K24" s="32"/>
      <c r="L24" s="28"/>
      <c r="M24" s="1"/>
      <c r="N24" s="1"/>
      <c r="O24" s="1"/>
      <c r="P24" s="1"/>
      <c r="Q24" s="1"/>
      <c r="R24" s="1"/>
      <c r="S24" s="1"/>
      <c r="T24" s="1"/>
      <c r="U24" s="1"/>
      <c r="V24" s="1"/>
      <c r="W24" s="1"/>
      <c r="X24" s="1"/>
    </row>
    <row r="25" spans="1:24" ht="12.75" customHeight="1" x14ac:dyDescent="0.2">
      <c r="A25" s="14" t="s">
        <v>328</v>
      </c>
      <c r="B25" s="32" t="s">
        <v>332</v>
      </c>
      <c r="C25" s="86"/>
      <c r="D25" s="86"/>
      <c r="E25" s="90"/>
      <c r="F25" s="90"/>
      <c r="G25" s="16"/>
      <c r="H25" s="16"/>
      <c r="I25" s="16"/>
      <c r="J25" s="16"/>
      <c r="K25" s="16"/>
      <c r="L25" s="16"/>
      <c r="M25" s="1"/>
      <c r="N25" s="1"/>
      <c r="O25" s="1"/>
      <c r="P25" s="1"/>
      <c r="Q25" s="1"/>
      <c r="R25" s="1"/>
      <c r="S25" s="1"/>
      <c r="T25" s="1"/>
      <c r="U25" s="1"/>
      <c r="V25" s="1"/>
      <c r="W25" s="1"/>
      <c r="X25" s="1"/>
    </row>
    <row r="26" spans="1:24" ht="12.75" customHeight="1" x14ac:dyDescent="0.2">
      <c r="A26" s="15" t="s">
        <v>125</v>
      </c>
      <c r="B26" s="15">
        <v>407</v>
      </c>
      <c r="C26" s="81">
        <v>115</v>
      </c>
      <c r="D26" s="82">
        <f>IF((I26=0),"",(C26/I26))</f>
        <v>0.42435424354243545</v>
      </c>
      <c r="E26" s="66">
        <v>156</v>
      </c>
      <c r="F26" s="67">
        <f>IF((I26=0),"",(E26/I26))</f>
        <v>0.57564575645756455</v>
      </c>
      <c r="G26" s="15">
        <v>0</v>
      </c>
      <c r="H26" s="17">
        <f>IF((I26=0),"",(G26/I26))</f>
        <v>0</v>
      </c>
      <c r="I26" s="29">
        <f>SUM(C26,E26,G26)</f>
        <v>271</v>
      </c>
      <c r="J26" s="17">
        <f>IF((B26=0),"",(I26/B26))</f>
        <v>0.66584766584766586</v>
      </c>
      <c r="K26" s="29">
        <f>B26-I26</f>
        <v>136</v>
      </c>
      <c r="L26" s="17">
        <f>IF((B26=0),"",(K26/B26))</f>
        <v>0.33415233415233414</v>
      </c>
      <c r="M26" s="1"/>
      <c r="N26" s="1"/>
      <c r="O26" s="1"/>
      <c r="P26" s="1"/>
      <c r="Q26" s="1"/>
      <c r="R26" s="1"/>
      <c r="S26" s="1"/>
      <c r="T26" s="1"/>
      <c r="U26" s="1"/>
      <c r="V26" s="1"/>
      <c r="W26" s="1"/>
      <c r="X26" s="1"/>
    </row>
    <row r="27" spans="1:24" ht="12.75" customHeight="1" x14ac:dyDescent="0.2">
      <c r="A27" s="15" t="s">
        <v>230</v>
      </c>
      <c r="B27" s="15">
        <v>394</v>
      </c>
      <c r="C27" s="81">
        <v>62</v>
      </c>
      <c r="D27" s="82">
        <f>IF((I27=0),"",(C27/I27))</f>
        <v>0.39490445859872614</v>
      </c>
      <c r="E27" s="66">
        <v>74</v>
      </c>
      <c r="F27" s="67">
        <f>IF((I27=0),"",(E27/I27))</f>
        <v>0.4713375796178344</v>
      </c>
      <c r="G27" s="15">
        <v>21</v>
      </c>
      <c r="H27" s="17">
        <f>IF((I27=0),"",(G27/I27))</f>
        <v>0.13375796178343949</v>
      </c>
      <c r="I27" s="29">
        <f>SUM(C27,E27,G27)</f>
        <v>157</v>
      </c>
      <c r="J27" s="17">
        <f>IF((B27=0),"",(I27/B27))</f>
        <v>0.39847715736040606</v>
      </c>
      <c r="K27" s="29">
        <f>B27-I27</f>
        <v>237</v>
      </c>
      <c r="L27" s="17">
        <f>IF((B27=0),"",(K27/B27))</f>
        <v>0.60152284263959388</v>
      </c>
      <c r="M27" s="1"/>
      <c r="N27" s="1"/>
      <c r="O27" s="1"/>
      <c r="P27" s="1"/>
      <c r="Q27" s="1"/>
      <c r="R27" s="1"/>
      <c r="S27" s="1"/>
      <c r="T27" s="1"/>
      <c r="U27" s="1"/>
      <c r="V27" s="1"/>
      <c r="W27" s="1"/>
      <c r="X27" s="1"/>
    </row>
    <row r="28" spans="1:24" ht="12.75" customHeight="1" x14ac:dyDescent="0.2">
      <c r="A28" s="15" t="s">
        <v>526</v>
      </c>
      <c r="B28" s="15">
        <v>433</v>
      </c>
      <c r="C28" s="81">
        <v>95</v>
      </c>
      <c r="D28" s="82">
        <f>IF((I28=0),"",(C28/I28))</f>
        <v>0.41484716157205243</v>
      </c>
      <c r="E28" s="66">
        <v>118</v>
      </c>
      <c r="F28" s="67">
        <f>IF((I28=0),"",(E28/I28))</f>
        <v>0.51528384279475981</v>
      </c>
      <c r="G28" s="15">
        <v>16</v>
      </c>
      <c r="H28" s="17">
        <f>IF((I28=0),"",(G28/I28))</f>
        <v>6.9868995633187769E-2</v>
      </c>
      <c r="I28" s="29">
        <f>SUM(C28,E28,G28)</f>
        <v>229</v>
      </c>
      <c r="J28" s="17">
        <f>IF((B28=0),"",(I28/B28))</f>
        <v>0.52886836027713624</v>
      </c>
      <c r="K28" s="29">
        <f>B28-I28</f>
        <v>204</v>
      </c>
      <c r="L28" s="17">
        <f>IF((B28=0),"",(K28/B28))</f>
        <v>0.47113163972286376</v>
      </c>
      <c r="M28" s="1"/>
      <c r="N28" s="1"/>
      <c r="O28" s="1"/>
      <c r="P28" s="1"/>
      <c r="Q28" s="1"/>
      <c r="R28" s="1"/>
      <c r="S28" s="1"/>
      <c r="T28" s="1"/>
      <c r="U28" s="1"/>
      <c r="V28" s="1"/>
      <c r="W28" s="1"/>
      <c r="X28" s="1"/>
    </row>
    <row r="29" spans="1:24" s="39" customFormat="1" ht="12.75" customHeight="1" x14ac:dyDescent="0.2">
      <c r="A29" s="29" t="s">
        <v>527</v>
      </c>
      <c r="B29" s="29">
        <v>349</v>
      </c>
      <c r="C29" s="81">
        <v>152</v>
      </c>
      <c r="D29" s="82">
        <v>0.52329999999999999</v>
      </c>
      <c r="E29" s="66">
        <v>152</v>
      </c>
      <c r="F29" s="67">
        <v>0.42809999999999998</v>
      </c>
      <c r="G29" s="29">
        <v>11</v>
      </c>
      <c r="H29" s="17">
        <v>4.0099999999999997E-2</v>
      </c>
      <c r="I29" s="29">
        <v>285</v>
      </c>
      <c r="J29" s="17">
        <v>0.78510000000000002</v>
      </c>
      <c r="K29" s="29">
        <f>B29-I29</f>
        <v>64</v>
      </c>
      <c r="L29" s="17">
        <v>0.21490000000000001</v>
      </c>
      <c r="M29" s="1"/>
      <c r="N29" s="1"/>
      <c r="O29" s="1"/>
      <c r="P29" s="1"/>
      <c r="Q29" s="1"/>
      <c r="R29" s="1"/>
      <c r="S29" s="1"/>
      <c r="T29" s="1"/>
      <c r="U29" s="1"/>
      <c r="V29" s="1"/>
      <c r="W29" s="1"/>
      <c r="X29" s="1"/>
    </row>
    <row r="30" spans="1:24" ht="12.75" customHeight="1" x14ac:dyDescent="0.2">
      <c r="A30" s="15" t="s">
        <v>452</v>
      </c>
      <c r="B30" s="15">
        <v>291</v>
      </c>
      <c r="C30" s="81">
        <v>40</v>
      </c>
      <c r="D30" s="82">
        <f>IF((I30=0),"",(C30/I30))</f>
        <v>0.5</v>
      </c>
      <c r="E30" s="66">
        <v>37</v>
      </c>
      <c r="F30" s="67">
        <f>IF((I30=0),"",(E30/I30))</f>
        <v>0.46250000000000002</v>
      </c>
      <c r="G30" s="15">
        <v>3</v>
      </c>
      <c r="H30" s="17">
        <f>IF((I30=0),"",(G30/I30))</f>
        <v>3.7499999999999999E-2</v>
      </c>
      <c r="I30" s="29">
        <f>SUM(C30,E30,G30)</f>
        <v>80</v>
      </c>
      <c r="J30" s="17">
        <f>IF((B30=0),"",(I30/B30))</f>
        <v>0.27491408934707906</v>
      </c>
      <c r="K30" s="29">
        <f>B30-I30</f>
        <v>211</v>
      </c>
      <c r="L30" s="17">
        <f>IF((B30=0),"",(K30/B30))</f>
        <v>0.72508591065292094</v>
      </c>
      <c r="M30" s="1"/>
      <c r="N30" s="1"/>
      <c r="O30" s="1"/>
      <c r="P30" s="1"/>
      <c r="Q30" s="1"/>
      <c r="R30" s="1"/>
      <c r="S30" s="1"/>
      <c r="T30" s="1"/>
      <c r="U30" s="1"/>
      <c r="V30" s="1"/>
      <c r="W30" s="1"/>
      <c r="X30" s="1"/>
    </row>
    <row r="31" spans="1:24" ht="12.75" customHeight="1" x14ac:dyDescent="0.2">
      <c r="A31" s="12" t="s">
        <v>120</v>
      </c>
      <c r="B31" s="12">
        <f>SUM(B26:B30)</f>
        <v>1874</v>
      </c>
      <c r="C31" s="78">
        <f>SUM(C26:C30)</f>
        <v>464</v>
      </c>
      <c r="D31" s="79">
        <f>IF((I31=0),"",(C31/I31))</f>
        <v>0.45401174168297453</v>
      </c>
      <c r="E31" s="63">
        <f>SUM(E26:E30)</f>
        <v>537</v>
      </c>
      <c r="F31" s="64">
        <f>IF((I31=0),"",(E31/I31))</f>
        <v>0.52544031311154604</v>
      </c>
      <c r="G31" s="12">
        <f>SUM(G26:G30)</f>
        <v>51</v>
      </c>
      <c r="H31" s="13">
        <f>IF((I31=0),"",(G31/I31))</f>
        <v>4.9902152641878667E-2</v>
      </c>
      <c r="I31" s="12">
        <f>SUM(I26:I30)</f>
        <v>1022</v>
      </c>
      <c r="J31" s="13">
        <f>IF((B31=0),"",(I31/B31))</f>
        <v>0.54535752401280679</v>
      </c>
      <c r="K31" s="12">
        <f>SUM(K26:K30)</f>
        <v>852</v>
      </c>
      <c r="L31" s="13">
        <f>IF((B31=0),"",(K31/B31))</f>
        <v>0.45464247598719315</v>
      </c>
      <c r="M31" s="1"/>
      <c r="N31" s="1"/>
      <c r="O31" s="1"/>
      <c r="P31" s="1"/>
      <c r="Q31" s="1"/>
      <c r="R31" s="1"/>
      <c r="S31" s="1"/>
      <c r="T31" s="1"/>
      <c r="U31" s="1"/>
      <c r="V31" s="1"/>
      <c r="W31" s="1"/>
      <c r="X31" s="1"/>
    </row>
    <row r="32" spans="1:24" s="53" customFormat="1" ht="12.75" customHeight="1" x14ac:dyDescent="0.2">
      <c r="A32" s="32" t="s">
        <v>542</v>
      </c>
      <c r="B32" s="32">
        <v>40</v>
      </c>
      <c r="C32" s="78"/>
      <c r="D32" s="79"/>
      <c r="E32" s="63"/>
      <c r="F32" s="64"/>
      <c r="G32" s="32"/>
      <c r="H32" s="28"/>
      <c r="I32" s="32"/>
      <c r="J32" s="28"/>
      <c r="K32" s="32"/>
      <c r="L32" s="28"/>
      <c r="M32" s="1"/>
      <c r="N32" s="1"/>
      <c r="O32" s="1"/>
      <c r="P32" s="1"/>
      <c r="Q32" s="1"/>
      <c r="R32" s="1"/>
      <c r="S32" s="1"/>
      <c r="T32" s="1"/>
      <c r="U32" s="1"/>
      <c r="V32" s="1"/>
      <c r="W32" s="1"/>
      <c r="X32" s="1"/>
    </row>
    <row r="33" spans="1:24" ht="12.75" customHeight="1" x14ac:dyDescent="0.2">
      <c r="A33" s="58" t="s">
        <v>331</v>
      </c>
      <c r="B33" s="32" t="s">
        <v>329</v>
      </c>
      <c r="C33" s="86"/>
      <c r="D33" s="86"/>
      <c r="E33" s="90"/>
      <c r="F33" s="90"/>
      <c r="G33" s="16"/>
      <c r="H33" s="16"/>
      <c r="I33" s="16"/>
      <c r="J33" s="16"/>
      <c r="K33" s="16"/>
      <c r="L33" s="16"/>
      <c r="M33" s="1"/>
      <c r="N33" s="1"/>
      <c r="O33" s="1"/>
      <c r="P33" s="1"/>
      <c r="Q33" s="1"/>
      <c r="R33" s="1"/>
      <c r="S33" s="1"/>
      <c r="T33" s="1"/>
      <c r="U33" s="1"/>
      <c r="V33" s="1"/>
      <c r="W33" s="1"/>
      <c r="X33" s="1"/>
    </row>
    <row r="34" spans="1:24" ht="12.75" customHeight="1" x14ac:dyDescent="0.2">
      <c r="A34" s="15" t="s">
        <v>191</v>
      </c>
      <c r="B34" s="15">
        <v>390</v>
      </c>
      <c r="C34" s="81">
        <v>61</v>
      </c>
      <c r="D34" s="82">
        <f>IF((I34=0),"",(C34/I34))</f>
        <v>0.35260115606936415</v>
      </c>
      <c r="E34" s="66">
        <v>107</v>
      </c>
      <c r="F34" s="67">
        <f>IF((I34=0),"",(E34/I34))</f>
        <v>0.61849710982658956</v>
      </c>
      <c r="G34" s="15">
        <v>5</v>
      </c>
      <c r="H34" s="17">
        <f>IF((I34=0),"",(G34/I34))</f>
        <v>2.8901734104046242E-2</v>
      </c>
      <c r="I34" s="29">
        <f>SUM(C34,E34,G34)</f>
        <v>173</v>
      </c>
      <c r="J34" s="17">
        <f>IF((B34=0),"",(I34/B34))</f>
        <v>0.44358974358974357</v>
      </c>
      <c r="K34" s="29">
        <f>B34-I34</f>
        <v>217</v>
      </c>
      <c r="L34" s="17">
        <f>IF((B34=0),"",(K34/B34))</f>
        <v>0.55641025641025643</v>
      </c>
      <c r="M34" s="1"/>
      <c r="N34" s="1"/>
      <c r="O34" s="1"/>
      <c r="P34" s="1"/>
      <c r="Q34" s="1"/>
      <c r="R34" s="1"/>
      <c r="S34" s="1"/>
      <c r="T34" s="1"/>
      <c r="U34" s="1"/>
      <c r="V34" s="1"/>
      <c r="W34" s="1"/>
      <c r="X34" s="1"/>
    </row>
    <row r="35" spans="1:24" ht="12.75" customHeight="1" x14ac:dyDescent="0.2">
      <c r="A35" s="15" t="s">
        <v>132</v>
      </c>
      <c r="B35" s="15">
        <v>387</v>
      </c>
      <c r="C35" s="81">
        <v>84</v>
      </c>
      <c r="D35" s="82">
        <f>IF((I35=0),"",(C35/I35))</f>
        <v>0.31818181818181818</v>
      </c>
      <c r="E35" s="66">
        <v>173</v>
      </c>
      <c r="F35" s="67">
        <f>IF((I35=0),"",(E35/I35))</f>
        <v>0.65530303030303028</v>
      </c>
      <c r="G35" s="15">
        <v>7</v>
      </c>
      <c r="H35" s="17">
        <f>IF((I35=0),"",(G35/I35))</f>
        <v>2.6515151515151516E-2</v>
      </c>
      <c r="I35" s="29">
        <f>SUM(C35,E35,G35)</f>
        <v>264</v>
      </c>
      <c r="J35" s="17">
        <f>IF((B35=0),"",(I35/B35))</f>
        <v>0.68217054263565891</v>
      </c>
      <c r="K35" s="29">
        <f>B35-I35</f>
        <v>123</v>
      </c>
      <c r="L35" s="17">
        <f>IF((B35=0),"",(K35/B35))</f>
        <v>0.31782945736434109</v>
      </c>
      <c r="M35" s="1"/>
      <c r="N35" s="1"/>
      <c r="O35" s="1"/>
      <c r="P35" s="1"/>
      <c r="Q35" s="1"/>
      <c r="R35" s="1"/>
      <c r="S35" s="1"/>
      <c r="T35" s="1"/>
      <c r="U35" s="1"/>
      <c r="V35" s="1"/>
      <c r="W35" s="1"/>
      <c r="X35" s="1"/>
    </row>
    <row r="36" spans="1:24" ht="12.75" customHeight="1" x14ac:dyDescent="0.2">
      <c r="A36" s="15" t="s">
        <v>528</v>
      </c>
      <c r="B36" s="15">
        <v>385</v>
      </c>
      <c r="C36" s="81">
        <v>61</v>
      </c>
      <c r="D36" s="82">
        <f>IF((I36=0),"",(C36/I36))</f>
        <v>0.30348258706467662</v>
      </c>
      <c r="E36" s="66">
        <v>128</v>
      </c>
      <c r="F36" s="67">
        <f>IF((I36=0),"",(E36/I36))</f>
        <v>0.63681592039800994</v>
      </c>
      <c r="G36" s="15">
        <v>12</v>
      </c>
      <c r="H36" s="17">
        <f>IF((I36=0),"",(G36/I36))</f>
        <v>5.9701492537313432E-2</v>
      </c>
      <c r="I36" s="29">
        <f>SUM(C36,E36,G36)</f>
        <v>201</v>
      </c>
      <c r="J36" s="17">
        <f>IF((B36=0),"",(I36/B36))</f>
        <v>0.52207792207792203</v>
      </c>
      <c r="K36" s="29">
        <f>B36-I36</f>
        <v>184</v>
      </c>
      <c r="L36" s="17">
        <f>IF((B36=0),"",(K36/B36))</f>
        <v>0.47792207792207791</v>
      </c>
      <c r="M36" s="1"/>
      <c r="N36" s="1"/>
      <c r="O36" s="1"/>
      <c r="P36" s="1"/>
      <c r="Q36" s="1"/>
      <c r="R36" s="1"/>
      <c r="S36" s="1"/>
      <c r="T36" s="1"/>
      <c r="U36" s="1"/>
      <c r="V36" s="1"/>
      <c r="W36" s="1"/>
      <c r="X36" s="1"/>
    </row>
    <row r="37" spans="1:24" ht="12.75" customHeight="1" x14ac:dyDescent="0.2">
      <c r="A37" s="15" t="s">
        <v>529</v>
      </c>
      <c r="B37" s="15">
        <v>375</v>
      </c>
      <c r="C37" s="81">
        <v>62</v>
      </c>
      <c r="D37" s="82">
        <f>IF((I37=0),"",(C37/I37))</f>
        <v>0.26609442060085836</v>
      </c>
      <c r="E37" s="66">
        <v>165</v>
      </c>
      <c r="F37" s="67">
        <f>IF((I37=0),"",(E37/I37))</f>
        <v>0.70815450643776823</v>
      </c>
      <c r="G37" s="15">
        <v>6</v>
      </c>
      <c r="H37" s="17">
        <f>IF((I37=0),"",(G37/I37))</f>
        <v>2.575107296137339E-2</v>
      </c>
      <c r="I37" s="29">
        <f>SUM(C37,E37,G37)</f>
        <v>233</v>
      </c>
      <c r="J37" s="17">
        <f>IF((B37=0),"",(I37/B37))</f>
        <v>0.62133333333333329</v>
      </c>
      <c r="K37" s="29">
        <f>B37-I37</f>
        <v>142</v>
      </c>
      <c r="L37" s="17">
        <f>IF((B37=0),"",(K37/B37))</f>
        <v>0.37866666666666665</v>
      </c>
      <c r="M37" s="1"/>
      <c r="N37" s="1"/>
      <c r="O37" s="1"/>
      <c r="P37" s="1"/>
      <c r="Q37" s="1"/>
      <c r="R37" s="1"/>
      <c r="S37" s="1"/>
      <c r="T37" s="1"/>
      <c r="U37" s="1"/>
      <c r="V37" s="1"/>
      <c r="W37" s="1"/>
      <c r="X37" s="1"/>
    </row>
    <row r="38" spans="1:24" ht="12.75" customHeight="1" x14ac:dyDescent="0.2">
      <c r="A38" s="12" t="s">
        <v>120</v>
      </c>
      <c r="B38" s="12">
        <f>SUM(B34:B37)</f>
        <v>1537</v>
      </c>
      <c r="C38" s="78">
        <f>SUM(C34:C37)</f>
        <v>268</v>
      </c>
      <c r="D38" s="79">
        <f>IF((I38=0),"",(C38/I38))</f>
        <v>0.30769230769230771</v>
      </c>
      <c r="E38" s="63">
        <f>SUM(E34:E37)</f>
        <v>573</v>
      </c>
      <c r="F38" s="64">
        <f>IF((I38=0),"",(E38/I38))</f>
        <v>0.65786452353616531</v>
      </c>
      <c r="G38" s="12">
        <f>SUM(G34:G37)</f>
        <v>30</v>
      </c>
      <c r="H38" s="13">
        <f>IF((I38=0),"",(G38/I38))</f>
        <v>3.4443168771526977E-2</v>
      </c>
      <c r="I38" s="12">
        <f>SUM(I34:I37)</f>
        <v>871</v>
      </c>
      <c r="J38" s="13">
        <f>IF((B38=0),"",(I38/B38))</f>
        <v>0.5666883539362394</v>
      </c>
      <c r="K38" s="12">
        <f>SUM(K34:K37)</f>
        <v>666</v>
      </c>
      <c r="L38" s="13">
        <f>IF((B38=0),"",(K38/B38))</f>
        <v>0.43331164606376055</v>
      </c>
      <c r="M38" s="1"/>
      <c r="N38" s="1"/>
      <c r="O38" s="1"/>
      <c r="P38" s="1"/>
      <c r="Q38" s="1"/>
      <c r="R38" s="1"/>
      <c r="S38" s="1"/>
      <c r="T38" s="1"/>
      <c r="U38" s="1"/>
      <c r="V38" s="1"/>
      <c r="W38" s="1"/>
      <c r="X38" s="1"/>
    </row>
    <row r="39" spans="1:24" ht="12.75" customHeight="1" x14ac:dyDescent="0.2">
      <c r="A39" s="43" t="s">
        <v>542</v>
      </c>
      <c r="B39" s="43">
        <v>27</v>
      </c>
      <c r="C39" s="1"/>
      <c r="D39" s="1"/>
      <c r="E39" s="1"/>
      <c r="F39" s="1"/>
      <c r="G39" s="1"/>
      <c r="H39" s="1"/>
      <c r="I39" s="1"/>
      <c r="J39" s="1"/>
      <c r="K39" s="1"/>
      <c r="L39" s="1"/>
      <c r="M39" s="1"/>
      <c r="N39" s="1"/>
      <c r="O39" s="1"/>
      <c r="P39" s="1"/>
      <c r="Q39" s="1"/>
      <c r="R39" s="1"/>
      <c r="S39" s="1"/>
      <c r="T39" s="1"/>
      <c r="U39" s="1"/>
      <c r="V39" s="1"/>
      <c r="W39" s="1"/>
      <c r="X39" s="1"/>
    </row>
    <row r="40" spans="1:24" ht="12.75" customHeight="1" x14ac:dyDescent="0.2">
      <c r="A40" s="1"/>
      <c r="B40" s="1"/>
      <c r="C40" s="1"/>
      <c r="D40" s="1"/>
      <c r="E40" s="1"/>
      <c r="F40" s="1"/>
      <c r="G40" s="1"/>
      <c r="H40" s="1"/>
      <c r="I40" s="1"/>
      <c r="J40" s="1"/>
      <c r="K40" s="1"/>
      <c r="L40" s="1"/>
      <c r="M40" s="1"/>
      <c r="N40" s="1"/>
      <c r="O40" s="1"/>
      <c r="P40" s="1"/>
      <c r="Q40" s="1"/>
      <c r="R40" s="1"/>
      <c r="S40" s="1"/>
      <c r="T40" s="1"/>
      <c r="U40" s="1"/>
      <c r="V40" s="1"/>
      <c r="W40" s="1"/>
      <c r="X40" s="1"/>
    </row>
    <row r="41" spans="1:24" ht="12.75" customHeight="1" x14ac:dyDescent="0.2">
      <c r="A41" s="1"/>
      <c r="B41" s="1"/>
      <c r="C41" s="1"/>
      <c r="D41" s="1"/>
      <c r="E41" s="1"/>
      <c r="F41" s="1"/>
      <c r="G41" s="1"/>
      <c r="H41" s="1"/>
      <c r="I41" s="1"/>
      <c r="J41" s="1"/>
      <c r="K41" s="1"/>
      <c r="L41" s="1"/>
      <c r="M41" s="1"/>
      <c r="N41" s="1"/>
      <c r="O41" s="1"/>
      <c r="P41" s="1"/>
      <c r="Q41" s="1"/>
      <c r="R41" s="1"/>
      <c r="S41" s="1"/>
      <c r="T41" s="1"/>
      <c r="U41" s="1"/>
      <c r="V41" s="1"/>
      <c r="W41" s="1"/>
      <c r="X41" s="1"/>
    </row>
    <row r="42" spans="1:24" ht="12.75" customHeight="1" x14ac:dyDescent="0.2">
      <c r="A42" s="1"/>
      <c r="B42" s="1"/>
      <c r="C42" s="1"/>
      <c r="D42" s="1"/>
      <c r="E42" s="1"/>
      <c r="F42" s="1"/>
      <c r="G42" s="1"/>
      <c r="H42" s="1"/>
      <c r="I42" s="1"/>
      <c r="J42" s="1"/>
      <c r="K42" s="1"/>
      <c r="L42" s="1"/>
      <c r="M42" s="1"/>
      <c r="N42" s="1"/>
      <c r="O42" s="1"/>
      <c r="P42" s="1"/>
      <c r="Q42" s="1"/>
      <c r="R42" s="1"/>
      <c r="S42" s="1"/>
      <c r="T42" s="1"/>
      <c r="U42" s="1"/>
      <c r="V42" s="1"/>
      <c r="W42" s="1"/>
      <c r="X42" s="1"/>
    </row>
    <row r="43" spans="1:24" ht="12.75" customHeight="1" x14ac:dyDescent="0.2">
      <c r="A43" s="1"/>
      <c r="B43" s="1"/>
      <c r="C43" s="1"/>
      <c r="D43" s="1"/>
      <c r="E43" s="1"/>
      <c r="F43" s="1"/>
      <c r="G43" s="1"/>
      <c r="H43" s="1"/>
      <c r="I43" s="1"/>
      <c r="J43" s="1"/>
      <c r="K43" s="1"/>
      <c r="L43" s="1"/>
      <c r="M43" s="1"/>
      <c r="N43" s="1"/>
      <c r="O43" s="1"/>
      <c r="P43" s="1"/>
      <c r="Q43" s="1"/>
      <c r="R43" s="1"/>
      <c r="S43" s="1"/>
      <c r="T43" s="1"/>
      <c r="U43" s="1"/>
      <c r="V43" s="1"/>
      <c r="W43" s="1"/>
      <c r="X43" s="1"/>
    </row>
    <row r="44" spans="1:24" ht="12.75" customHeight="1" x14ac:dyDescent="0.2">
      <c r="A44" s="1"/>
      <c r="B44" s="1"/>
      <c r="C44" s="1"/>
      <c r="D44" s="1"/>
      <c r="E44" s="1"/>
      <c r="F44" s="1"/>
      <c r="G44" s="1"/>
      <c r="H44" s="1"/>
      <c r="I44" s="1"/>
      <c r="J44" s="1"/>
      <c r="K44" s="1"/>
      <c r="L44" s="1"/>
      <c r="M44" s="1"/>
      <c r="N44" s="1"/>
      <c r="O44" s="1"/>
      <c r="P44" s="1"/>
      <c r="Q44" s="1"/>
      <c r="R44" s="1"/>
      <c r="S44" s="1"/>
      <c r="T44" s="1"/>
      <c r="U44" s="1"/>
      <c r="V44" s="1"/>
      <c r="W44" s="1"/>
      <c r="X44" s="1"/>
    </row>
    <row r="45" spans="1:24" ht="12.75" customHeight="1" x14ac:dyDescent="0.2">
      <c r="A45" s="1"/>
      <c r="B45" s="1"/>
      <c r="C45" s="1"/>
      <c r="D45" s="1"/>
      <c r="E45" s="1"/>
      <c r="F45" s="1"/>
      <c r="G45" s="1"/>
      <c r="H45" s="1"/>
      <c r="I45" s="1"/>
      <c r="J45" s="1"/>
      <c r="K45" s="1"/>
      <c r="L45" s="1"/>
      <c r="M45" s="1"/>
      <c r="N45" s="1"/>
      <c r="O45" s="1"/>
      <c r="P45" s="1"/>
      <c r="Q45" s="1"/>
      <c r="R45" s="1"/>
      <c r="S45" s="1"/>
      <c r="T45" s="1"/>
      <c r="U45" s="1"/>
      <c r="V45" s="1"/>
      <c r="W45" s="1"/>
      <c r="X45" s="1"/>
    </row>
    <row r="46" spans="1:24" ht="12.75" customHeight="1" x14ac:dyDescent="0.2">
      <c r="A46" s="1"/>
      <c r="B46" s="1"/>
      <c r="C46" s="1"/>
      <c r="D46" s="1"/>
      <c r="E46" s="1"/>
      <c r="F46" s="1"/>
      <c r="G46" s="1"/>
      <c r="H46" s="1"/>
      <c r="I46" s="1"/>
      <c r="J46" s="1"/>
      <c r="K46" s="1"/>
      <c r="L46" s="1"/>
      <c r="M46" s="1"/>
      <c r="N46" s="1"/>
      <c r="O46" s="1"/>
      <c r="P46" s="1"/>
      <c r="Q46" s="1"/>
      <c r="R46" s="1"/>
      <c r="S46" s="1"/>
      <c r="T46" s="1"/>
      <c r="U46" s="1"/>
      <c r="V46" s="1"/>
      <c r="W46" s="1"/>
      <c r="X46" s="1"/>
    </row>
    <row r="47" spans="1:24" ht="12.75" customHeight="1" x14ac:dyDescent="0.2">
      <c r="A47" s="1"/>
      <c r="B47" s="1"/>
      <c r="C47" s="1"/>
      <c r="D47" s="1"/>
      <c r="E47" s="1"/>
      <c r="F47" s="1"/>
      <c r="G47" s="1"/>
      <c r="H47" s="1"/>
      <c r="I47" s="1"/>
      <c r="J47" s="1"/>
      <c r="K47" s="1"/>
      <c r="L47" s="1"/>
      <c r="M47" s="1"/>
      <c r="N47" s="1"/>
      <c r="O47" s="1"/>
      <c r="P47" s="1"/>
      <c r="Q47" s="1"/>
      <c r="R47" s="1"/>
      <c r="S47" s="1"/>
      <c r="T47" s="1"/>
      <c r="U47" s="1"/>
      <c r="V47" s="1"/>
      <c r="W47" s="1"/>
      <c r="X47" s="1"/>
    </row>
    <row r="48" spans="1:24" ht="12.75" customHeight="1" x14ac:dyDescent="0.2">
      <c r="A48" s="1"/>
      <c r="B48" s="1"/>
      <c r="C48" s="1"/>
      <c r="D48" s="1"/>
      <c r="E48" s="1"/>
      <c r="F48" s="1"/>
      <c r="G48" s="1"/>
      <c r="H48" s="1"/>
      <c r="I48" s="1"/>
      <c r="J48" s="1"/>
      <c r="K48" s="1"/>
      <c r="L48" s="1"/>
      <c r="M48" s="1"/>
      <c r="N48" s="1"/>
      <c r="O48" s="1"/>
      <c r="P48" s="1"/>
      <c r="Q48" s="1"/>
      <c r="R48" s="1"/>
      <c r="S48" s="1"/>
      <c r="T48" s="1"/>
      <c r="U48" s="1"/>
      <c r="V48" s="1"/>
      <c r="W48" s="1"/>
      <c r="X48" s="1"/>
    </row>
    <row r="49" spans="1:24" ht="12.75" customHeight="1" x14ac:dyDescent="0.2">
      <c r="A49" s="1"/>
      <c r="B49" s="1"/>
      <c r="C49" s="1"/>
      <c r="D49" s="1"/>
      <c r="E49" s="1"/>
      <c r="F49" s="1"/>
      <c r="G49" s="1"/>
      <c r="H49" s="1"/>
      <c r="I49" s="1"/>
      <c r="J49" s="1"/>
      <c r="K49" s="1"/>
      <c r="L49" s="1"/>
      <c r="M49" s="1"/>
      <c r="N49" s="1"/>
      <c r="O49" s="1"/>
      <c r="P49" s="1"/>
      <c r="Q49" s="1"/>
      <c r="R49" s="1"/>
      <c r="S49" s="1"/>
      <c r="T49" s="1"/>
      <c r="U49" s="1"/>
      <c r="V49" s="1"/>
      <c r="W49" s="1"/>
      <c r="X49" s="1"/>
    </row>
    <row r="50" spans="1:24" ht="12.75" customHeight="1" x14ac:dyDescent="0.2">
      <c r="A50" s="1"/>
      <c r="B50" s="1"/>
      <c r="C50" s="1"/>
      <c r="D50" s="1"/>
      <c r="E50" s="1"/>
      <c r="F50" s="1"/>
      <c r="G50" s="1"/>
      <c r="H50" s="1"/>
      <c r="I50" s="1"/>
      <c r="J50" s="1"/>
      <c r="K50" s="1"/>
      <c r="L50" s="1"/>
      <c r="M50" s="1"/>
      <c r="N50" s="1"/>
      <c r="O50" s="1"/>
      <c r="P50" s="1"/>
      <c r="Q50" s="1"/>
      <c r="R50" s="1"/>
      <c r="S50" s="1"/>
      <c r="T50" s="1"/>
      <c r="U50" s="1"/>
      <c r="V50" s="1"/>
      <c r="W50" s="1"/>
      <c r="X50" s="1"/>
    </row>
    <row r="51" spans="1:24" ht="12.75" customHeight="1" x14ac:dyDescent="0.2">
      <c r="A51" s="1"/>
      <c r="B51" s="1"/>
      <c r="C51" s="1"/>
      <c r="D51" s="1"/>
      <c r="E51" s="1"/>
      <c r="F51" s="1"/>
      <c r="G51" s="1"/>
      <c r="H51" s="1"/>
      <c r="I51" s="1"/>
      <c r="J51" s="1"/>
      <c r="K51" s="1"/>
      <c r="L51" s="1"/>
      <c r="M51" s="1"/>
      <c r="N51" s="1"/>
      <c r="O51" s="1"/>
      <c r="P51" s="1"/>
      <c r="Q51" s="1"/>
      <c r="R51" s="1"/>
      <c r="S51" s="1"/>
      <c r="T51" s="1"/>
      <c r="U51" s="1"/>
      <c r="V51" s="1"/>
      <c r="W51" s="1"/>
      <c r="X51" s="1"/>
    </row>
    <row r="52" spans="1:24" ht="12.75" customHeight="1" x14ac:dyDescent="0.2">
      <c r="A52" s="1"/>
      <c r="B52" s="1"/>
      <c r="C52" s="1"/>
      <c r="D52" s="1"/>
      <c r="E52" s="1"/>
      <c r="F52" s="1"/>
      <c r="G52" s="1"/>
      <c r="H52" s="1"/>
      <c r="I52" s="1"/>
      <c r="J52" s="1"/>
      <c r="K52" s="1"/>
      <c r="L52" s="1"/>
      <c r="M52" s="1"/>
      <c r="N52" s="1"/>
      <c r="O52" s="1"/>
      <c r="P52" s="1"/>
      <c r="Q52" s="1"/>
      <c r="R52" s="1"/>
      <c r="S52" s="1"/>
      <c r="T52" s="1"/>
      <c r="U52" s="1"/>
      <c r="V52" s="1"/>
      <c r="W52" s="1"/>
      <c r="X52" s="1"/>
    </row>
    <row r="53" spans="1:24" ht="12.75" customHeight="1" x14ac:dyDescent="0.2">
      <c r="A53" s="1"/>
      <c r="B53" s="1"/>
      <c r="C53" s="1"/>
      <c r="D53" s="1"/>
      <c r="E53" s="1"/>
      <c r="F53" s="1"/>
      <c r="G53" s="1"/>
      <c r="H53" s="1"/>
      <c r="I53" s="1"/>
      <c r="J53" s="1"/>
      <c r="K53" s="1"/>
      <c r="L53" s="1"/>
      <c r="M53" s="1"/>
      <c r="N53" s="1"/>
      <c r="O53" s="1"/>
      <c r="P53" s="1"/>
      <c r="Q53" s="1"/>
      <c r="R53" s="1"/>
      <c r="S53" s="1"/>
      <c r="T53" s="1"/>
      <c r="U53" s="1"/>
      <c r="V53" s="1"/>
      <c r="W53" s="1"/>
      <c r="X53" s="1"/>
    </row>
    <row r="54" spans="1:24" ht="12.75" customHeight="1" x14ac:dyDescent="0.2">
      <c r="A54" s="1"/>
      <c r="B54" s="1"/>
      <c r="C54" s="1"/>
      <c r="D54" s="1"/>
      <c r="E54" s="1"/>
      <c r="F54" s="1"/>
      <c r="G54" s="1"/>
      <c r="H54" s="1"/>
      <c r="I54" s="1"/>
      <c r="J54" s="1"/>
      <c r="K54" s="1"/>
      <c r="L54" s="1"/>
      <c r="M54" s="1"/>
      <c r="N54" s="1"/>
      <c r="O54" s="1"/>
      <c r="P54" s="1"/>
      <c r="Q54" s="1"/>
      <c r="R54" s="1"/>
      <c r="S54" s="1"/>
      <c r="T54" s="1"/>
      <c r="U54" s="1"/>
      <c r="V54" s="1"/>
      <c r="W54" s="1"/>
      <c r="X54" s="1"/>
    </row>
    <row r="55" spans="1:24" ht="12.75" customHeight="1" x14ac:dyDescent="0.2">
      <c r="A55" s="1"/>
      <c r="B55" s="1"/>
      <c r="C55" s="1"/>
      <c r="D55" s="1"/>
      <c r="E55" s="1"/>
      <c r="F55" s="1"/>
      <c r="G55" s="1"/>
      <c r="H55" s="1"/>
      <c r="I55" s="1"/>
      <c r="J55" s="1"/>
      <c r="K55" s="1"/>
      <c r="L55" s="1"/>
      <c r="M55" s="1"/>
      <c r="N55" s="1"/>
      <c r="O55" s="1"/>
      <c r="P55" s="1"/>
      <c r="Q55" s="1"/>
      <c r="R55" s="1"/>
      <c r="S55" s="1"/>
      <c r="T55" s="1"/>
      <c r="U55" s="1"/>
      <c r="V55" s="1"/>
      <c r="W55" s="1"/>
      <c r="X55" s="1"/>
    </row>
    <row r="56" spans="1:24" ht="12.75" customHeight="1" x14ac:dyDescent="0.2">
      <c r="A56" s="1"/>
      <c r="B56" s="1"/>
      <c r="C56" s="1"/>
      <c r="D56" s="1"/>
      <c r="E56" s="1"/>
      <c r="F56" s="1"/>
      <c r="G56" s="1"/>
      <c r="H56" s="1"/>
      <c r="I56" s="1"/>
      <c r="J56" s="1"/>
      <c r="K56" s="1"/>
      <c r="L56" s="1"/>
      <c r="M56" s="1"/>
      <c r="N56" s="1"/>
      <c r="O56" s="1"/>
      <c r="P56" s="1"/>
      <c r="Q56" s="1"/>
      <c r="R56" s="1"/>
      <c r="S56" s="1"/>
      <c r="T56" s="1"/>
      <c r="U56" s="1"/>
      <c r="V56" s="1"/>
      <c r="W56" s="1"/>
      <c r="X56" s="1"/>
    </row>
    <row r="57" spans="1:24" ht="12.75" customHeight="1" x14ac:dyDescent="0.2">
      <c r="A57" s="1"/>
      <c r="B57" s="1"/>
      <c r="C57" s="1"/>
      <c r="D57" s="1"/>
      <c r="E57" s="1"/>
      <c r="F57" s="1"/>
      <c r="G57" s="1"/>
      <c r="H57" s="1"/>
      <c r="I57" s="1"/>
      <c r="J57" s="1"/>
      <c r="K57" s="1"/>
      <c r="L57" s="1"/>
      <c r="M57" s="1"/>
      <c r="N57" s="1"/>
      <c r="O57" s="1"/>
      <c r="P57" s="1"/>
      <c r="Q57" s="1"/>
      <c r="R57" s="1"/>
      <c r="S57" s="1"/>
      <c r="T57" s="1"/>
      <c r="U57" s="1"/>
      <c r="V57" s="1"/>
      <c r="W57" s="1"/>
      <c r="X57" s="1"/>
    </row>
    <row r="58" spans="1:24" ht="12.75" customHeight="1" x14ac:dyDescent="0.2">
      <c r="A58" s="1"/>
      <c r="B58" s="1"/>
      <c r="C58" s="1"/>
      <c r="D58" s="1"/>
      <c r="E58" s="1"/>
      <c r="F58" s="1"/>
      <c r="G58" s="1"/>
      <c r="H58" s="1"/>
      <c r="I58" s="1"/>
      <c r="J58" s="1"/>
      <c r="K58" s="1"/>
      <c r="L58" s="1"/>
      <c r="M58" s="1"/>
      <c r="N58" s="1"/>
      <c r="O58" s="1"/>
      <c r="P58" s="1"/>
      <c r="Q58" s="1"/>
      <c r="R58" s="1"/>
      <c r="S58" s="1"/>
      <c r="T58" s="1"/>
      <c r="U58" s="1"/>
      <c r="V58" s="1"/>
      <c r="W58" s="1"/>
      <c r="X58" s="1"/>
    </row>
    <row r="59" spans="1:24" ht="12.75" customHeight="1" x14ac:dyDescent="0.2">
      <c r="A59" s="1"/>
      <c r="B59" s="1"/>
      <c r="C59" s="1"/>
      <c r="D59" s="1"/>
      <c r="E59" s="1"/>
      <c r="F59" s="1"/>
      <c r="G59" s="1"/>
      <c r="H59" s="1"/>
      <c r="I59" s="1"/>
      <c r="J59" s="1"/>
      <c r="K59" s="1"/>
      <c r="L59" s="1"/>
      <c r="M59" s="1"/>
      <c r="N59" s="1"/>
      <c r="O59" s="1"/>
      <c r="P59" s="1"/>
      <c r="Q59" s="1"/>
      <c r="R59" s="1"/>
      <c r="S59" s="1"/>
      <c r="T59" s="1"/>
      <c r="U59" s="1"/>
      <c r="V59" s="1"/>
      <c r="W59" s="1"/>
      <c r="X59" s="1"/>
    </row>
    <row r="60" spans="1:24" ht="12.75" customHeight="1" x14ac:dyDescent="0.2">
      <c r="A60" s="1"/>
      <c r="B60" s="1"/>
      <c r="C60" s="1"/>
      <c r="D60" s="1"/>
      <c r="E60" s="1"/>
      <c r="F60" s="1"/>
      <c r="G60" s="1"/>
      <c r="H60" s="1"/>
      <c r="I60" s="1"/>
      <c r="J60" s="1"/>
      <c r="K60" s="1"/>
      <c r="L60" s="1"/>
      <c r="M60" s="1"/>
      <c r="N60" s="1"/>
      <c r="O60" s="1"/>
      <c r="P60" s="1"/>
      <c r="Q60" s="1"/>
      <c r="R60" s="1"/>
      <c r="S60" s="1"/>
      <c r="T60" s="1"/>
      <c r="U60" s="1"/>
      <c r="V60" s="1"/>
      <c r="W60" s="1"/>
      <c r="X60" s="1"/>
    </row>
    <row r="61" spans="1:24" ht="12.75" customHeight="1" x14ac:dyDescent="0.2">
      <c r="A61" s="1"/>
      <c r="B61" s="1"/>
      <c r="C61" s="1"/>
      <c r="D61" s="1"/>
      <c r="E61" s="1"/>
      <c r="F61" s="1"/>
      <c r="G61" s="1"/>
      <c r="H61" s="1"/>
      <c r="I61" s="1"/>
      <c r="J61" s="1"/>
      <c r="K61" s="1"/>
      <c r="L61" s="1"/>
      <c r="M61" s="1"/>
      <c r="N61" s="1"/>
      <c r="O61" s="1"/>
      <c r="P61" s="1"/>
      <c r="Q61" s="1"/>
      <c r="R61" s="1"/>
      <c r="S61" s="1"/>
      <c r="T61" s="1"/>
      <c r="U61" s="1"/>
      <c r="V61" s="1"/>
      <c r="W61" s="1"/>
      <c r="X61" s="1"/>
    </row>
    <row r="62" spans="1:24" ht="12.75" customHeight="1" x14ac:dyDescent="0.2">
      <c r="A62" s="1"/>
      <c r="B62" s="1"/>
      <c r="C62" s="1"/>
      <c r="D62" s="1"/>
      <c r="E62" s="1"/>
      <c r="F62" s="1"/>
      <c r="G62" s="1"/>
      <c r="H62" s="1"/>
      <c r="I62" s="1"/>
      <c r="J62" s="1"/>
      <c r="K62" s="1"/>
      <c r="L62" s="1"/>
      <c r="M62" s="1"/>
      <c r="N62" s="1"/>
      <c r="O62" s="1"/>
      <c r="P62" s="1"/>
      <c r="Q62" s="1"/>
      <c r="R62" s="1"/>
      <c r="S62" s="1"/>
      <c r="T62" s="1"/>
      <c r="U62" s="1"/>
      <c r="V62" s="1"/>
      <c r="W62" s="1"/>
      <c r="X62" s="1"/>
    </row>
    <row r="63" spans="1:24" ht="12.75" customHeight="1" x14ac:dyDescent="0.2">
      <c r="A63" s="1"/>
      <c r="B63" s="1"/>
      <c r="C63" s="1"/>
      <c r="D63" s="1"/>
      <c r="E63" s="1"/>
      <c r="F63" s="1"/>
      <c r="G63" s="1"/>
      <c r="H63" s="1"/>
      <c r="I63" s="1"/>
      <c r="J63" s="1"/>
      <c r="K63" s="1"/>
      <c r="L63" s="1"/>
      <c r="M63" s="1"/>
      <c r="N63" s="1"/>
      <c r="O63" s="1"/>
      <c r="P63" s="1"/>
      <c r="Q63" s="1"/>
      <c r="R63" s="1"/>
      <c r="S63" s="1"/>
      <c r="T63" s="1"/>
      <c r="U63" s="1"/>
      <c r="V63" s="1"/>
      <c r="W63" s="1"/>
      <c r="X63" s="1"/>
    </row>
    <row r="64" spans="1:24" ht="12.75" customHeight="1" x14ac:dyDescent="0.2">
      <c r="A64" s="1"/>
      <c r="B64" s="1"/>
      <c r="C64" s="1"/>
      <c r="D64" s="1"/>
      <c r="E64" s="1"/>
      <c r="F64" s="1"/>
      <c r="G64" s="1"/>
      <c r="H64" s="1"/>
      <c r="I64" s="1"/>
      <c r="J64" s="1"/>
      <c r="K64" s="1"/>
      <c r="L64" s="1"/>
      <c r="M64" s="1"/>
      <c r="N64" s="1"/>
      <c r="O64" s="1"/>
      <c r="P64" s="1"/>
      <c r="Q64" s="1"/>
      <c r="R64" s="1"/>
      <c r="S64" s="1"/>
      <c r="T64" s="1"/>
      <c r="U64" s="1"/>
      <c r="V64" s="1"/>
      <c r="W64" s="1"/>
      <c r="X64" s="1"/>
    </row>
    <row r="65" spans="1:24" ht="12.75" customHeight="1" x14ac:dyDescent="0.2">
      <c r="A65" s="1"/>
      <c r="B65" s="1"/>
      <c r="C65" s="1"/>
      <c r="D65" s="1"/>
      <c r="E65" s="1"/>
      <c r="F65" s="1"/>
      <c r="G65" s="1"/>
      <c r="H65" s="1"/>
      <c r="I65" s="1"/>
      <c r="J65" s="1"/>
      <c r="K65" s="1"/>
      <c r="L65" s="1"/>
      <c r="M65" s="1"/>
      <c r="N65" s="1"/>
      <c r="O65" s="1"/>
      <c r="P65" s="1"/>
      <c r="Q65" s="1"/>
      <c r="R65" s="1"/>
      <c r="S65" s="1"/>
      <c r="T65" s="1"/>
      <c r="U65" s="1"/>
      <c r="V65" s="1"/>
      <c r="W65" s="1"/>
      <c r="X65" s="1"/>
    </row>
    <row r="66" spans="1:24" ht="12.75" customHeight="1" x14ac:dyDescent="0.2">
      <c r="A66" s="1"/>
      <c r="B66" s="1"/>
      <c r="C66" s="1"/>
      <c r="D66" s="1"/>
      <c r="E66" s="1"/>
      <c r="F66" s="1"/>
      <c r="G66" s="1"/>
      <c r="H66" s="1"/>
      <c r="I66" s="1"/>
      <c r="J66" s="1"/>
      <c r="K66" s="1"/>
      <c r="L66" s="1"/>
      <c r="M66" s="1"/>
      <c r="N66" s="1"/>
      <c r="O66" s="1"/>
      <c r="P66" s="1"/>
      <c r="Q66" s="1"/>
      <c r="R66" s="1"/>
      <c r="S66" s="1"/>
      <c r="T66" s="1"/>
      <c r="U66" s="1"/>
      <c r="V66" s="1"/>
      <c r="W66" s="1"/>
      <c r="X66" s="1"/>
    </row>
    <row r="67" spans="1:24" ht="12.75" customHeight="1" x14ac:dyDescent="0.2">
      <c r="A67" s="1"/>
      <c r="B67" s="1"/>
      <c r="C67" s="1"/>
      <c r="D67" s="1"/>
      <c r="E67" s="1"/>
      <c r="F67" s="1"/>
      <c r="G67" s="1"/>
      <c r="H67" s="1"/>
      <c r="I67" s="1"/>
      <c r="J67" s="1"/>
      <c r="K67" s="1"/>
      <c r="L67" s="1"/>
      <c r="M67" s="1"/>
      <c r="N67" s="1"/>
      <c r="O67" s="1"/>
      <c r="P67" s="1"/>
      <c r="Q67" s="1"/>
      <c r="R67" s="1"/>
      <c r="S67" s="1"/>
      <c r="T67" s="1"/>
      <c r="U67" s="1"/>
      <c r="V67" s="1"/>
      <c r="W67" s="1"/>
      <c r="X67" s="1"/>
    </row>
    <row r="68" spans="1:24" ht="12.75" customHeight="1" x14ac:dyDescent="0.2">
      <c r="A68" s="1"/>
      <c r="B68" s="1"/>
      <c r="C68" s="1"/>
      <c r="D68" s="1"/>
      <c r="E68" s="1"/>
      <c r="F68" s="1"/>
      <c r="G68" s="1"/>
      <c r="H68" s="1"/>
      <c r="I68" s="1"/>
      <c r="J68" s="1"/>
      <c r="K68" s="1"/>
      <c r="L68" s="1"/>
      <c r="M68" s="1"/>
      <c r="N68" s="1"/>
      <c r="O68" s="1"/>
      <c r="P68" s="1"/>
      <c r="Q68" s="1"/>
      <c r="R68" s="1"/>
      <c r="S68" s="1"/>
      <c r="T68" s="1"/>
      <c r="U68" s="1"/>
      <c r="V68" s="1"/>
      <c r="W68" s="1"/>
      <c r="X68" s="1"/>
    </row>
    <row r="69" spans="1:24" ht="12.75" customHeight="1" x14ac:dyDescent="0.2">
      <c r="A69" s="1"/>
      <c r="B69" s="1"/>
      <c r="C69" s="1"/>
      <c r="D69" s="1"/>
      <c r="E69" s="1"/>
      <c r="F69" s="1"/>
      <c r="G69" s="1"/>
      <c r="H69" s="1"/>
      <c r="I69" s="1"/>
      <c r="J69" s="1"/>
      <c r="K69" s="1"/>
      <c r="L69" s="1"/>
      <c r="M69" s="1"/>
      <c r="N69" s="1"/>
      <c r="O69" s="1"/>
      <c r="P69" s="1"/>
      <c r="Q69" s="1"/>
      <c r="R69" s="1"/>
      <c r="S69" s="1"/>
      <c r="T69" s="1"/>
      <c r="U69" s="1"/>
      <c r="V69" s="1"/>
      <c r="W69" s="1"/>
      <c r="X69" s="1"/>
    </row>
    <row r="70" spans="1:24" ht="12.75" customHeight="1" x14ac:dyDescent="0.2">
      <c r="A70" s="1"/>
      <c r="B70" s="1"/>
      <c r="C70" s="1"/>
      <c r="D70" s="1"/>
      <c r="E70" s="1"/>
      <c r="F70" s="1"/>
      <c r="G70" s="1"/>
      <c r="H70" s="1"/>
      <c r="I70" s="1"/>
      <c r="J70" s="1"/>
      <c r="K70" s="1"/>
      <c r="L70" s="1"/>
      <c r="M70" s="1"/>
      <c r="N70" s="1"/>
      <c r="O70" s="1"/>
      <c r="P70" s="1"/>
      <c r="Q70" s="1"/>
      <c r="R70" s="1"/>
      <c r="S70" s="1"/>
      <c r="T70" s="1"/>
      <c r="U70" s="1"/>
      <c r="V70" s="1"/>
      <c r="W70" s="1"/>
      <c r="X70" s="1"/>
    </row>
    <row r="71" spans="1:24" ht="12.75" customHeight="1" x14ac:dyDescent="0.2">
      <c r="A71" s="1"/>
      <c r="B71" s="1"/>
      <c r="C71" s="1"/>
      <c r="D71" s="1"/>
      <c r="E71" s="1"/>
      <c r="F71" s="1"/>
      <c r="G71" s="1"/>
      <c r="H71" s="1"/>
      <c r="I71" s="1"/>
      <c r="J71" s="1"/>
      <c r="K71" s="1"/>
      <c r="L71" s="1"/>
      <c r="M71" s="1"/>
      <c r="N71" s="1"/>
      <c r="O71" s="1"/>
      <c r="P71" s="1"/>
      <c r="Q71" s="1"/>
      <c r="R71" s="1"/>
      <c r="S71" s="1"/>
      <c r="T71" s="1"/>
      <c r="U71" s="1"/>
      <c r="V71" s="1"/>
      <c r="W71" s="1"/>
      <c r="X71" s="1"/>
    </row>
    <row r="72" spans="1:24" ht="12.75" customHeight="1" x14ac:dyDescent="0.2">
      <c r="A72" s="1"/>
      <c r="B72" s="1"/>
      <c r="C72" s="1"/>
      <c r="D72" s="1"/>
      <c r="E72" s="1"/>
      <c r="F72" s="1"/>
      <c r="G72" s="1"/>
      <c r="H72" s="1"/>
      <c r="I72" s="1"/>
      <c r="J72" s="1"/>
      <c r="K72" s="1"/>
      <c r="L72" s="1"/>
      <c r="M72" s="1"/>
      <c r="N72" s="1"/>
      <c r="O72" s="1"/>
      <c r="P72" s="1"/>
      <c r="Q72" s="1"/>
      <c r="R72" s="1"/>
      <c r="S72" s="1"/>
      <c r="T72" s="1"/>
      <c r="U72" s="1"/>
      <c r="V72" s="1"/>
      <c r="W72" s="1"/>
      <c r="X72" s="1"/>
    </row>
    <row r="73" spans="1:24" ht="12.75" customHeight="1" x14ac:dyDescent="0.2">
      <c r="A73" s="1"/>
      <c r="B73" s="1"/>
      <c r="C73" s="1"/>
      <c r="D73" s="1"/>
      <c r="E73" s="1"/>
      <c r="F73" s="1"/>
      <c r="G73" s="1"/>
      <c r="H73" s="1"/>
      <c r="I73" s="1"/>
      <c r="J73" s="1"/>
      <c r="K73" s="1"/>
      <c r="L73" s="1"/>
      <c r="M73" s="1"/>
      <c r="N73" s="1"/>
      <c r="O73" s="1"/>
      <c r="P73" s="1"/>
      <c r="Q73" s="1"/>
      <c r="R73" s="1"/>
      <c r="S73" s="1"/>
      <c r="T73" s="1"/>
      <c r="U73" s="1"/>
      <c r="V73" s="1"/>
      <c r="W73" s="1"/>
      <c r="X73" s="1"/>
    </row>
    <row r="74" spans="1:24" ht="12.75" customHeight="1" x14ac:dyDescent="0.2">
      <c r="A74" s="1"/>
      <c r="B74" s="1"/>
      <c r="C74" s="1"/>
      <c r="D74" s="1"/>
      <c r="E74" s="1"/>
      <c r="F74" s="1"/>
      <c r="G74" s="1"/>
      <c r="H74" s="1"/>
      <c r="I74" s="1"/>
      <c r="J74" s="1"/>
      <c r="K74" s="1"/>
      <c r="L74" s="1"/>
      <c r="M74" s="1"/>
      <c r="N74" s="1"/>
      <c r="O74" s="1"/>
      <c r="P74" s="1"/>
      <c r="Q74" s="1"/>
      <c r="R74" s="1"/>
      <c r="S74" s="1"/>
      <c r="T74" s="1"/>
      <c r="U74" s="1"/>
      <c r="V74" s="1"/>
      <c r="W74" s="1"/>
      <c r="X74" s="1"/>
    </row>
    <row r="75" spans="1:24" ht="12.75" customHeight="1" x14ac:dyDescent="0.2">
      <c r="A75" s="1"/>
      <c r="B75" s="1"/>
      <c r="C75" s="1"/>
      <c r="D75" s="1"/>
      <c r="E75" s="1"/>
      <c r="F75" s="1"/>
      <c r="G75" s="1"/>
      <c r="H75" s="1"/>
      <c r="I75" s="1"/>
      <c r="J75" s="1"/>
      <c r="K75" s="1"/>
      <c r="L75" s="1"/>
      <c r="M75" s="1"/>
      <c r="N75" s="1"/>
      <c r="O75" s="1"/>
      <c r="P75" s="1"/>
      <c r="Q75" s="1"/>
      <c r="R75" s="1"/>
      <c r="S75" s="1"/>
      <c r="T75" s="1"/>
      <c r="U75" s="1"/>
      <c r="V75" s="1"/>
      <c r="W75" s="1"/>
      <c r="X75" s="1"/>
    </row>
    <row r="76" spans="1:24" ht="12.75" customHeight="1" x14ac:dyDescent="0.2">
      <c r="A76" s="1"/>
      <c r="B76" s="1"/>
      <c r="C76" s="1"/>
      <c r="D76" s="1"/>
      <c r="E76" s="1"/>
      <c r="F76" s="1"/>
      <c r="G76" s="1"/>
      <c r="H76" s="1"/>
      <c r="I76" s="1"/>
      <c r="J76" s="1"/>
      <c r="K76" s="1"/>
      <c r="L76" s="1"/>
      <c r="M76" s="1"/>
      <c r="N76" s="1"/>
      <c r="O76" s="1"/>
      <c r="P76" s="1"/>
      <c r="Q76" s="1"/>
      <c r="R76" s="1"/>
      <c r="S76" s="1"/>
      <c r="T76" s="1"/>
      <c r="U76" s="1"/>
      <c r="V76" s="1"/>
      <c r="W76" s="1"/>
      <c r="X76" s="1"/>
    </row>
    <row r="77" spans="1:24" ht="12.75" customHeight="1" x14ac:dyDescent="0.2">
      <c r="A77" s="1"/>
      <c r="B77" s="1"/>
      <c r="C77" s="1"/>
      <c r="D77" s="1"/>
      <c r="E77" s="1"/>
      <c r="F77" s="1"/>
      <c r="G77" s="1"/>
      <c r="H77" s="1"/>
      <c r="I77" s="1"/>
      <c r="J77" s="1"/>
      <c r="K77" s="1"/>
      <c r="L77" s="1"/>
      <c r="M77" s="1"/>
      <c r="N77" s="1"/>
      <c r="O77" s="1"/>
      <c r="P77" s="1"/>
      <c r="Q77" s="1"/>
      <c r="R77" s="1"/>
      <c r="S77" s="1"/>
      <c r="T77" s="1"/>
      <c r="U77" s="1"/>
      <c r="V77" s="1"/>
      <c r="W77" s="1"/>
      <c r="X77" s="1"/>
    </row>
    <row r="78" spans="1:24" ht="12.75" customHeight="1" x14ac:dyDescent="0.2">
      <c r="A78" s="1"/>
      <c r="B78" s="1"/>
      <c r="C78" s="1"/>
      <c r="D78" s="1"/>
      <c r="E78" s="1"/>
      <c r="F78" s="1"/>
      <c r="G78" s="1"/>
      <c r="H78" s="1"/>
      <c r="I78" s="1"/>
      <c r="J78" s="1"/>
      <c r="K78" s="1"/>
      <c r="L78" s="1"/>
      <c r="M78" s="1"/>
      <c r="N78" s="1"/>
      <c r="O78" s="1"/>
      <c r="P78" s="1"/>
      <c r="Q78" s="1"/>
      <c r="R78" s="1"/>
      <c r="S78" s="1"/>
      <c r="T78" s="1"/>
      <c r="U78" s="1"/>
      <c r="V78" s="1"/>
      <c r="W78" s="1"/>
      <c r="X78" s="1"/>
    </row>
    <row r="79" spans="1:24" ht="12.75" customHeight="1" x14ac:dyDescent="0.2">
      <c r="A79" s="1"/>
      <c r="B79" s="1"/>
      <c r="C79" s="1"/>
      <c r="D79" s="1"/>
      <c r="E79" s="1"/>
      <c r="F79" s="1"/>
      <c r="G79" s="1"/>
      <c r="H79" s="1"/>
      <c r="I79" s="1"/>
      <c r="J79" s="1"/>
      <c r="K79" s="1"/>
      <c r="L79" s="1"/>
      <c r="M79" s="1"/>
      <c r="N79" s="1"/>
      <c r="O79" s="1"/>
      <c r="P79" s="1"/>
      <c r="Q79" s="1"/>
      <c r="R79" s="1"/>
      <c r="S79" s="1"/>
      <c r="T79" s="1"/>
      <c r="U79" s="1"/>
      <c r="V79" s="1"/>
      <c r="W79" s="1"/>
      <c r="X79" s="1"/>
    </row>
    <row r="80" spans="1:24" ht="12.75" customHeight="1" x14ac:dyDescent="0.2">
      <c r="A80" s="1"/>
      <c r="B80" s="1"/>
      <c r="C80" s="1"/>
      <c r="D80" s="1"/>
      <c r="E80" s="1"/>
      <c r="F80" s="1"/>
      <c r="G80" s="1"/>
      <c r="H80" s="1"/>
      <c r="I80" s="1"/>
      <c r="J80" s="1"/>
      <c r="K80" s="1"/>
      <c r="L80" s="1"/>
      <c r="M80" s="1"/>
      <c r="N80" s="1"/>
      <c r="O80" s="1"/>
      <c r="P80" s="1"/>
      <c r="Q80" s="1"/>
      <c r="R80" s="1"/>
      <c r="S80" s="1"/>
      <c r="T80" s="1"/>
      <c r="U80" s="1"/>
      <c r="V80" s="1"/>
      <c r="W80" s="1"/>
      <c r="X80" s="1"/>
    </row>
    <row r="81" spans="1:24" ht="12.75" customHeight="1" x14ac:dyDescent="0.2">
      <c r="A81" s="1"/>
      <c r="B81" s="1"/>
      <c r="C81" s="1"/>
      <c r="D81" s="1"/>
      <c r="E81" s="1"/>
      <c r="F81" s="1"/>
      <c r="G81" s="1"/>
      <c r="H81" s="1"/>
      <c r="I81" s="1"/>
      <c r="J81" s="1"/>
      <c r="K81" s="1"/>
      <c r="L81" s="1"/>
      <c r="M81" s="1"/>
      <c r="N81" s="1"/>
      <c r="O81" s="1"/>
      <c r="P81" s="1"/>
      <c r="Q81" s="1"/>
      <c r="R81" s="1"/>
      <c r="S81" s="1"/>
      <c r="T81" s="1"/>
      <c r="U81" s="1"/>
      <c r="V81" s="1"/>
      <c r="W81" s="1"/>
      <c r="X81" s="1"/>
    </row>
    <row r="82" spans="1:24" ht="12.75" customHeight="1" x14ac:dyDescent="0.2">
      <c r="A82" s="1"/>
      <c r="B82" s="1"/>
      <c r="C82" s="1"/>
      <c r="D82" s="1"/>
      <c r="E82" s="1"/>
      <c r="F82" s="1"/>
      <c r="G82" s="1"/>
      <c r="H82" s="1"/>
      <c r="I82" s="1"/>
      <c r="J82" s="1"/>
      <c r="K82" s="1"/>
      <c r="L82" s="1"/>
      <c r="M82" s="1"/>
      <c r="N82" s="1"/>
      <c r="O82" s="1"/>
      <c r="P82" s="1"/>
      <c r="Q82" s="1"/>
      <c r="R82" s="1"/>
      <c r="S82" s="1"/>
      <c r="T82" s="1"/>
      <c r="U82" s="1"/>
      <c r="V82" s="1"/>
      <c r="W82" s="1"/>
      <c r="X82" s="1"/>
    </row>
    <row r="83" spans="1:24" ht="12.75" customHeight="1" x14ac:dyDescent="0.2">
      <c r="A83" s="1"/>
      <c r="B83" s="1"/>
      <c r="C83" s="1"/>
      <c r="D83" s="1"/>
      <c r="E83" s="1"/>
      <c r="F83" s="1"/>
      <c r="G83" s="1"/>
      <c r="H83" s="1"/>
      <c r="I83" s="1"/>
      <c r="J83" s="1"/>
      <c r="K83" s="1"/>
      <c r="L83" s="1"/>
      <c r="M83" s="1"/>
      <c r="N83" s="1"/>
      <c r="O83" s="1"/>
      <c r="P83" s="1"/>
      <c r="Q83" s="1"/>
      <c r="R83" s="1"/>
      <c r="S83" s="1"/>
      <c r="T83" s="1"/>
      <c r="U83" s="1"/>
      <c r="V83" s="1"/>
      <c r="W83" s="1"/>
      <c r="X83" s="1"/>
    </row>
    <row r="84" spans="1:24" ht="12.75" customHeight="1" x14ac:dyDescent="0.2">
      <c r="A84" s="1"/>
      <c r="B84" s="1"/>
      <c r="C84" s="1"/>
      <c r="D84" s="1"/>
      <c r="E84" s="1"/>
      <c r="F84" s="1"/>
      <c r="G84" s="1"/>
      <c r="H84" s="1"/>
      <c r="I84" s="1"/>
      <c r="J84" s="1"/>
      <c r="K84" s="1"/>
      <c r="L84" s="1"/>
      <c r="M84" s="1"/>
      <c r="N84" s="1"/>
      <c r="O84" s="1"/>
      <c r="P84" s="1"/>
      <c r="Q84" s="1"/>
      <c r="R84" s="1"/>
      <c r="S84" s="1"/>
      <c r="T84" s="1"/>
      <c r="U84" s="1"/>
      <c r="V84" s="1"/>
      <c r="W84" s="1"/>
      <c r="X84" s="1"/>
    </row>
    <row r="85" spans="1:24" ht="12.75" customHeight="1" x14ac:dyDescent="0.2">
      <c r="A85" s="1"/>
      <c r="B85" s="1"/>
      <c r="C85" s="1"/>
      <c r="D85" s="1"/>
      <c r="E85" s="1"/>
      <c r="F85" s="1"/>
      <c r="G85" s="1"/>
      <c r="H85" s="1"/>
      <c r="I85" s="1"/>
      <c r="J85" s="1"/>
      <c r="K85" s="1"/>
      <c r="L85" s="1"/>
      <c r="M85" s="1"/>
      <c r="N85" s="1"/>
      <c r="O85" s="1"/>
      <c r="P85" s="1"/>
      <c r="Q85" s="1"/>
      <c r="R85" s="1"/>
      <c r="S85" s="1"/>
      <c r="T85" s="1"/>
      <c r="U85" s="1"/>
      <c r="V85" s="1"/>
      <c r="W85" s="1"/>
      <c r="X85" s="1"/>
    </row>
    <row r="86" spans="1:24" ht="12.75" customHeight="1" x14ac:dyDescent="0.2">
      <c r="A86" s="1"/>
      <c r="B86" s="1"/>
      <c r="C86" s="1"/>
      <c r="D86" s="1"/>
      <c r="E86" s="1"/>
      <c r="F86" s="1"/>
      <c r="G86" s="1"/>
      <c r="H86" s="1"/>
      <c r="I86" s="1"/>
      <c r="J86" s="1"/>
      <c r="K86" s="1"/>
      <c r="L86" s="1"/>
      <c r="M86" s="1"/>
      <c r="N86" s="1"/>
      <c r="O86" s="1"/>
      <c r="P86" s="1"/>
      <c r="Q86" s="1"/>
      <c r="R86" s="1"/>
      <c r="S86" s="1"/>
      <c r="T86" s="1"/>
      <c r="U86" s="1"/>
      <c r="V86" s="1"/>
      <c r="W86" s="1"/>
      <c r="X86" s="1"/>
    </row>
    <row r="87" spans="1:24" ht="12.75" customHeight="1" x14ac:dyDescent="0.2">
      <c r="A87" s="1"/>
      <c r="B87" s="1"/>
      <c r="C87" s="1"/>
      <c r="D87" s="1"/>
      <c r="E87" s="1"/>
      <c r="F87" s="1"/>
      <c r="G87" s="1"/>
      <c r="H87" s="1"/>
      <c r="I87" s="1"/>
      <c r="J87" s="1"/>
      <c r="K87" s="1"/>
      <c r="L87" s="1"/>
      <c r="M87" s="1"/>
      <c r="N87" s="1"/>
      <c r="O87" s="1"/>
      <c r="P87" s="1"/>
      <c r="Q87" s="1"/>
      <c r="R87" s="1"/>
      <c r="S87" s="1"/>
      <c r="T87" s="1"/>
      <c r="U87" s="1"/>
      <c r="V87" s="1"/>
      <c r="W87" s="1"/>
      <c r="X87" s="1"/>
    </row>
    <row r="88" spans="1:24" ht="12.75" customHeight="1" x14ac:dyDescent="0.2">
      <c r="A88" s="1"/>
      <c r="B88" s="1"/>
      <c r="C88" s="1"/>
      <c r="D88" s="1"/>
      <c r="E88" s="1"/>
      <c r="F88" s="1"/>
      <c r="G88" s="1"/>
      <c r="H88" s="1"/>
      <c r="I88" s="1"/>
      <c r="J88" s="1"/>
      <c r="K88" s="1"/>
      <c r="L88" s="1"/>
      <c r="M88" s="1"/>
      <c r="N88" s="1"/>
      <c r="O88" s="1"/>
      <c r="P88" s="1"/>
      <c r="Q88" s="1"/>
      <c r="R88" s="1"/>
      <c r="S88" s="1"/>
      <c r="T88" s="1"/>
      <c r="U88" s="1"/>
      <c r="V88" s="1"/>
      <c r="W88" s="1"/>
      <c r="X88" s="1"/>
    </row>
    <row r="89" spans="1:24" ht="12.75" customHeight="1" x14ac:dyDescent="0.2">
      <c r="A89" s="1"/>
      <c r="B89" s="1"/>
      <c r="C89" s="1"/>
      <c r="D89" s="1"/>
      <c r="E89" s="1"/>
      <c r="F89" s="1"/>
      <c r="G89" s="1"/>
      <c r="H89" s="1"/>
      <c r="I89" s="1"/>
      <c r="J89" s="1"/>
      <c r="K89" s="1"/>
      <c r="L89" s="1"/>
      <c r="M89" s="1"/>
      <c r="N89" s="1"/>
      <c r="O89" s="1"/>
      <c r="P89" s="1"/>
      <c r="Q89" s="1"/>
      <c r="R89" s="1"/>
      <c r="S89" s="1"/>
      <c r="T89" s="1"/>
      <c r="U89" s="1"/>
      <c r="V89" s="1"/>
      <c r="W89" s="1"/>
      <c r="X89" s="1"/>
    </row>
    <row r="90" spans="1:24" ht="12.75" customHeight="1" x14ac:dyDescent="0.2">
      <c r="A90" s="1"/>
      <c r="B90" s="1"/>
      <c r="C90" s="1"/>
      <c r="D90" s="1"/>
      <c r="E90" s="1"/>
      <c r="F90" s="1"/>
      <c r="G90" s="1"/>
      <c r="H90" s="1"/>
      <c r="I90" s="1"/>
      <c r="J90" s="1"/>
      <c r="K90" s="1"/>
      <c r="L90" s="1"/>
      <c r="M90" s="1"/>
      <c r="N90" s="1"/>
      <c r="O90" s="1"/>
      <c r="P90" s="1"/>
      <c r="Q90" s="1"/>
      <c r="R90" s="1"/>
      <c r="S90" s="1"/>
      <c r="T90" s="1"/>
      <c r="U90" s="1"/>
      <c r="V90" s="1"/>
      <c r="W90" s="1"/>
      <c r="X90" s="1"/>
    </row>
    <row r="91" spans="1:24" ht="12.75" customHeight="1" x14ac:dyDescent="0.2">
      <c r="A91" s="1"/>
      <c r="B91" s="1"/>
      <c r="C91" s="1"/>
      <c r="D91" s="1"/>
      <c r="E91" s="1"/>
      <c r="F91" s="1"/>
      <c r="G91" s="1"/>
      <c r="H91" s="1"/>
      <c r="I91" s="1"/>
      <c r="J91" s="1"/>
      <c r="K91" s="1"/>
      <c r="L91" s="1"/>
      <c r="M91" s="1"/>
      <c r="N91" s="1"/>
      <c r="O91" s="1"/>
      <c r="P91" s="1"/>
      <c r="Q91" s="1"/>
      <c r="R91" s="1"/>
      <c r="S91" s="1"/>
      <c r="T91" s="1"/>
      <c r="U91" s="1"/>
      <c r="V91" s="1"/>
      <c r="W91" s="1"/>
      <c r="X91" s="1"/>
    </row>
    <row r="92" spans="1:24" ht="12.75" customHeight="1" x14ac:dyDescent="0.2">
      <c r="A92" s="1"/>
      <c r="B92" s="1"/>
      <c r="C92" s="1"/>
      <c r="D92" s="1"/>
      <c r="E92" s="1"/>
      <c r="F92" s="1"/>
      <c r="G92" s="1"/>
      <c r="H92" s="1"/>
      <c r="I92" s="1"/>
      <c r="J92" s="1"/>
      <c r="K92" s="1"/>
      <c r="L92" s="1"/>
      <c r="M92" s="1"/>
      <c r="N92" s="1"/>
      <c r="O92" s="1"/>
      <c r="P92" s="1"/>
      <c r="Q92" s="1"/>
      <c r="R92" s="1"/>
      <c r="S92" s="1"/>
      <c r="T92" s="1"/>
      <c r="U92" s="1"/>
      <c r="V92" s="1"/>
      <c r="W92" s="1"/>
      <c r="X92" s="1"/>
    </row>
    <row r="93" spans="1:24" ht="12.75" customHeight="1" x14ac:dyDescent="0.2">
      <c r="A93" s="1"/>
      <c r="B93" s="1"/>
      <c r="C93" s="1"/>
      <c r="D93" s="1"/>
      <c r="E93" s="1"/>
      <c r="F93" s="1"/>
      <c r="G93" s="1"/>
      <c r="H93" s="1"/>
      <c r="I93" s="1"/>
      <c r="J93" s="1"/>
      <c r="K93" s="1"/>
      <c r="L93" s="1"/>
      <c r="M93" s="1"/>
      <c r="N93" s="1"/>
      <c r="O93" s="1"/>
      <c r="P93" s="1"/>
      <c r="Q93" s="1"/>
      <c r="R93" s="1"/>
      <c r="S93" s="1"/>
      <c r="T93" s="1"/>
      <c r="U93" s="1"/>
      <c r="V93" s="1"/>
      <c r="W93" s="1"/>
      <c r="X93" s="1"/>
    </row>
    <row r="94" spans="1:24" ht="12.75" customHeight="1" x14ac:dyDescent="0.2">
      <c r="A94" s="1"/>
      <c r="B94" s="1"/>
      <c r="C94" s="1"/>
      <c r="D94" s="1"/>
      <c r="E94" s="1"/>
      <c r="F94" s="1"/>
      <c r="G94" s="1"/>
      <c r="H94" s="1"/>
      <c r="I94" s="1"/>
      <c r="J94" s="1"/>
      <c r="K94" s="1"/>
      <c r="L94" s="1"/>
      <c r="M94" s="1"/>
      <c r="N94" s="1"/>
      <c r="O94" s="1"/>
      <c r="P94" s="1"/>
      <c r="Q94" s="1"/>
      <c r="R94" s="1"/>
      <c r="S94" s="1"/>
      <c r="T94" s="1"/>
      <c r="U94" s="1"/>
      <c r="V94" s="1"/>
      <c r="W94" s="1"/>
      <c r="X94" s="1"/>
    </row>
    <row r="95" spans="1:24" ht="12.75" customHeight="1" x14ac:dyDescent="0.2">
      <c r="A95" s="1"/>
      <c r="B95" s="1"/>
      <c r="C95" s="1"/>
      <c r="D95" s="1"/>
      <c r="E95" s="1"/>
      <c r="F95" s="1"/>
      <c r="G95" s="1"/>
      <c r="H95" s="1"/>
      <c r="I95" s="1"/>
      <c r="J95" s="1"/>
      <c r="K95" s="1"/>
      <c r="L95" s="1"/>
      <c r="M95" s="1"/>
      <c r="N95" s="1"/>
      <c r="O95" s="1"/>
      <c r="P95" s="1"/>
      <c r="Q95" s="1"/>
      <c r="R95" s="1"/>
      <c r="S95" s="1"/>
      <c r="T95" s="1"/>
      <c r="U95" s="1"/>
      <c r="V95" s="1"/>
      <c r="W95" s="1"/>
      <c r="X95" s="1"/>
    </row>
    <row r="96" spans="1:24" ht="12.75" customHeight="1" x14ac:dyDescent="0.2">
      <c r="A96" s="1"/>
      <c r="B96" s="1"/>
      <c r="C96" s="1"/>
      <c r="D96" s="1"/>
      <c r="E96" s="1"/>
      <c r="F96" s="1"/>
      <c r="G96" s="1"/>
      <c r="H96" s="1"/>
      <c r="I96" s="1"/>
      <c r="J96" s="1"/>
      <c r="K96" s="1"/>
      <c r="L96" s="1"/>
      <c r="M96" s="1"/>
      <c r="N96" s="1"/>
      <c r="O96" s="1"/>
      <c r="P96" s="1"/>
      <c r="Q96" s="1"/>
      <c r="R96" s="1"/>
      <c r="S96" s="1"/>
      <c r="T96" s="1"/>
      <c r="U96" s="1"/>
      <c r="V96" s="1"/>
      <c r="W96" s="1"/>
      <c r="X96" s="1"/>
    </row>
    <row r="97" spans="1:24" ht="12.75" customHeight="1" x14ac:dyDescent="0.2">
      <c r="A97" s="1"/>
      <c r="B97" s="1"/>
      <c r="C97" s="1"/>
      <c r="D97" s="1"/>
      <c r="E97" s="1"/>
      <c r="F97" s="1"/>
      <c r="G97" s="1"/>
      <c r="H97" s="1"/>
      <c r="I97" s="1"/>
      <c r="J97" s="1"/>
      <c r="K97" s="1"/>
      <c r="L97" s="1"/>
      <c r="M97" s="1"/>
      <c r="N97" s="1"/>
      <c r="O97" s="1"/>
      <c r="P97" s="1"/>
      <c r="Q97" s="1"/>
      <c r="R97" s="1"/>
      <c r="S97" s="1"/>
      <c r="T97" s="1"/>
      <c r="U97" s="1"/>
      <c r="V97" s="1"/>
      <c r="W97" s="1"/>
      <c r="X97" s="1"/>
    </row>
    <row r="98" spans="1:24" ht="12.75" customHeight="1" x14ac:dyDescent="0.2">
      <c r="A98" s="1"/>
      <c r="B98" s="1"/>
      <c r="C98" s="1"/>
      <c r="D98" s="1"/>
      <c r="E98" s="1"/>
      <c r="F98" s="1"/>
      <c r="G98" s="1"/>
      <c r="H98" s="1"/>
      <c r="I98" s="1"/>
      <c r="J98" s="1"/>
      <c r="K98" s="1"/>
      <c r="L98" s="1"/>
      <c r="M98" s="1"/>
      <c r="N98" s="1"/>
      <c r="O98" s="1"/>
      <c r="P98" s="1"/>
      <c r="Q98" s="1"/>
      <c r="R98" s="1"/>
      <c r="S98" s="1"/>
      <c r="T98" s="1"/>
      <c r="U98" s="1"/>
      <c r="V98" s="1"/>
      <c r="W98" s="1"/>
      <c r="X98" s="1"/>
    </row>
    <row r="99" spans="1:24" ht="12.75" customHeight="1" x14ac:dyDescent="0.2">
      <c r="A99" s="1"/>
      <c r="B99" s="1"/>
      <c r="C99" s="1"/>
      <c r="D99" s="1"/>
      <c r="E99" s="1"/>
      <c r="F99" s="1"/>
      <c r="G99" s="1"/>
      <c r="H99" s="1"/>
      <c r="I99" s="1"/>
      <c r="J99" s="1"/>
      <c r="K99" s="1"/>
      <c r="L99" s="1"/>
      <c r="M99" s="1"/>
      <c r="N99" s="1"/>
      <c r="O99" s="1"/>
      <c r="P99" s="1"/>
      <c r="Q99" s="1"/>
      <c r="R99" s="1"/>
      <c r="S99" s="1"/>
      <c r="T99" s="1"/>
      <c r="U99" s="1"/>
      <c r="V99" s="1"/>
      <c r="W99" s="1"/>
      <c r="X99" s="1"/>
    </row>
    <row r="100" spans="1:24"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row>
    <row r="101" spans="1:24"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row>
    <row r="102" spans="1:24"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row>
    <row r="103" spans="1:24"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row>
    <row r="104" spans="1:24"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row>
    <row r="105" spans="1:24"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row>
    <row r="106" spans="1:24"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row>
    <row r="107" spans="1:24"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row>
    <row r="108" spans="1:24"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row>
    <row r="109" spans="1:24"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row>
    <row r="110" spans="1:24"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row>
    <row r="111" spans="1:24"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row>
    <row r="112" spans="1:24"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row>
    <row r="113" spans="1:24"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row>
    <row r="114" spans="1:24"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row>
    <row r="115" spans="1:24"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row>
    <row r="116" spans="1:24"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row>
    <row r="117" spans="1:24"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row>
    <row r="118" spans="1:24"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row>
    <row r="119" spans="1:24"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row>
    <row r="120" spans="1:24"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row>
    <row r="121" spans="1:24"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row>
    <row r="122" spans="1:24"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row>
    <row r="123" spans="1:24"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row>
    <row r="124" spans="1:24"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row>
    <row r="125" spans="1:24"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row>
    <row r="126" spans="1:24"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row>
    <row r="127" spans="1:24"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row>
    <row r="128" spans="1:24"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row>
    <row r="129" spans="1:24"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row>
    <row r="130" spans="1:24"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row>
    <row r="131" spans="1:24"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row>
    <row r="132" spans="1:24"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row>
    <row r="133" spans="1:24"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row>
    <row r="134" spans="1:24"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row>
    <row r="135" spans="1:24"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row>
    <row r="136" spans="1:24"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row>
    <row r="137" spans="1:24"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row>
    <row r="138" spans="1:24"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row>
    <row r="139" spans="1:24"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row>
    <row r="140" spans="1:24"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row>
    <row r="141" spans="1:24"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row>
    <row r="142" spans="1:24"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row>
    <row r="143" spans="1:24"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row>
    <row r="144" spans="1:24"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row>
    <row r="145" spans="1:24"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row>
    <row r="146" spans="1:24"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row>
    <row r="147" spans="1:24"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row>
    <row r="148" spans="1:24"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row>
    <row r="149" spans="1:24"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row>
    <row r="222" spans="1:24"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row>
    <row r="223" spans="1:24"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row>
    <row r="224" spans="1:24"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row>
    <row r="225" spans="1:24"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row>
    <row r="226" spans="1:24"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row>
    <row r="227" spans="1:24"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row>
    <row r="228" spans="1:24"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row>
    <row r="229" spans="1:24"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row>
    <row r="230" spans="1:24"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row>
    <row r="231" spans="1:24"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row>
    <row r="232" spans="1:24"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row>
    <row r="233" spans="1:24"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row>
    <row r="234" spans="1:24"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row>
    <row r="235" spans="1:24"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row>
    <row r="236" spans="1:24"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row>
    <row r="237" spans="1:24"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row>
    <row r="238" spans="1:24"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row>
    <row r="239" spans="1:24"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row>
    <row r="240" spans="1:24"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row>
    <row r="241" spans="1:24"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row>
    <row r="242" spans="1:24"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row>
    <row r="243" spans="1:24"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row>
    <row r="244" spans="1:24"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row>
    <row r="245" spans="1:24"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row>
    <row r="246" spans="1:24"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row>
    <row r="247" spans="1:24"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row>
    <row r="248" spans="1:24"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row>
    <row r="249" spans="1:24"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row>
    <row r="250" spans="1:24"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row>
    <row r="251" spans="1:24"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row>
    <row r="252" spans="1:24"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row>
    <row r="253" spans="1:24"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row>
    <row r="254" spans="1:24"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row>
    <row r="255" spans="1:24"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row>
    <row r="256" spans="1:24"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row>
    <row r="257" spans="1:24"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row>
    <row r="258" spans="1:24"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row>
    <row r="259" spans="1:24"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row>
    <row r="260" spans="1:24"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row>
    <row r="261" spans="1:24"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row>
    <row r="262" spans="1:24"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row>
    <row r="263" spans="1:24"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row>
    <row r="264" spans="1:24"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row>
    <row r="265" spans="1:24"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row>
    <row r="266" spans="1:24"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row>
    <row r="267" spans="1:24"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row>
    <row r="268" spans="1:24"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row>
    <row r="269" spans="1:24"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row>
    <row r="270" spans="1:24"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row>
    <row r="271" spans="1:24"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row>
    <row r="272" spans="1:24"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row>
    <row r="273" spans="1:24"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row>
    <row r="274" spans="1:24"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row>
    <row r="275" spans="1:24"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row>
    <row r="276" spans="1:24"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row>
    <row r="277" spans="1:24"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row>
    <row r="278" spans="1:24"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row>
    <row r="279" spans="1:24"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row>
    <row r="280" spans="1:24"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row>
    <row r="281" spans="1:24"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row>
    <row r="282" spans="1:24"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row>
    <row r="283" spans="1:24"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row>
    <row r="284" spans="1:24"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row>
    <row r="285" spans="1:24"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row>
    <row r="286" spans="1:24"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row>
    <row r="287" spans="1:24"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row>
    <row r="288" spans="1:24"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row>
    <row r="289" spans="1:24"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row>
    <row r="290" spans="1:24"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row>
    <row r="291" spans="1:24"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row>
    <row r="292" spans="1:24"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row>
    <row r="293" spans="1:24"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row>
    <row r="294" spans="1:24"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row>
    <row r="295" spans="1:24"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row>
    <row r="296" spans="1:24"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row>
    <row r="297" spans="1:24"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row>
    <row r="298" spans="1:24"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row>
    <row r="299" spans="1:24"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row>
    <row r="300" spans="1:24"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row>
    <row r="301" spans="1:24"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row>
    <row r="302" spans="1:24"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row>
    <row r="303" spans="1:24"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row>
    <row r="304" spans="1:24"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row>
    <row r="305" spans="1:24"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row>
    <row r="306" spans="1:24"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row>
    <row r="307" spans="1:24"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row>
    <row r="308" spans="1:24"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row>
    <row r="309" spans="1:24"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row>
    <row r="310" spans="1:24"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row>
    <row r="311" spans="1:24"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row>
    <row r="312" spans="1:24"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row>
    <row r="313" spans="1:24"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row>
    <row r="314" spans="1:24"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row>
    <row r="315" spans="1:24"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row>
    <row r="316" spans="1:24"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row>
    <row r="317" spans="1:24"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row>
    <row r="318" spans="1:24"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row>
    <row r="319" spans="1:24"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row>
    <row r="320" spans="1:24"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row>
    <row r="321" spans="1:24"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row>
    <row r="322" spans="1:24"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row>
    <row r="323" spans="1:24"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row>
    <row r="324" spans="1:24"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row>
    <row r="325" spans="1:24"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row>
    <row r="326" spans="1:24"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row>
    <row r="327" spans="1:24"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row>
    <row r="328" spans="1:24"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row>
    <row r="329" spans="1:24"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row>
    <row r="330" spans="1:24"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row>
    <row r="331" spans="1:24"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row>
    <row r="332" spans="1:24"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row>
    <row r="333" spans="1:24"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row>
    <row r="334" spans="1:24"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row>
    <row r="335" spans="1:24"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row>
    <row r="336" spans="1:24"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row>
    <row r="337" spans="1:24"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row>
    <row r="338" spans="1:24"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row>
    <row r="339" spans="1:24"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row>
    <row r="340" spans="1:24"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row>
    <row r="341" spans="1:24"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row>
    <row r="342" spans="1:24"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row>
    <row r="343" spans="1:24"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row>
    <row r="344" spans="1:24"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row>
    <row r="345" spans="1:24"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row>
    <row r="346" spans="1:24"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row>
    <row r="347" spans="1:24"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row>
    <row r="348" spans="1:24"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row>
    <row r="349" spans="1:24"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row>
    <row r="350" spans="1:24"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row>
    <row r="351" spans="1:24"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row>
    <row r="352" spans="1:24"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row>
    <row r="353" spans="1:24"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row>
    <row r="354" spans="1:24"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row>
    <row r="355" spans="1:24"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row>
    <row r="356" spans="1:24"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row>
    <row r="357" spans="1:24"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row>
    <row r="358" spans="1:24"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row>
    <row r="359" spans="1:24"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row>
    <row r="360" spans="1:24"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row>
    <row r="361" spans="1:24"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row>
    <row r="362" spans="1:24"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row>
    <row r="363" spans="1:24"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row>
    <row r="364" spans="1:24"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row>
    <row r="365" spans="1:24"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row>
    <row r="366" spans="1:24"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row>
    <row r="367" spans="1:24"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row>
    <row r="368" spans="1:24"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row>
    <row r="369" spans="1:24"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row>
    <row r="370" spans="1:24"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row>
    <row r="371" spans="1:24"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row>
    <row r="372" spans="1:24"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row>
    <row r="373" spans="1:24"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row>
    <row r="374" spans="1:24"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row>
    <row r="375" spans="1:24"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row>
    <row r="376" spans="1:24"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row>
    <row r="377" spans="1:24"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row>
    <row r="378" spans="1:24"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row>
    <row r="379" spans="1:24"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row>
    <row r="380" spans="1:24"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row>
    <row r="381" spans="1:24"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row>
    <row r="382" spans="1:24"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row>
    <row r="383" spans="1:24"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row>
    <row r="384" spans="1:24"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row>
    <row r="385" spans="1:24"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row>
    <row r="386" spans="1:24"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row>
    <row r="387" spans="1:24"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row>
    <row r="388" spans="1:24"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row>
    <row r="389" spans="1:24"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row>
    <row r="390" spans="1:24"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row>
    <row r="391" spans="1:24"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row>
    <row r="392" spans="1:24"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row>
    <row r="393" spans="1:24"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row>
    <row r="394" spans="1:24"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row>
    <row r="395" spans="1:24"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row>
    <row r="396" spans="1:24"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row>
    <row r="397" spans="1:24"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row>
    <row r="398" spans="1:24"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row>
    <row r="399" spans="1:24"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row>
    <row r="400" spans="1:24"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row>
    <row r="401" spans="1:24"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row>
    <row r="402" spans="1:24"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row>
    <row r="403" spans="1:24"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row>
    <row r="404" spans="1:24"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row>
    <row r="405" spans="1:24"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row>
    <row r="406" spans="1:24"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row>
    <row r="407" spans="1:24"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row>
    <row r="408" spans="1:24"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row>
    <row r="409" spans="1:24"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row>
    <row r="410" spans="1:24"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row>
    <row r="411" spans="1:24"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row>
    <row r="412" spans="1:24"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row>
    <row r="413" spans="1:24"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row>
    <row r="414" spans="1:24"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row>
    <row r="415" spans="1:24"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row>
    <row r="416" spans="1:24"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row>
    <row r="417" spans="1:24"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row>
    <row r="418" spans="1:24"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row>
    <row r="419" spans="1:24"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row>
    <row r="420" spans="1:24"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row>
    <row r="421" spans="1:24"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row>
    <row r="422" spans="1:24"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row>
    <row r="423" spans="1:24"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row>
    <row r="424" spans="1:24"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row>
    <row r="425" spans="1:24"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row>
    <row r="426" spans="1:24"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row>
    <row r="427" spans="1:24"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row>
    <row r="428" spans="1:24"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row>
    <row r="429" spans="1:24"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row>
    <row r="430" spans="1:24"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row>
    <row r="431" spans="1:24"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row>
    <row r="432" spans="1:24"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row>
    <row r="433" spans="1:24"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row>
    <row r="434" spans="1:24"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row>
    <row r="435" spans="1:24"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row>
    <row r="436" spans="1:24"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row>
    <row r="437" spans="1:24"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row>
    <row r="438" spans="1:24"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row>
    <row r="439" spans="1:24"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row>
    <row r="440" spans="1:24"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row>
    <row r="441" spans="1:24"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row>
    <row r="442" spans="1:24"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row>
    <row r="443" spans="1:24"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row>
    <row r="444" spans="1:24"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row>
    <row r="445" spans="1:24"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row>
    <row r="446" spans="1:24"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row>
    <row r="447" spans="1:24"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row>
    <row r="448" spans="1:24"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row>
    <row r="449" spans="1:24"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row>
    <row r="450" spans="1:24"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row>
    <row r="451" spans="1:24"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row>
    <row r="452" spans="1:24"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row>
    <row r="453" spans="1:24"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row>
    <row r="454" spans="1:24"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row>
    <row r="455" spans="1:24"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row>
    <row r="456" spans="1:24"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row>
    <row r="457" spans="1:24"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row>
    <row r="458" spans="1:24"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row>
    <row r="459" spans="1:24"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row>
    <row r="460" spans="1:24"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row>
    <row r="461" spans="1:24"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row>
    <row r="462" spans="1:24"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row>
    <row r="463" spans="1:24"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row>
    <row r="464" spans="1:24"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row>
    <row r="465" spans="1:24"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row>
    <row r="466" spans="1:24"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row>
    <row r="467" spans="1:24"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row>
    <row r="468" spans="1:24"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row>
    <row r="469" spans="1:24"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row>
    <row r="470" spans="1:24"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row>
    <row r="471" spans="1:24"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row>
    <row r="472" spans="1:24"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row>
    <row r="473" spans="1:24"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row>
    <row r="474" spans="1:24"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row>
    <row r="475" spans="1:24"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row>
    <row r="476" spans="1:24"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row>
    <row r="477" spans="1:24"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row>
    <row r="478" spans="1:24"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row>
    <row r="479" spans="1:24"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row>
    <row r="480" spans="1:24"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row>
    <row r="481" spans="1:24"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row>
    <row r="482" spans="1:24"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row>
    <row r="483" spans="1:24"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row>
    <row r="484" spans="1:24"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row>
    <row r="485" spans="1:24"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row>
    <row r="486" spans="1:24"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row>
    <row r="487" spans="1:24"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row>
    <row r="488" spans="1:24"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row>
    <row r="489" spans="1:24"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row>
    <row r="490" spans="1:24"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row>
    <row r="491" spans="1:24"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row>
    <row r="492" spans="1:24"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row>
    <row r="493" spans="1:24"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row>
    <row r="494" spans="1:24"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row>
    <row r="495" spans="1:24"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row>
    <row r="496" spans="1:24"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row>
    <row r="497" spans="1:24"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row>
    <row r="498" spans="1:24"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row>
    <row r="499" spans="1:24"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row>
    <row r="500" spans="1:24"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row>
    <row r="501" spans="1:24"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row>
    <row r="502" spans="1:24"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row>
    <row r="503" spans="1:24"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row>
    <row r="504" spans="1:24"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row>
    <row r="505" spans="1:24"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row>
    <row r="506" spans="1:24"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row>
    <row r="507" spans="1:24"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row>
    <row r="508" spans="1:24"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row>
    <row r="509" spans="1:24"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row>
    <row r="510" spans="1:24"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row>
    <row r="511" spans="1:24"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row>
    <row r="512" spans="1:24"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row>
    <row r="513" spans="1:24"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row>
    <row r="514" spans="1:24"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row>
    <row r="515" spans="1:24"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row>
    <row r="516" spans="1:24"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row>
    <row r="517" spans="1:24"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row>
    <row r="518" spans="1:24"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row>
    <row r="519" spans="1:24"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row>
    <row r="520" spans="1:24"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row>
    <row r="521" spans="1:24"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row>
    <row r="522" spans="1:24"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row>
    <row r="523" spans="1:24"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row>
    <row r="524" spans="1:24"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row>
    <row r="525" spans="1:24"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row>
    <row r="526" spans="1:24"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row>
    <row r="527" spans="1:24"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row>
    <row r="528" spans="1:24"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row>
    <row r="529" spans="1:24"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row>
    <row r="530" spans="1:24"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row>
    <row r="531" spans="1:24"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row>
    <row r="532" spans="1:24"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row>
    <row r="533" spans="1:24"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row>
    <row r="534" spans="1:24"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row>
    <row r="535" spans="1:24"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row>
    <row r="536" spans="1:24"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row>
    <row r="537" spans="1:24"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row>
    <row r="538" spans="1:24"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row>
    <row r="539" spans="1:24"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row>
    <row r="540" spans="1:24"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row>
    <row r="541" spans="1:24"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row>
    <row r="542" spans="1:24"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row>
    <row r="543" spans="1:24"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row>
    <row r="544" spans="1:24"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row>
    <row r="545" spans="1:24"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row>
    <row r="546" spans="1:24"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row>
    <row r="547" spans="1:24"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row>
    <row r="548" spans="1:24"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row>
    <row r="549" spans="1:24"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row>
    <row r="550" spans="1:24"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row>
    <row r="551" spans="1:24"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row>
    <row r="552" spans="1:24"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row>
    <row r="553" spans="1:24"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row>
    <row r="554" spans="1:24"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row>
    <row r="555" spans="1:24"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row>
    <row r="556" spans="1:24"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row>
    <row r="557" spans="1:24"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row>
    <row r="558" spans="1:24"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row>
    <row r="559" spans="1:24"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row>
    <row r="560" spans="1:24"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row>
    <row r="561" spans="1:24"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row>
    <row r="562" spans="1:24"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row>
    <row r="563" spans="1:24"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row>
    <row r="564" spans="1:24"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row>
    <row r="565" spans="1:24"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row>
    <row r="566" spans="1:24"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row>
    <row r="567" spans="1:24"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row>
    <row r="568" spans="1:24"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row>
    <row r="569" spans="1:24"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row>
    <row r="570" spans="1:24"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row>
    <row r="571" spans="1:24"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row>
    <row r="572" spans="1:24"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row>
    <row r="573" spans="1:24"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row>
    <row r="574" spans="1:24"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row>
    <row r="575" spans="1:24"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row>
    <row r="576" spans="1:24"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row>
    <row r="577" spans="1:24"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row>
    <row r="578" spans="1:24"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row>
    <row r="579" spans="1:24"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row>
    <row r="580" spans="1:24"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row>
    <row r="581" spans="1:24"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row>
    <row r="582" spans="1:24"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row>
    <row r="583" spans="1:24"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row>
    <row r="584" spans="1:24"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row>
    <row r="585" spans="1:24"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row>
    <row r="586" spans="1:24"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row>
    <row r="587" spans="1:24"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row>
    <row r="588" spans="1:24"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row>
    <row r="589" spans="1:24"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row>
    <row r="590" spans="1:24"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row>
    <row r="591" spans="1:24"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row>
    <row r="592" spans="1:24"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row>
    <row r="593" spans="1:24"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row>
    <row r="594" spans="1:24"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row>
    <row r="595" spans="1:24"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row>
    <row r="596" spans="1:24"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row>
    <row r="597" spans="1:24"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row>
    <row r="598" spans="1:24"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row>
    <row r="599" spans="1:24"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row>
    <row r="600" spans="1:24"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row>
    <row r="601" spans="1:24"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row>
    <row r="602" spans="1:24"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row>
    <row r="603" spans="1:24"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row>
    <row r="604" spans="1:24"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row>
    <row r="605" spans="1:24"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row>
    <row r="606" spans="1:24"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row>
    <row r="607" spans="1:24"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row>
    <row r="608" spans="1:24"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row>
    <row r="609" spans="1:24"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row>
    <row r="610" spans="1:24"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row>
    <row r="611" spans="1:24"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row>
    <row r="612" spans="1:24"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row>
    <row r="613" spans="1:24"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row>
    <row r="614" spans="1:24"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row>
    <row r="615" spans="1:24"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row>
    <row r="616" spans="1:24"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row>
    <row r="617" spans="1:24"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row>
    <row r="618" spans="1:24"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row>
    <row r="619" spans="1:24"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row>
    <row r="620" spans="1:24"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row>
    <row r="621" spans="1:24"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row>
    <row r="622" spans="1:24"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row>
    <row r="623" spans="1:24"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row>
    <row r="624" spans="1:24"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row>
    <row r="625" spans="1:24"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row>
    <row r="626" spans="1:24"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row>
    <row r="627" spans="1:24"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row>
    <row r="628" spans="1:24"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row>
    <row r="629" spans="1:24"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row>
    <row r="630" spans="1:24"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row>
    <row r="631" spans="1:24"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row>
    <row r="632" spans="1:24"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row>
    <row r="633" spans="1:24"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row>
    <row r="634" spans="1:24"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row>
    <row r="635" spans="1:24"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row>
    <row r="636" spans="1:24"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row>
    <row r="637" spans="1:24"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row>
    <row r="638" spans="1:24"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row>
    <row r="639" spans="1:24"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row>
    <row r="640" spans="1:24"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row>
    <row r="641" spans="1:24"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row>
    <row r="642" spans="1:24"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row>
    <row r="643" spans="1:24"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row>
    <row r="644" spans="1:24"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row>
    <row r="645" spans="1:24"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row>
    <row r="646" spans="1:24"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row>
    <row r="647" spans="1:24"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row>
    <row r="648" spans="1:24"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row>
    <row r="649" spans="1:24"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row>
    <row r="650" spans="1:24"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row>
    <row r="651" spans="1:24"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row>
    <row r="652" spans="1:24"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row>
    <row r="653" spans="1:24"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row>
    <row r="654" spans="1:24"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row>
    <row r="655" spans="1:24"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row>
    <row r="656" spans="1:24"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row>
    <row r="657" spans="1:24"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row>
    <row r="658" spans="1:24"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row>
    <row r="659" spans="1:24"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row>
    <row r="660" spans="1:24"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row>
    <row r="661" spans="1:24"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row>
    <row r="662" spans="1:24"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row>
    <row r="663" spans="1:24"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row>
    <row r="664" spans="1:24"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row>
    <row r="665" spans="1:24"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row>
    <row r="666" spans="1:24"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row>
    <row r="667" spans="1:24"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row>
    <row r="668" spans="1:24"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row>
    <row r="669" spans="1:24"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row>
    <row r="670" spans="1:24"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row>
    <row r="671" spans="1:24"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row>
    <row r="672" spans="1:24"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row>
    <row r="673" spans="1:24"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row>
    <row r="674" spans="1:24"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row>
    <row r="675" spans="1:24"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row>
    <row r="676" spans="1:24"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row>
    <row r="677" spans="1:24"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row>
    <row r="678" spans="1:24"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row>
    <row r="679" spans="1:24"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row>
    <row r="680" spans="1:24"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row>
    <row r="681" spans="1:24"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row>
    <row r="682" spans="1:24"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row>
    <row r="683" spans="1:24"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row>
    <row r="684" spans="1:24"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row>
    <row r="685" spans="1:24"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row>
    <row r="686" spans="1:24"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row>
    <row r="687" spans="1:24"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row>
    <row r="688" spans="1:24"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row>
    <row r="689" spans="1:24"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row>
    <row r="690" spans="1:24"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row>
    <row r="691" spans="1:24"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row>
    <row r="692" spans="1:24"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row>
    <row r="693" spans="1:24"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row>
    <row r="694" spans="1:24"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row>
    <row r="695" spans="1:24"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row>
    <row r="696" spans="1:24"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row>
    <row r="697" spans="1:24"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row>
    <row r="698" spans="1:24"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row>
    <row r="699" spans="1:24"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row>
    <row r="700" spans="1:24"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row>
    <row r="701" spans="1:24"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row>
    <row r="702" spans="1:24"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row>
    <row r="703" spans="1:24"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row>
    <row r="704" spans="1:24"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row>
    <row r="705" spans="1:24"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row>
    <row r="706" spans="1:24"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row>
    <row r="707" spans="1:24"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row>
    <row r="708" spans="1:24"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row>
    <row r="709" spans="1:24"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row>
    <row r="710" spans="1:24"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row>
    <row r="711" spans="1:24"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row>
    <row r="712" spans="1:24"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row>
    <row r="713" spans="1:24"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row>
    <row r="714" spans="1:24"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row>
    <row r="715" spans="1:24"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row>
    <row r="716" spans="1:24"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row>
    <row r="717" spans="1:24"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row>
    <row r="718" spans="1:24"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row>
    <row r="719" spans="1:24"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row>
    <row r="720" spans="1:24"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row>
    <row r="721" spans="1:24"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row>
    <row r="722" spans="1:24"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row>
    <row r="723" spans="1:24"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row>
    <row r="724" spans="1:24"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row>
    <row r="725" spans="1:24"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row>
    <row r="726" spans="1:24"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row>
    <row r="727" spans="1:24"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row>
    <row r="728" spans="1:24"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row>
    <row r="729" spans="1:24"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row>
    <row r="730" spans="1:24"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row>
    <row r="731" spans="1:24"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row>
    <row r="732" spans="1:24"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row>
    <row r="733" spans="1:24"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row>
    <row r="734" spans="1:24"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row>
    <row r="735" spans="1:24"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row>
    <row r="736" spans="1:24"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row>
    <row r="737" spans="1:24"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row>
    <row r="738" spans="1:24"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row>
    <row r="739" spans="1:24"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row>
    <row r="740" spans="1:24"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row>
    <row r="741" spans="1:24"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row>
    <row r="742" spans="1:24"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row>
    <row r="743" spans="1:24"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row>
    <row r="744" spans="1:24"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row>
    <row r="745" spans="1:24"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row>
    <row r="746" spans="1:24"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row>
    <row r="747" spans="1:24"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row>
    <row r="748" spans="1:24"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row>
    <row r="749" spans="1:24"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row>
    <row r="750" spans="1:24"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row>
    <row r="751" spans="1:24"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row>
    <row r="752" spans="1:24"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row>
    <row r="753" spans="1:24"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row>
    <row r="754" spans="1:24"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row>
    <row r="755" spans="1:24"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row>
    <row r="756" spans="1:24"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row>
    <row r="757" spans="1:24"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row>
    <row r="758" spans="1:24"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row>
    <row r="759" spans="1:24"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row>
    <row r="760" spans="1:24"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row>
    <row r="761" spans="1:24"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row>
    <row r="762" spans="1:24"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row>
    <row r="763" spans="1:24"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row>
    <row r="764" spans="1:24"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row>
    <row r="765" spans="1:24"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row>
    <row r="766" spans="1:24"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row>
    <row r="767" spans="1:24"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row>
    <row r="768" spans="1:24"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row>
    <row r="769" spans="1:24"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row>
    <row r="770" spans="1:24"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row>
    <row r="771" spans="1:24"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row>
    <row r="772" spans="1:24"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row>
    <row r="773" spans="1:24"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row>
    <row r="774" spans="1:24"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row>
    <row r="775" spans="1:24"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row>
    <row r="776" spans="1:24"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row>
    <row r="777" spans="1:24"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row>
    <row r="778" spans="1:24"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row>
    <row r="779" spans="1:24"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row>
    <row r="780" spans="1:24"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row>
    <row r="781" spans="1:24"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row>
    <row r="782" spans="1:24"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row>
    <row r="783" spans="1:24"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row>
    <row r="784" spans="1:24"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row>
    <row r="785" spans="1:24"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row>
    <row r="786" spans="1:24"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row>
    <row r="787" spans="1:24"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row>
    <row r="788" spans="1:24"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row>
    <row r="789" spans="1:24"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row>
    <row r="790" spans="1:24"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row>
    <row r="791" spans="1:24"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row>
    <row r="792" spans="1:24"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row>
    <row r="793" spans="1:24"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row>
    <row r="794" spans="1:24"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row>
    <row r="795" spans="1:24"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row>
    <row r="796" spans="1:24"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row>
    <row r="797" spans="1:24"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row>
    <row r="798" spans="1:24"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row>
    <row r="799" spans="1:24"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row>
    <row r="800" spans="1:24"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row>
    <row r="801" spans="1:24"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row>
    <row r="802" spans="1:24"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row>
    <row r="803" spans="1:24"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row>
    <row r="804" spans="1:24"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row>
    <row r="805" spans="1:24"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row>
    <row r="806" spans="1:24"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row>
    <row r="807" spans="1:24"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row>
    <row r="808" spans="1:24"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row>
    <row r="809" spans="1:24"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row>
    <row r="810" spans="1:24"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row>
    <row r="811" spans="1:24"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row>
    <row r="812" spans="1:24"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row>
    <row r="813" spans="1:24"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row>
    <row r="814" spans="1:24"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row>
    <row r="815" spans="1:24"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row>
    <row r="816" spans="1:24"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row>
    <row r="817" spans="1:24"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row>
    <row r="818" spans="1:24"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row>
    <row r="819" spans="1:24"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row>
    <row r="820" spans="1:24"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row>
    <row r="821" spans="1:24"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row>
    <row r="822" spans="1:24"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row>
    <row r="823" spans="1:24"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row>
    <row r="824" spans="1:24"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row>
    <row r="825" spans="1:24"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row>
    <row r="826" spans="1:24"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row>
    <row r="827" spans="1:24"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row>
    <row r="828" spans="1:24"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row>
    <row r="829" spans="1:24"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row>
    <row r="830" spans="1:24"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row>
    <row r="831" spans="1:24"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row>
    <row r="832" spans="1:24"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row>
    <row r="833" spans="1:24"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row>
    <row r="834" spans="1:24"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row>
    <row r="835" spans="1:24"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row>
    <row r="836" spans="1:24"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row>
    <row r="837" spans="1:24"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row>
    <row r="838" spans="1:24"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row>
    <row r="839" spans="1:24"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row>
    <row r="840" spans="1:24"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row>
    <row r="841" spans="1:24"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row>
    <row r="842" spans="1:24"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row>
    <row r="843" spans="1:24"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row>
    <row r="844" spans="1:24"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row>
    <row r="845" spans="1:24"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row>
    <row r="846" spans="1:24"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row>
    <row r="847" spans="1:24"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row>
    <row r="848" spans="1:24"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row>
    <row r="849" spans="1:24"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row>
    <row r="850" spans="1:24"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row>
    <row r="851" spans="1:24"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row>
    <row r="852" spans="1:24"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row>
    <row r="853" spans="1:24"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row>
    <row r="854" spans="1:24"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row>
    <row r="855" spans="1:24"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row>
    <row r="856" spans="1:24"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row>
    <row r="857" spans="1:24"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row>
    <row r="858" spans="1:24"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row>
    <row r="859" spans="1:24"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row>
    <row r="860" spans="1:24"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row>
    <row r="861" spans="1:24"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row>
    <row r="862" spans="1:24"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row>
    <row r="863" spans="1:24"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row>
    <row r="864" spans="1:24"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row>
    <row r="865" spans="1:24"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row>
    <row r="866" spans="1:24"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row>
    <row r="867" spans="1:24"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row>
    <row r="868" spans="1:24"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row>
    <row r="869" spans="1:24"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row>
    <row r="870" spans="1:24"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row>
    <row r="871" spans="1:24"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row>
    <row r="872" spans="1:24"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row>
    <row r="873" spans="1:24"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row>
    <row r="874" spans="1:24"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row>
    <row r="875" spans="1:24"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row>
    <row r="876" spans="1:24"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row>
    <row r="877" spans="1:24"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row>
    <row r="878" spans="1:24"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row>
    <row r="879" spans="1:24"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row>
    <row r="880" spans="1:24"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row>
    <row r="881" spans="1:24"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row>
    <row r="882" spans="1:24"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row>
    <row r="883" spans="1:24"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row>
    <row r="884" spans="1:24"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row>
    <row r="885" spans="1:24"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row>
    <row r="886" spans="1:24"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row>
    <row r="887" spans="1:24"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row>
    <row r="888" spans="1:24"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row>
    <row r="889" spans="1:24"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row>
    <row r="890" spans="1:24"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row>
    <row r="891" spans="1:24"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row>
    <row r="892" spans="1:24"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row>
    <row r="893" spans="1:24"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row>
    <row r="894" spans="1:24"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row>
    <row r="895" spans="1:24"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row>
    <row r="896" spans="1:24"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row>
    <row r="897" spans="1:24"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row>
    <row r="898" spans="1:24"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row>
    <row r="899" spans="1:24"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row>
    <row r="900" spans="1:24"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row>
    <row r="901" spans="1:24"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row>
    <row r="902" spans="1:24"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row>
    <row r="903" spans="1:24"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row>
    <row r="904" spans="1:24"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row>
    <row r="905" spans="1:24"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row>
    <row r="906" spans="1:24"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row>
    <row r="907" spans="1:24"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row>
    <row r="908" spans="1:24"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row>
    <row r="909" spans="1:24"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row>
    <row r="910" spans="1:24"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row>
    <row r="911" spans="1:24"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row>
    <row r="912" spans="1:24"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row>
    <row r="913" spans="1:24"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row>
    <row r="914" spans="1:24"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row>
    <row r="915" spans="1:24"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row>
    <row r="916" spans="1:24"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row>
    <row r="917" spans="1:24"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row>
    <row r="918" spans="1:24"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row>
    <row r="919" spans="1:24"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row>
    <row r="920" spans="1:24"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row>
    <row r="921" spans="1:24"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row>
    <row r="922" spans="1:24"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row>
    <row r="923" spans="1:24"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row>
    <row r="924" spans="1:24"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row>
    <row r="925" spans="1:24"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row>
    <row r="926" spans="1:24"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row>
    <row r="927" spans="1:24"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row>
    <row r="928" spans="1:24"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row>
    <row r="929" spans="1:24"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row>
    <row r="930" spans="1:24"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row>
    <row r="931" spans="1:24"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row>
    <row r="932" spans="1:24"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row>
    <row r="933" spans="1:24"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row>
    <row r="934" spans="1:24"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row>
    <row r="935" spans="1:24"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row>
    <row r="936" spans="1:24"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row>
    <row r="937" spans="1:24"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row>
    <row r="938" spans="1:24"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row>
    <row r="939" spans="1:24"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row>
    <row r="940" spans="1:24"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row>
    <row r="941" spans="1:24"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row>
    <row r="942" spans="1:24"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row>
    <row r="943" spans="1:24"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row>
    <row r="944" spans="1:24"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row>
    <row r="945" spans="1:24"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row>
    <row r="946" spans="1:24"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row>
    <row r="947" spans="1:24"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row>
    <row r="948" spans="1:24"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row>
    <row r="949" spans="1:24"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row>
    <row r="950" spans="1:24"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row>
    <row r="951" spans="1:24"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row>
    <row r="952" spans="1:24"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row>
    <row r="953" spans="1:24"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row>
    <row r="954" spans="1:24"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row>
    <row r="955" spans="1:24"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row>
    <row r="956" spans="1:24"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row>
    <row r="957" spans="1:24"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row>
    <row r="958" spans="1:24"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row>
    <row r="959" spans="1:24"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row>
    <row r="960" spans="1:24"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row>
    <row r="961" spans="1:24"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row>
    <row r="962" spans="1:24"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row>
    <row r="963" spans="1:24"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row>
    <row r="964" spans="1:24"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row>
    <row r="965" spans="1:24"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row>
    <row r="966" spans="1:24"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row>
    <row r="967" spans="1:24"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row>
    <row r="968" spans="1:24"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row>
    <row r="969" spans="1:24"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row>
    <row r="970" spans="1:24"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row>
    <row r="971" spans="1:24"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row>
    <row r="972" spans="1:24"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row>
    <row r="973" spans="1:24"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row>
    <row r="974" spans="1:24"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row>
    <row r="975" spans="1:24"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row>
    <row r="976" spans="1:24"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row>
    <row r="977" spans="1:24"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row>
    <row r="978" spans="1:24"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row>
    <row r="979" spans="1:24"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row>
    <row r="980" spans="1:24"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row>
    <row r="981" spans="1:24"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row>
    <row r="982" spans="1:24"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row>
    <row r="983" spans="1:24"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row>
    <row r="984" spans="1:24"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row>
    <row r="985" spans="1:24"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row>
    <row r="986" spans="1:24"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row>
    <row r="987" spans="1:24"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row>
    <row r="988" spans="1:24"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row>
    <row r="989" spans="1:24"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row>
    <row r="990" spans="1:24"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row>
    <row r="991" spans="1:24"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row>
    <row r="992" spans="1:24"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row>
    <row r="993" spans="1:24"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row>
    <row r="994" spans="1:24"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row>
    <row r="995" spans="1:24"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row>
    <row r="996" spans="1:24"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row>
    <row r="997" spans="1:24"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row>
    <row r="998" spans="1:24"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row>
    <row r="999" spans="1:24"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row>
    <row r="1000" spans="1:24"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row>
    <row r="1001" spans="1:24" ht="12.75" customHeight="1"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row>
    <row r="1002" spans="1:24" ht="12.75" customHeight="1"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row>
    <row r="1003" spans="1:24" ht="12.75" customHeight="1" x14ac:dyDescent="0.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row>
  </sheetData>
  <mergeCells count="10">
    <mergeCell ref="G2:L2"/>
    <mergeCell ref="C2:D2"/>
    <mergeCell ref="E2:F2"/>
    <mergeCell ref="A1:L1"/>
    <mergeCell ref="A3:B3"/>
    <mergeCell ref="C3:D3"/>
    <mergeCell ref="E3:F3"/>
    <mergeCell ref="K3:L3"/>
    <mergeCell ref="I3:J3"/>
    <mergeCell ref="G3:H3"/>
  </mergeCells>
  <pageMargins left="0.75" right="0.75" top="1" bottom="1" header="0.3" footer="0.3"/>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2"/>
  <sheetViews>
    <sheetView workbookViewId="0">
      <pane xSplit="1" ySplit="4" topLeftCell="B5" activePane="bottomRight" state="frozen"/>
      <selection pane="topRight" activeCell="B1" sqref="B1"/>
      <selection pane="bottomLeft" activeCell="A5" sqref="A5"/>
      <selection pane="bottomRight" activeCell="L20" sqref="L20"/>
    </sheetView>
  </sheetViews>
  <sheetFormatPr defaultColWidth="17.28515625" defaultRowHeight="15" customHeight="1" x14ac:dyDescent="0.2"/>
  <cols>
    <col min="1" max="1" width="7.5703125" customWidth="1"/>
    <col min="2" max="2" width="8" customWidth="1"/>
    <col min="3" max="3" width="9.42578125" customWidth="1"/>
    <col min="4" max="4" width="9.28515625" customWidth="1"/>
    <col min="5" max="8" width="7.7109375" customWidth="1"/>
    <col min="9" max="9" width="9.42578125" customWidth="1"/>
    <col min="10" max="10" width="9.85546875" customWidth="1"/>
    <col min="11" max="11" width="7.28515625" customWidth="1"/>
    <col min="12" max="12" width="9.140625" customWidth="1"/>
    <col min="13" max="13" width="8" customWidth="1"/>
    <col min="14" max="14" width="9.140625" customWidth="1"/>
    <col min="15" max="15" width="9.28515625" customWidth="1"/>
    <col min="16" max="16" width="12.28515625" customWidth="1"/>
    <col min="17" max="26" width="11.42578125" customWidth="1"/>
  </cols>
  <sheetData>
    <row r="1" spans="1:26" ht="12.75" customHeight="1" x14ac:dyDescent="0.2">
      <c r="A1" s="188" t="s">
        <v>333</v>
      </c>
      <c r="B1" s="142"/>
      <c r="C1" s="142"/>
      <c r="D1" s="142"/>
      <c r="E1" s="142"/>
      <c r="F1" s="142"/>
      <c r="G1" s="142"/>
      <c r="H1" s="142"/>
      <c r="I1" s="142"/>
      <c r="J1" s="142"/>
      <c r="K1" s="142"/>
      <c r="L1" s="142"/>
      <c r="M1" s="142"/>
      <c r="N1" s="142"/>
      <c r="O1" s="142"/>
      <c r="P1" s="142"/>
      <c r="Q1" s="142"/>
      <c r="R1" s="1"/>
      <c r="S1" s="1"/>
      <c r="T1" s="1"/>
      <c r="U1" s="1"/>
      <c r="V1" s="1"/>
      <c r="W1" s="1"/>
      <c r="X1" s="1"/>
      <c r="Y1" s="1"/>
      <c r="Z1" s="1"/>
    </row>
    <row r="2" spans="1:26" ht="12" customHeight="1" x14ac:dyDescent="0.2">
      <c r="A2" s="154"/>
      <c r="B2" s="160"/>
      <c r="C2" s="134" t="s">
        <v>517</v>
      </c>
      <c r="D2" s="135"/>
      <c r="E2" s="157" t="s">
        <v>334</v>
      </c>
      <c r="F2" s="164"/>
      <c r="G2" s="170" t="s">
        <v>335</v>
      </c>
      <c r="H2" s="169"/>
      <c r="I2" s="186" t="s">
        <v>518</v>
      </c>
      <c r="J2" s="187"/>
      <c r="K2" s="19"/>
      <c r="L2" s="20"/>
      <c r="M2" s="19"/>
      <c r="N2" s="20"/>
      <c r="O2" s="19"/>
      <c r="P2" s="20"/>
      <c r="Q2" s="1"/>
      <c r="R2" s="1"/>
      <c r="S2" s="1"/>
      <c r="T2" s="1"/>
      <c r="U2" s="1"/>
      <c r="V2" s="1"/>
      <c r="W2" s="1"/>
      <c r="X2" s="1"/>
      <c r="Y2" s="1"/>
      <c r="Z2" s="1"/>
    </row>
    <row r="3" spans="1:26" ht="12" customHeight="1" x14ac:dyDescent="0.2">
      <c r="A3" s="155" t="s">
        <v>101</v>
      </c>
      <c r="B3" s="160"/>
      <c r="C3" s="152" t="s">
        <v>40</v>
      </c>
      <c r="D3" s="167"/>
      <c r="E3" s="148" t="s">
        <v>43</v>
      </c>
      <c r="F3" s="164"/>
      <c r="G3" s="189" t="s">
        <v>392</v>
      </c>
      <c r="H3" s="190"/>
      <c r="I3" s="191" t="s">
        <v>68</v>
      </c>
      <c r="J3" s="192"/>
      <c r="K3" s="147" t="s">
        <v>107</v>
      </c>
      <c r="L3" s="160"/>
      <c r="M3" s="147" t="s">
        <v>30</v>
      </c>
      <c r="N3" s="160"/>
      <c r="O3" s="147" t="s">
        <v>108</v>
      </c>
      <c r="P3" s="160"/>
      <c r="Q3" s="1"/>
      <c r="R3" s="1"/>
      <c r="S3" s="1"/>
      <c r="T3" s="1"/>
      <c r="U3" s="1"/>
      <c r="V3" s="1"/>
      <c r="W3" s="1"/>
      <c r="X3" s="1"/>
      <c r="Y3" s="1"/>
      <c r="Z3" s="1"/>
    </row>
    <row r="4" spans="1:26" ht="12" customHeight="1" x14ac:dyDescent="0.2">
      <c r="A4" s="12"/>
      <c r="B4" s="12">
        <f>+B6+B7+B14+B15+B22+B23+B29+B30+B37+B38</f>
        <v>7449</v>
      </c>
      <c r="C4" s="78">
        <f>SUM(C6,C14,C22,C29,C37,C38)</f>
        <v>927</v>
      </c>
      <c r="D4" s="79">
        <f>IF((M4=0),"",(C4/M4))</f>
        <v>0.24899274778404512</v>
      </c>
      <c r="E4" s="63">
        <f>SUM(E6,E14,E22,E29,E37,E38)</f>
        <v>1910</v>
      </c>
      <c r="F4" s="64">
        <f>IF((M4=0),"",(E4/M4))</f>
        <v>0.51302712865968303</v>
      </c>
      <c r="G4" s="100">
        <f>SUM(G6,G14,G22,G29,G37,G38)</f>
        <v>4</v>
      </c>
      <c r="H4" s="101">
        <f>IF((M4=0),"",(G4/M4))</f>
        <v>1.0744023636852001E-3</v>
      </c>
      <c r="I4" s="136">
        <f>SUM(I6,I14,I22,I29,I37,I38)</f>
        <v>787</v>
      </c>
      <c r="J4" s="137">
        <f>IF((M4=0),"",(I4/M4))</f>
        <v>0.21138866505506312</v>
      </c>
      <c r="K4" s="12">
        <f>SUM(K6,K14,K22,K29,K37,K38)</f>
        <v>95</v>
      </c>
      <c r="L4" s="13">
        <f>IF((M4=0),"",(K4/M4))</f>
        <v>2.5517056137523503E-2</v>
      </c>
      <c r="M4" s="12">
        <f>SUM(C4,E4,G4,I4,K4)</f>
        <v>3723</v>
      </c>
      <c r="N4" s="13">
        <f>IF((B4=0),"",(M4/B4))</f>
        <v>0.49979863068868302</v>
      </c>
      <c r="O4" s="12">
        <f>B4-M4</f>
        <v>3726</v>
      </c>
      <c r="P4" s="13">
        <f>IF((B4=0),"",(O4/B4))</f>
        <v>0.50020136931131698</v>
      </c>
      <c r="Q4" s="1"/>
      <c r="R4" s="1"/>
      <c r="S4" s="1"/>
      <c r="T4" s="1"/>
      <c r="U4" s="1"/>
      <c r="V4" s="1"/>
      <c r="W4" s="1"/>
      <c r="X4" s="1"/>
      <c r="Y4" s="1"/>
      <c r="Z4" s="1"/>
    </row>
    <row r="5" spans="1:26" ht="12" customHeight="1" x14ac:dyDescent="0.2">
      <c r="A5" s="14" t="s">
        <v>336</v>
      </c>
      <c r="B5" s="32" t="s">
        <v>530</v>
      </c>
      <c r="C5" s="86"/>
      <c r="D5" s="86"/>
      <c r="E5" s="90"/>
      <c r="F5" s="90"/>
      <c r="G5" s="102"/>
      <c r="H5" s="102"/>
      <c r="I5" s="138"/>
      <c r="J5" s="138"/>
      <c r="K5" s="16"/>
      <c r="L5" s="16"/>
      <c r="M5" s="16"/>
      <c r="N5" s="16"/>
      <c r="O5" s="16"/>
      <c r="P5" s="16"/>
      <c r="Q5" s="1"/>
      <c r="R5" s="1"/>
      <c r="S5" s="1"/>
      <c r="T5" s="1"/>
      <c r="U5" s="1"/>
      <c r="V5" s="1"/>
      <c r="W5" s="1"/>
      <c r="X5" s="1"/>
      <c r="Y5" s="1"/>
      <c r="Z5" s="1"/>
    </row>
    <row r="6" spans="1:26" ht="12" customHeight="1" x14ac:dyDescent="0.2">
      <c r="A6" s="12" t="s">
        <v>128</v>
      </c>
      <c r="B6" s="12">
        <v>421</v>
      </c>
      <c r="C6" s="78">
        <v>109</v>
      </c>
      <c r="D6" s="79">
        <f>IF((M6=0),"",(C6/M6))</f>
        <v>0.43083003952569171</v>
      </c>
      <c r="E6" s="63">
        <v>89</v>
      </c>
      <c r="F6" s="64">
        <f>IF((M6=0),"",(E6/M6))</f>
        <v>0.35177865612648224</v>
      </c>
      <c r="G6" s="100">
        <v>0</v>
      </c>
      <c r="H6" s="101">
        <f>IF((M6=0),"",(G6/M6))</f>
        <v>0</v>
      </c>
      <c r="I6" s="136">
        <v>25</v>
      </c>
      <c r="J6" s="137">
        <f>IF((M6=0),"",(I6/M6))</f>
        <v>9.8814229249011856E-2</v>
      </c>
      <c r="K6" s="12">
        <v>30</v>
      </c>
      <c r="L6" s="13">
        <f>IF((M6=0),"",(K6/M6))</f>
        <v>0.11857707509881422</v>
      </c>
      <c r="M6" s="12">
        <f>SUM(C6,E6,G6,I6,K6)</f>
        <v>253</v>
      </c>
      <c r="N6" s="13">
        <f>IF((B6=0),"",(M6/B6))</f>
        <v>0.60095011876484561</v>
      </c>
      <c r="O6" s="12">
        <f>B6-M6</f>
        <v>168</v>
      </c>
      <c r="P6" s="13">
        <f>IF((B6=0),"",(O6/B6))</f>
        <v>0.39904988123515439</v>
      </c>
      <c r="Q6" s="1"/>
      <c r="R6" s="1"/>
      <c r="S6" s="1"/>
      <c r="T6" s="1"/>
      <c r="U6" s="1"/>
      <c r="V6" s="1"/>
      <c r="W6" s="1"/>
      <c r="X6" s="1"/>
      <c r="Y6" s="1"/>
      <c r="Z6" s="1"/>
    </row>
    <row r="7" spans="1:26" s="53" customFormat="1" ht="12" customHeight="1" x14ac:dyDescent="0.2">
      <c r="A7" s="32" t="s">
        <v>542</v>
      </c>
      <c r="B7" s="32">
        <v>3</v>
      </c>
      <c r="C7" s="78"/>
      <c r="D7" s="79"/>
      <c r="E7" s="63"/>
      <c r="F7" s="64"/>
      <c r="G7" s="100"/>
      <c r="H7" s="101"/>
      <c r="I7" s="136"/>
      <c r="J7" s="137"/>
      <c r="K7" s="32"/>
      <c r="L7" s="28"/>
      <c r="M7" s="32"/>
      <c r="N7" s="28"/>
      <c r="O7" s="32"/>
      <c r="P7" s="28"/>
      <c r="Q7" s="1"/>
      <c r="R7" s="1"/>
      <c r="S7" s="1"/>
      <c r="T7" s="1"/>
      <c r="U7" s="1"/>
      <c r="V7" s="1"/>
      <c r="W7" s="1"/>
      <c r="X7" s="1"/>
      <c r="Y7" s="1"/>
      <c r="Z7" s="1"/>
    </row>
    <row r="8" spans="1:26" ht="12" customHeight="1" x14ac:dyDescent="0.2">
      <c r="A8" s="14" t="s">
        <v>337</v>
      </c>
      <c r="B8" s="32" t="s">
        <v>338</v>
      </c>
      <c r="C8" s="86"/>
      <c r="D8" s="86"/>
      <c r="E8" s="90"/>
      <c r="F8" s="90"/>
      <c r="G8" s="102"/>
      <c r="H8" s="102"/>
      <c r="I8" s="138"/>
      <c r="J8" s="138"/>
      <c r="K8" s="16"/>
      <c r="L8" s="16"/>
      <c r="M8" s="16"/>
      <c r="N8" s="16"/>
      <c r="O8" s="16"/>
      <c r="P8" s="16"/>
      <c r="Q8" s="1"/>
      <c r="R8" s="1"/>
      <c r="S8" s="1"/>
      <c r="T8" s="1"/>
      <c r="U8" s="1"/>
      <c r="V8" s="1"/>
      <c r="W8" s="1"/>
      <c r="X8" s="1"/>
      <c r="Y8" s="1"/>
      <c r="Z8" s="1"/>
    </row>
    <row r="9" spans="1:26" ht="12" customHeight="1" x14ac:dyDescent="0.2">
      <c r="A9" s="15" t="s">
        <v>191</v>
      </c>
      <c r="B9" s="15">
        <v>367</v>
      </c>
      <c r="C9" s="81">
        <v>51</v>
      </c>
      <c r="D9" s="82">
        <f t="shared" ref="D9:D14" si="0">IF((M9=0),"",(C9/M9))</f>
        <v>0.32903225806451614</v>
      </c>
      <c r="E9" s="66">
        <v>86</v>
      </c>
      <c r="F9" s="67">
        <f t="shared" ref="F9:F14" si="1">IF((M9=0),"",(E9/M9))</f>
        <v>0.55483870967741933</v>
      </c>
      <c r="G9" s="103">
        <v>0</v>
      </c>
      <c r="H9" s="104">
        <f t="shared" ref="H9:H14" si="2">IF((M9=0),"",(G9/M9))</f>
        <v>0</v>
      </c>
      <c r="I9" s="139">
        <v>15</v>
      </c>
      <c r="J9" s="140">
        <f t="shared" ref="J9:J14" si="3">IF((M9=0),"",(I9/M9))</f>
        <v>9.6774193548387094E-2</v>
      </c>
      <c r="K9" s="15">
        <v>3</v>
      </c>
      <c r="L9" s="17">
        <f t="shared" ref="L9:L14" si="4">IF((M9=0),"",(K9/M9))</f>
        <v>1.935483870967742E-2</v>
      </c>
      <c r="M9" s="15">
        <f t="shared" ref="M9:M14" si="5">SUM(C9,E9,G9,I9,K9)</f>
        <v>155</v>
      </c>
      <c r="N9" s="17">
        <f t="shared" ref="N9:N14" si="6">IF((B9=0),"",(M9/B9))</f>
        <v>0.42234332425068122</v>
      </c>
      <c r="O9" s="15">
        <f>B9-M9</f>
        <v>212</v>
      </c>
      <c r="P9" s="17">
        <f t="shared" ref="P9:P14" si="7">IF((B9=0),"",(O9/B9))</f>
        <v>0.57765667574931878</v>
      </c>
      <c r="Q9" s="1"/>
      <c r="R9" s="1"/>
      <c r="S9" s="1"/>
      <c r="T9" s="1"/>
      <c r="U9" s="1"/>
      <c r="V9" s="1"/>
      <c r="W9" s="1"/>
      <c r="X9" s="1"/>
      <c r="Y9" s="1"/>
      <c r="Z9" s="1"/>
    </row>
    <row r="10" spans="1:26" ht="12" customHeight="1" x14ac:dyDescent="0.2">
      <c r="A10" s="15" t="s">
        <v>404</v>
      </c>
      <c r="B10" s="15">
        <v>383</v>
      </c>
      <c r="C10" s="81">
        <v>51</v>
      </c>
      <c r="D10" s="82">
        <f t="shared" si="0"/>
        <v>0.35915492957746481</v>
      </c>
      <c r="E10" s="66">
        <v>82</v>
      </c>
      <c r="F10" s="67">
        <f t="shared" si="1"/>
        <v>0.57746478873239437</v>
      </c>
      <c r="G10" s="103">
        <v>0</v>
      </c>
      <c r="H10" s="104">
        <f t="shared" si="2"/>
        <v>0</v>
      </c>
      <c r="I10" s="139">
        <v>9</v>
      </c>
      <c r="J10" s="140">
        <f t="shared" si="3"/>
        <v>6.3380281690140844E-2</v>
      </c>
      <c r="K10" s="15">
        <v>0</v>
      </c>
      <c r="L10" s="17">
        <f t="shared" si="4"/>
        <v>0</v>
      </c>
      <c r="M10" s="15">
        <f t="shared" si="5"/>
        <v>142</v>
      </c>
      <c r="N10" s="17">
        <f t="shared" si="6"/>
        <v>0.37075718015665798</v>
      </c>
      <c r="O10" s="29">
        <f>B10-M10</f>
        <v>241</v>
      </c>
      <c r="P10" s="17">
        <f t="shared" si="7"/>
        <v>0.62924281984334207</v>
      </c>
      <c r="Q10" s="1"/>
      <c r="R10" s="1"/>
      <c r="S10" s="1"/>
      <c r="T10" s="1"/>
      <c r="U10" s="1"/>
      <c r="V10" s="1"/>
      <c r="W10" s="1"/>
      <c r="X10" s="1"/>
      <c r="Y10" s="1"/>
      <c r="Z10" s="1"/>
    </row>
    <row r="11" spans="1:26" ht="12" customHeight="1" x14ac:dyDescent="0.2">
      <c r="A11" s="15" t="s">
        <v>531</v>
      </c>
      <c r="B11" s="15">
        <v>357</v>
      </c>
      <c r="C11" s="81">
        <v>45</v>
      </c>
      <c r="D11" s="82">
        <f t="shared" si="0"/>
        <v>0.30405405405405406</v>
      </c>
      <c r="E11" s="66">
        <v>77</v>
      </c>
      <c r="F11" s="67">
        <f t="shared" si="1"/>
        <v>0.52027027027027029</v>
      </c>
      <c r="G11" s="103">
        <v>0</v>
      </c>
      <c r="H11" s="104">
        <f t="shared" si="2"/>
        <v>0</v>
      </c>
      <c r="I11" s="139">
        <v>21</v>
      </c>
      <c r="J11" s="140">
        <f t="shared" si="3"/>
        <v>0.14189189189189189</v>
      </c>
      <c r="K11" s="15">
        <v>5</v>
      </c>
      <c r="L11" s="17">
        <f t="shared" si="4"/>
        <v>3.3783783783783786E-2</v>
      </c>
      <c r="M11" s="15">
        <f t="shared" si="5"/>
        <v>148</v>
      </c>
      <c r="N11" s="17">
        <f t="shared" si="6"/>
        <v>0.41456582633053224</v>
      </c>
      <c r="O11" s="29">
        <f>B11-M11</f>
        <v>209</v>
      </c>
      <c r="P11" s="17">
        <f t="shared" si="7"/>
        <v>0.58543417366946782</v>
      </c>
      <c r="Q11" s="1"/>
      <c r="R11" s="1"/>
      <c r="S11" s="1"/>
      <c r="T11" s="1"/>
      <c r="U11" s="1"/>
      <c r="V11" s="1"/>
      <c r="W11" s="1"/>
      <c r="X11" s="1"/>
      <c r="Y11" s="1"/>
      <c r="Z11" s="1"/>
    </row>
    <row r="12" spans="1:26" ht="12" customHeight="1" x14ac:dyDescent="0.2">
      <c r="A12" s="15" t="s">
        <v>532</v>
      </c>
      <c r="B12" s="15">
        <v>330</v>
      </c>
      <c r="C12" s="81">
        <v>47</v>
      </c>
      <c r="D12" s="82">
        <f t="shared" si="0"/>
        <v>0.29559748427672955</v>
      </c>
      <c r="E12" s="66">
        <v>87</v>
      </c>
      <c r="F12" s="67">
        <f t="shared" si="1"/>
        <v>0.54716981132075471</v>
      </c>
      <c r="G12" s="103">
        <v>0</v>
      </c>
      <c r="H12" s="104">
        <f t="shared" si="2"/>
        <v>0</v>
      </c>
      <c r="I12" s="139">
        <v>22</v>
      </c>
      <c r="J12" s="140">
        <f t="shared" si="3"/>
        <v>0.13836477987421383</v>
      </c>
      <c r="K12" s="15">
        <v>3</v>
      </c>
      <c r="L12" s="17">
        <f t="shared" si="4"/>
        <v>1.8867924528301886E-2</v>
      </c>
      <c r="M12" s="15">
        <f t="shared" si="5"/>
        <v>159</v>
      </c>
      <c r="N12" s="17">
        <f t="shared" si="6"/>
        <v>0.48181818181818181</v>
      </c>
      <c r="O12" s="29">
        <f>B12-M12</f>
        <v>171</v>
      </c>
      <c r="P12" s="17">
        <f t="shared" si="7"/>
        <v>0.51818181818181819</v>
      </c>
      <c r="Q12" s="1"/>
      <c r="R12" s="1"/>
      <c r="S12" s="1"/>
      <c r="T12" s="1"/>
      <c r="U12" s="1"/>
      <c r="V12" s="1"/>
      <c r="W12" s="1"/>
      <c r="X12" s="1"/>
      <c r="Y12" s="1"/>
      <c r="Z12" s="1"/>
    </row>
    <row r="13" spans="1:26" ht="12" customHeight="1" x14ac:dyDescent="0.2">
      <c r="A13" s="15" t="s">
        <v>491</v>
      </c>
      <c r="B13" s="15">
        <v>240</v>
      </c>
      <c r="C13" s="81">
        <v>40</v>
      </c>
      <c r="D13" s="82">
        <f t="shared" si="0"/>
        <v>0.38834951456310679</v>
      </c>
      <c r="E13" s="66">
        <v>48</v>
      </c>
      <c r="F13" s="67">
        <f t="shared" si="1"/>
        <v>0.46601941747572817</v>
      </c>
      <c r="G13" s="103">
        <v>0</v>
      </c>
      <c r="H13" s="104">
        <f t="shared" si="2"/>
        <v>0</v>
      </c>
      <c r="I13" s="139">
        <v>15</v>
      </c>
      <c r="J13" s="140">
        <f t="shared" si="3"/>
        <v>0.14563106796116504</v>
      </c>
      <c r="K13" s="15">
        <v>0</v>
      </c>
      <c r="L13" s="17">
        <f t="shared" si="4"/>
        <v>0</v>
      </c>
      <c r="M13" s="15">
        <f t="shared" si="5"/>
        <v>103</v>
      </c>
      <c r="N13" s="17">
        <f t="shared" si="6"/>
        <v>0.42916666666666664</v>
      </c>
      <c r="O13" s="29">
        <f>B13-M13</f>
        <v>137</v>
      </c>
      <c r="P13" s="17">
        <f t="shared" si="7"/>
        <v>0.5708333333333333</v>
      </c>
      <c r="Q13" s="1"/>
      <c r="R13" s="1"/>
      <c r="S13" s="1"/>
      <c r="T13" s="1"/>
      <c r="U13" s="1"/>
      <c r="V13" s="1"/>
      <c r="W13" s="1"/>
      <c r="X13" s="1"/>
      <c r="Y13" s="1"/>
      <c r="Z13" s="1"/>
    </row>
    <row r="14" spans="1:26" ht="12" customHeight="1" x14ac:dyDescent="0.2">
      <c r="A14" s="12" t="s">
        <v>120</v>
      </c>
      <c r="B14" s="12">
        <f>SUM(B9:B13)</f>
        <v>1677</v>
      </c>
      <c r="C14" s="78">
        <f>SUM(C9:C13)</f>
        <v>234</v>
      </c>
      <c r="D14" s="79">
        <f t="shared" si="0"/>
        <v>0.33097595473833097</v>
      </c>
      <c r="E14" s="63">
        <f>SUM(E9:E13)</f>
        <v>380</v>
      </c>
      <c r="F14" s="64">
        <f t="shared" si="1"/>
        <v>0.5374823196605375</v>
      </c>
      <c r="G14" s="100">
        <f>SUM(G9:G13)</f>
        <v>0</v>
      </c>
      <c r="H14" s="101">
        <f t="shared" si="2"/>
        <v>0</v>
      </c>
      <c r="I14" s="136">
        <f>SUM(I9:I13)</f>
        <v>82</v>
      </c>
      <c r="J14" s="137">
        <f t="shared" si="3"/>
        <v>0.11598302687411598</v>
      </c>
      <c r="K14" s="12">
        <f>SUM(K9:K13)</f>
        <v>11</v>
      </c>
      <c r="L14" s="13">
        <f t="shared" si="4"/>
        <v>1.5558698727015558E-2</v>
      </c>
      <c r="M14" s="12">
        <f t="shared" si="5"/>
        <v>707</v>
      </c>
      <c r="N14" s="13">
        <f t="shared" si="6"/>
        <v>0.42158616577221231</v>
      </c>
      <c r="O14" s="12">
        <f>SUM(O9:O13)</f>
        <v>970</v>
      </c>
      <c r="P14" s="13">
        <f t="shared" si="7"/>
        <v>0.57841383422778769</v>
      </c>
      <c r="Q14" s="1"/>
      <c r="R14" s="1"/>
      <c r="S14" s="1"/>
      <c r="T14" s="1"/>
      <c r="U14" s="1"/>
      <c r="V14" s="1"/>
      <c r="W14" s="1"/>
      <c r="X14" s="1"/>
      <c r="Y14" s="1"/>
      <c r="Z14" s="1"/>
    </row>
    <row r="15" spans="1:26" s="53" customFormat="1" ht="12" customHeight="1" x14ac:dyDescent="0.2">
      <c r="A15" s="32" t="s">
        <v>542</v>
      </c>
      <c r="B15" s="32">
        <v>63</v>
      </c>
      <c r="C15" s="78"/>
      <c r="D15" s="79"/>
      <c r="E15" s="63"/>
      <c r="F15" s="64"/>
      <c r="G15" s="100"/>
      <c r="H15" s="101"/>
      <c r="I15" s="136"/>
      <c r="J15" s="137"/>
      <c r="K15" s="32"/>
      <c r="L15" s="28"/>
      <c r="M15" s="32"/>
      <c r="N15" s="28"/>
      <c r="O15" s="32"/>
      <c r="P15" s="28"/>
      <c r="Q15" s="1"/>
      <c r="R15" s="1"/>
      <c r="S15" s="1"/>
      <c r="T15" s="1"/>
      <c r="U15" s="1"/>
      <c r="V15" s="1"/>
      <c r="W15" s="1"/>
      <c r="X15" s="1"/>
      <c r="Y15" s="1"/>
      <c r="Z15" s="1"/>
    </row>
    <row r="16" spans="1:26" ht="12" customHeight="1" x14ac:dyDescent="0.2">
      <c r="A16" s="14" t="s">
        <v>340</v>
      </c>
      <c r="B16" s="32" t="s">
        <v>341</v>
      </c>
      <c r="C16" s="86"/>
      <c r="D16" s="86"/>
      <c r="E16" s="90"/>
      <c r="F16" s="90"/>
      <c r="G16" s="102"/>
      <c r="H16" s="102"/>
      <c r="I16" s="138"/>
      <c r="J16" s="138"/>
      <c r="K16" s="16"/>
      <c r="L16" s="16"/>
      <c r="M16" s="16"/>
      <c r="N16" s="16"/>
      <c r="O16" s="16"/>
      <c r="P16" s="16"/>
      <c r="Q16" s="1"/>
      <c r="R16" s="1"/>
      <c r="S16" s="1"/>
      <c r="T16" s="1"/>
      <c r="U16" s="1"/>
      <c r="V16" s="1"/>
      <c r="W16" s="1"/>
      <c r="X16" s="1"/>
      <c r="Y16" s="1"/>
      <c r="Z16" s="1"/>
    </row>
    <row r="17" spans="1:26" ht="12" customHeight="1" x14ac:dyDescent="0.2">
      <c r="A17" s="15" t="s">
        <v>136</v>
      </c>
      <c r="B17" s="15">
        <v>360</v>
      </c>
      <c r="C17" s="81">
        <v>67</v>
      </c>
      <c r="D17" s="82">
        <f t="shared" ref="D17:D22" si="8">IF((M17=0),"",(C17/M17))</f>
        <v>0.35828877005347592</v>
      </c>
      <c r="E17" s="66">
        <v>81</v>
      </c>
      <c r="F17" s="67">
        <f t="shared" ref="F17:F22" si="9">IF((M17=0),"",(E17/M17))</f>
        <v>0.43315508021390375</v>
      </c>
      <c r="G17" s="103">
        <v>0</v>
      </c>
      <c r="H17" s="104">
        <f t="shared" ref="H17:H22" si="10">IF((M17=0),"",(G17/M17))</f>
        <v>0</v>
      </c>
      <c r="I17" s="139">
        <v>37</v>
      </c>
      <c r="J17" s="140">
        <f t="shared" ref="J17:J22" si="11">IF((M17=0),"",(I17/M17))</f>
        <v>0.19786096256684493</v>
      </c>
      <c r="K17" s="15">
        <v>2</v>
      </c>
      <c r="L17" s="17">
        <f t="shared" ref="L17:L22" si="12">IF((M17=0),"",(K17/M17))</f>
        <v>1.06951871657754E-2</v>
      </c>
      <c r="M17" s="15">
        <f t="shared" ref="M17:M22" si="13">SUM(C17,E17,G17,I17,K17)</f>
        <v>187</v>
      </c>
      <c r="N17" s="17">
        <f t="shared" ref="N17:N22" si="14">IF((B17=0),"",(M17/B17))</f>
        <v>0.51944444444444449</v>
      </c>
      <c r="O17" s="29">
        <f>B17-M17</f>
        <v>173</v>
      </c>
      <c r="P17" s="17">
        <f t="shared" ref="P17:P22" si="15">IF((B17=0),"",(O17/B17))</f>
        <v>0.48055555555555557</v>
      </c>
      <c r="Q17" s="1"/>
      <c r="R17" s="1"/>
      <c r="S17" s="1"/>
      <c r="T17" s="1"/>
      <c r="U17" s="1"/>
      <c r="V17" s="1"/>
      <c r="W17" s="1"/>
      <c r="X17" s="1"/>
      <c r="Y17" s="1"/>
      <c r="Z17" s="1"/>
    </row>
    <row r="18" spans="1:26" ht="12" customHeight="1" x14ac:dyDescent="0.2">
      <c r="A18" s="15" t="s">
        <v>339</v>
      </c>
      <c r="B18" s="15">
        <v>398</v>
      </c>
      <c r="C18" s="81">
        <v>85</v>
      </c>
      <c r="D18" s="82">
        <f t="shared" si="8"/>
        <v>0.3794642857142857</v>
      </c>
      <c r="E18" s="66">
        <v>87</v>
      </c>
      <c r="F18" s="67">
        <f t="shared" si="9"/>
        <v>0.38839285714285715</v>
      </c>
      <c r="G18" s="103">
        <v>0</v>
      </c>
      <c r="H18" s="104">
        <f t="shared" si="10"/>
        <v>0</v>
      </c>
      <c r="I18" s="139">
        <v>47</v>
      </c>
      <c r="J18" s="140">
        <f t="shared" si="11"/>
        <v>0.20982142857142858</v>
      </c>
      <c r="K18" s="15">
        <v>5</v>
      </c>
      <c r="L18" s="17">
        <f t="shared" si="12"/>
        <v>2.2321428571428572E-2</v>
      </c>
      <c r="M18" s="15">
        <f t="shared" si="13"/>
        <v>224</v>
      </c>
      <c r="N18" s="17">
        <f t="shared" si="14"/>
        <v>0.56281407035175879</v>
      </c>
      <c r="O18" s="29">
        <f>B18-M18</f>
        <v>174</v>
      </c>
      <c r="P18" s="17">
        <f t="shared" si="15"/>
        <v>0.43718592964824121</v>
      </c>
      <c r="Q18" s="1"/>
      <c r="R18" s="1"/>
      <c r="S18" s="1"/>
      <c r="T18" s="1"/>
      <c r="U18" s="1"/>
      <c r="V18" s="1"/>
      <c r="W18" s="1"/>
      <c r="X18" s="1"/>
      <c r="Y18" s="1"/>
      <c r="Z18" s="1"/>
    </row>
    <row r="19" spans="1:26" ht="12" customHeight="1" x14ac:dyDescent="0.2">
      <c r="A19" s="15" t="s">
        <v>204</v>
      </c>
      <c r="B19" s="15">
        <v>339</v>
      </c>
      <c r="C19" s="81">
        <v>80</v>
      </c>
      <c r="D19" s="82">
        <f t="shared" si="8"/>
        <v>0.43478260869565216</v>
      </c>
      <c r="E19" s="66">
        <v>71</v>
      </c>
      <c r="F19" s="67">
        <f t="shared" si="9"/>
        <v>0.3858695652173913</v>
      </c>
      <c r="G19" s="103">
        <v>2</v>
      </c>
      <c r="H19" s="104">
        <f t="shared" si="10"/>
        <v>1.0869565217391304E-2</v>
      </c>
      <c r="I19" s="139">
        <v>26</v>
      </c>
      <c r="J19" s="140">
        <f t="shared" si="11"/>
        <v>0.14130434782608695</v>
      </c>
      <c r="K19" s="15">
        <v>5</v>
      </c>
      <c r="L19" s="17">
        <f t="shared" si="12"/>
        <v>2.717391304347826E-2</v>
      </c>
      <c r="M19" s="15">
        <f t="shared" si="13"/>
        <v>184</v>
      </c>
      <c r="N19" s="17">
        <f t="shared" si="14"/>
        <v>0.54277286135693215</v>
      </c>
      <c r="O19" s="29">
        <f>B19-M19</f>
        <v>155</v>
      </c>
      <c r="P19" s="17">
        <f t="shared" si="15"/>
        <v>0.45722713864306785</v>
      </c>
      <c r="Q19" s="1"/>
      <c r="R19" s="1"/>
      <c r="S19" s="1"/>
      <c r="T19" s="1"/>
      <c r="U19" s="1"/>
      <c r="V19" s="1"/>
      <c r="W19" s="1"/>
      <c r="X19" s="1"/>
      <c r="Y19" s="1"/>
      <c r="Z19" s="1"/>
    </row>
    <row r="20" spans="1:26" ht="12" customHeight="1" x14ac:dyDescent="0.2">
      <c r="A20" s="15" t="s">
        <v>126</v>
      </c>
      <c r="B20" s="15">
        <v>343</v>
      </c>
      <c r="C20" s="81">
        <v>51</v>
      </c>
      <c r="D20" s="82">
        <f t="shared" si="8"/>
        <v>0.30357142857142855</v>
      </c>
      <c r="E20" s="66">
        <v>72</v>
      </c>
      <c r="F20" s="67">
        <f t="shared" si="9"/>
        <v>0.42857142857142855</v>
      </c>
      <c r="G20" s="103">
        <v>0</v>
      </c>
      <c r="H20" s="104">
        <f t="shared" si="10"/>
        <v>0</v>
      </c>
      <c r="I20" s="139">
        <v>37</v>
      </c>
      <c r="J20" s="140">
        <f t="shared" si="11"/>
        <v>0.22023809523809523</v>
      </c>
      <c r="K20" s="15">
        <v>8</v>
      </c>
      <c r="L20" s="17">
        <f t="shared" si="12"/>
        <v>4.7619047619047616E-2</v>
      </c>
      <c r="M20" s="15">
        <f t="shared" si="13"/>
        <v>168</v>
      </c>
      <c r="N20" s="17">
        <f t="shared" si="14"/>
        <v>0.48979591836734693</v>
      </c>
      <c r="O20" s="29">
        <f>B20-M20</f>
        <v>175</v>
      </c>
      <c r="P20" s="17">
        <f t="shared" si="15"/>
        <v>0.51020408163265307</v>
      </c>
      <c r="Q20" s="1"/>
      <c r="R20" s="1"/>
      <c r="S20" s="1"/>
      <c r="T20" s="1"/>
      <c r="U20" s="1"/>
      <c r="V20" s="1"/>
      <c r="W20" s="1"/>
      <c r="X20" s="1"/>
      <c r="Y20" s="1"/>
      <c r="Z20" s="1"/>
    </row>
    <row r="21" spans="1:26" ht="12" customHeight="1" x14ac:dyDescent="0.2">
      <c r="A21" s="15" t="s">
        <v>123</v>
      </c>
      <c r="B21" s="15">
        <v>433</v>
      </c>
      <c r="C21" s="81">
        <v>75</v>
      </c>
      <c r="D21" s="82">
        <f t="shared" si="8"/>
        <v>0.3048780487804878</v>
      </c>
      <c r="E21" s="66">
        <v>109</v>
      </c>
      <c r="F21" s="67">
        <f t="shared" si="9"/>
        <v>0.44308943089430897</v>
      </c>
      <c r="G21" s="103">
        <v>0</v>
      </c>
      <c r="H21" s="104">
        <f t="shared" si="10"/>
        <v>0</v>
      </c>
      <c r="I21" s="139">
        <v>54</v>
      </c>
      <c r="J21" s="140">
        <f t="shared" si="11"/>
        <v>0.21951219512195122</v>
      </c>
      <c r="K21" s="15">
        <v>8</v>
      </c>
      <c r="L21" s="17">
        <f t="shared" si="12"/>
        <v>3.2520325203252036E-2</v>
      </c>
      <c r="M21" s="15">
        <f t="shared" si="13"/>
        <v>246</v>
      </c>
      <c r="N21" s="17">
        <f t="shared" si="14"/>
        <v>0.56812933025404155</v>
      </c>
      <c r="O21" s="29">
        <f>B21-M21</f>
        <v>187</v>
      </c>
      <c r="P21" s="17">
        <f t="shared" si="15"/>
        <v>0.43187066974595845</v>
      </c>
      <c r="Q21" s="1"/>
      <c r="R21" s="1"/>
      <c r="S21" s="1"/>
      <c r="T21" s="1"/>
      <c r="U21" s="1"/>
      <c r="V21" s="1"/>
      <c r="W21" s="1"/>
      <c r="X21" s="1"/>
      <c r="Y21" s="1"/>
      <c r="Z21" s="1"/>
    </row>
    <row r="22" spans="1:26" ht="12" customHeight="1" x14ac:dyDescent="0.2">
      <c r="A22" s="12" t="s">
        <v>120</v>
      </c>
      <c r="B22" s="12">
        <f>SUM(B17:B21)</f>
        <v>1873</v>
      </c>
      <c r="C22" s="78">
        <f>SUM(C17:C21)</f>
        <v>358</v>
      </c>
      <c r="D22" s="79">
        <f t="shared" si="8"/>
        <v>0.35480673934588702</v>
      </c>
      <c r="E22" s="63">
        <f>SUM(E17:E21)</f>
        <v>420</v>
      </c>
      <c r="F22" s="64">
        <f t="shared" si="9"/>
        <v>0.41625371655104065</v>
      </c>
      <c r="G22" s="100">
        <f>SUM(G17:G21)</f>
        <v>2</v>
      </c>
      <c r="H22" s="101">
        <f t="shared" si="10"/>
        <v>1.9821605550049554E-3</v>
      </c>
      <c r="I22" s="136">
        <f>SUM(I17:I21)</f>
        <v>201</v>
      </c>
      <c r="J22" s="137">
        <f t="shared" si="11"/>
        <v>0.19920713577799801</v>
      </c>
      <c r="K22" s="12">
        <f>SUM(K17:K21)</f>
        <v>28</v>
      </c>
      <c r="L22" s="13">
        <f t="shared" si="12"/>
        <v>2.7750247770069375E-2</v>
      </c>
      <c r="M22" s="12">
        <f t="shared" si="13"/>
        <v>1009</v>
      </c>
      <c r="N22" s="13">
        <f t="shared" si="14"/>
        <v>0.5387079551521623</v>
      </c>
      <c r="O22" s="12">
        <f>SUM(O17:O21)</f>
        <v>864</v>
      </c>
      <c r="P22" s="13">
        <f t="shared" si="15"/>
        <v>0.4612920448478377</v>
      </c>
      <c r="Q22" s="1"/>
      <c r="R22" s="1"/>
      <c r="S22" s="1"/>
      <c r="T22" s="1"/>
      <c r="U22" s="1"/>
      <c r="V22" s="1"/>
      <c r="W22" s="1"/>
      <c r="X22" s="1"/>
      <c r="Y22" s="1"/>
      <c r="Z22" s="1"/>
    </row>
    <row r="23" spans="1:26" s="53" customFormat="1" ht="12" customHeight="1" x14ac:dyDescent="0.2">
      <c r="A23" s="32" t="s">
        <v>542</v>
      </c>
      <c r="B23" s="32">
        <v>67</v>
      </c>
      <c r="C23" s="78"/>
      <c r="D23" s="79"/>
      <c r="E23" s="63"/>
      <c r="F23" s="64"/>
      <c r="G23" s="100"/>
      <c r="H23" s="101"/>
      <c r="I23" s="136"/>
      <c r="J23" s="137"/>
      <c r="K23" s="32"/>
      <c r="L23" s="28"/>
      <c r="M23" s="32"/>
      <c r="N23" s="28"/>
      <c r="O23" s="32"/>
      <c r="P23" s="28"/>
      <c r="Q23" s="1"/>
      <c r="R23" s="1"/>
      <c r="S23" s="1"/>
      <c r="T23" s="1"/>
      <c r="U23" s="1"/>
      <c r="V23" s="1"/>
      <c r="W23" s="1"/>
      <c r="X23" s="1"/>
      <c r="Y23" s="1"/>
      <c r="Z23" s="1"/>
    </row>
    <row r="24" spans="1:26" ht="12" customHeight="1" x14ac:dyDescent="0.2">
      <c r="A24" s="14" t="s">
        <v>342</v>
      </c>
      <c r="B24" s="32" t="s">
        <v>343</v>
      </c>
      <c r="C24" s="86"/>
      <c r="D24" s="86"/>
      <c r="E24" s="90"/>
      <c r="F24" s="90"/>
      <c r="G24" s="102"/>
      <c r="H24" s="102"/>
      <c r="I24" s="138"/>
      <c r="J24" s="138"/>
      <c r="K24" s="16"/>
      <c r="L24" s="16"/>
      <c r="M24" s="16"/>
      <c r="N24" s="16"/>
      <c r="O24" s="16"/>
      <c r="P24" s="16"/>
      <c r="Q24" s="1"/>
      <c r="R24" s="1"/>
      <c r="S24" s="1"/>
      <c r="T24" s="1"/>
      <c r="U24" s="1"/>
      <c r="V24" s="1"/>
      <c r="W24" s="1"/>
      <c r="X24" s="1"/>
      <c r="Y24" s="1"/>
      <c r="Z24" s="1"/>
    </row>
    <row r="25" spans="1:26" ht="12" customHeight="1" x14ac:dyDescent="0.2">
      <c r="A25" s="15" t="s">
        <v>136</v>
      </c>
      <c r="B25" s="15">
        <v>420</v>
      </c>
      <c r="C25" s="81">
        <v>16</v>
      </c>
      <c r="D25" s="82">
        <f>IF((M25=0),"",(C25/M25))</f>
        <v>8.8397790055248615E-2</v>
      </c>
      <c r="E25" s="66">
        <v>114</v>
      </c>
      <c r="F25" s="67">
        <f>IF((M25=0),"",(E25/M25))</f>
        <v>0.62983425414364635</v>
      </c>
      <c r="G25" s="103">
        <v>0</v>
      </c>
      <c r="H25" s="104">
        <f>IF((M25=0),"",(G25/M25))</f>
        <v>0</v>
      </c>
      <c r="I25" s="139">
        <v>50</v>
      </c>
      <c r="J25" s="140">
        <f>IF((M25=0),"",(I25/M25))</f>
        <v>0.27624309392265195</v>
      </c>
      <c r="K25" s="15">
        <v>1</v>
      </c>
      <c r="L25" s="17">
        <f>IF((M25=0),"",(K25/M25))</f>
        <v>5.5248618784530384E-3</v>
      </c>
      <c r="M25" s="15">
        <f>SUM(C25,E25,G25,I25,K25)</f>
        <v>181</v>
      </c>
      <c r="N25" s="17">
        <f>IF((B25=0),"",(M25/B25))</f>
        <v>0.43095238095238098</v>
      </c>
      <c r="O25" s="29">
        <f>B25-M25</f>
        <v>239</v>
      </c>
      <c r="P25" s="17">
        <f>IF((B25=0),"",(O25/B25))</f>
        <v>0.56904761904761902</v>
      </c>
      <c r="Q25" s="1"/>
      <c r="R25" s="1"/>
      <c r="S25" s="1"/>
      <c r="T25" s="1"/>
      <c r="U25" s="1"/>
      <c r="V25" s="1"/>
      <c r="W25" s="1"/>
      <c r="X25" s="1"/>
      <c r="Y25" s="1"/>
      <c r="Z25" s="1"/>
    </row>
    <row r="26" spans="1:26" ht="12" customHeight="1" x14ac:dyDescent="0.2">
      <c r="A26" s="15" t="s">
        <v>339</v>
      </c>
      <c r="B26" s="15">
        <v>430</v>
      </c>
      <c r="C26" s="81">
        <v>58</v>
      </c>
      <c r="D26" s="82">
        <f>IF((M26=0),"",(C26/M26))</f>
        <v>0.2283464566929134</v>
      </c>
      <c r="E26" s="66">
        <v>135</v>
      </c>
      <c r="F26" s="67">
        <f>IF((M26=0),"",(E26/M26))</f>
        <v>0.53149606299212604</v>
      </c>
      <c r="G26" s="103">
        <v>0</v>
      </c>
      <c r="H26" s="104">
        <f>IF((M26=0),"",(G26/M26))</f>
        <v>0</v>
      </c>
      <c r="I26" s="139">
        <v>58</v>
      </c>
      <c r="J26" s="140">
        <f>IF((M26=0),"",(I26/M26))</f>
        <v>0.2283464566929134</v>
      </c>
      <c r="K26" s="15">
        <v>3</v>
      </c>
      <c r="L26" s="17">
        <f>IF((M26=0),"",(K26/M26))</f>
        <v>1.1811023622047244E-2</v>
      </c>
      <c r="M26" s="15">
        <f>SUM(C26,E26,G26,I26,K26)</f>
        <v>254</v>
      </c>
      <c r="N26" s="17">
        <f>IF((B26=0),"",(M26/B26))</f>
        <v>0.59069767441860466</v>
      </c>
      <c r="O26" s="29">
        <f>B26-M26</f>
        <v>176</v>
      </c>
      <c r="P26" s="17">
        <f>IF((B26=0),"",(O26/B26))</f>
        <v>0.40930232558139534</v>
      </c>
      <c r="Q26" s="1"/>
      <c r="R26" s="1"/>
      <c r="S26" s="1"/>
      <c r="T26" s="1"/>
      <c r="U26" s="1"/>
      <c r="V26" s="1"/>
      <c r="W26" s="1"/>
      <c r="X26" s="1"/>
      <c r="Y26" s="1"/>
      <c r="Z26" s="1"/>
    </row>
    <row r="27" spans="1:26" ht="12" customHeight="1" x14ac:dyDescent="0.2">
      <c r="A27" s="15" t="s">
        <v>204</v>
      </c>
      <c r="B27" s="15">
        <v>303</v>
      </c>
      <c r="C27" s="81">
        <v>18</v>
      </c>
      <c r="D27" s="82">
        <f>IF((M27=0),"",(C27/M27))</f>
        <v>0.14285714285714285</v>
      </c>
      <c r="E27" s="66">
        <v>65</v>
      </c>
      <c r="F27" s="67">
        <f>IF((M27=0),"",(E27/M27))</f>
        <v>0.51587301587301593</v>
      </c>
      <c r="G27" s="103">
        <v>1</v>
      </c>
      <c r="H27" s="104">
        <f>IF((M27=0),"",(G27/M27))</f>
        <v>7.9365079365079361E-3</v>
      </c>
      <c r="I27" s="139">
        <v>42</v>
      </c>
      <c r="J27" s="140">
        <f>IF((M27=0),"",(I27/M27))</f>
        <v>0.33333333333333331</v>
      </c>
      <c r="K27" s="15">
        <v>0</v>
      </c>
      <c r="L27" s="17">
        <f>IF((M27=0),"",(K27/M27))</f>
        <v>0</v>
      </c>
      <c r="M27" s="15">
        <f>SUM(C27,E27,G27,I27,K27)</f>
        <v>126</v>
      </c>
      <c r="N27" s="17">
        <f>IF((B27=0),"",(M27/B27))</f>
        <v>0.41584158415841582</v>
      </c>
      <c r="O27" s="29">
        <f>B27-M27</f>
        <v>177</v>
      </c>
      <c r="P27" s="17">
        <f>IF((B27=0),"",(O27/B27))</f>
        <v>0.58415841584158412</v>
      </c>
      <c r="Q27" s="1"/>
      <c r="R27" s="1"/>
      <c r="S27" s="1"/>
      <c r="T27" s="1"/>
      <c r="U27" s="1"/>
      <c r="V27" s="1"/>
      <c r="W27" s="1"/>
      <c r="X27" s="1"/>
      <c r="Y27" s="1"/>
      <c r="Z27" s="1"/>
    </row>
    <row r="28" spans="1:26" ht="12" customHeight="1" x14ac:dyDescent="0.2">
      <c r="A28" s="15" t="s">
        <v>193</v>
      </c>
      <c r="B28" s="15">
        <v>410</v>
      </c>
      <c r="C28" s="81">
        <v>33</v>
      </c>
      <c r="D28" s="82">
        <f>IF((M28=0),"",(C28/M28))</f>
        <v>0.16751269035532995</v>
      </c>
      <c r="E28" s="66">
        <v>103</v>
      </c>
      <c r="F28" s="67">
        <f>IF((M28=0),"",(E28/M28))</f>
        <v>0.52284263959390864</v>
      </c>
      <c r="G28" s="103">
        <v>0</v>
      </c>
      <c r="H28" s="104">
        <f>IF((M28=0),"",(G28/M28))</f>
        <v>0</v>
      </c>
      <c r="I28" s="139">
        <v>54</v>
      </c>
      <c r="J28" s="140">
        <f>IF((M28=0),"",(I28/M28))</f>
        <v>0.27411167512690354</v>
      </c>
      <c r="K28" s="15">
        <v>7</v>
      </c>
      <c r="L28" s="17">
        <f>IF((M28=0),"",(K28/M28))</f>
        <v>3.553299492385787E-2</v>
      </c>
      <c r="M28" s="15">
        <f>SUM(C28,E28,G28,I28,K28)</f>
        <v>197</v>
      </c>
      <c r="N28" s="17">
        <f>IF((B28=0),"",(M28/B28))</f>
        <v>0.48048780487804876</v>
      </c>
      <c r="O28" s="29">
        <f>B28-M28</f>
        <v>213</v>
      </c>
      <c r="P28" s="17">
        <f>IF((B28=0),"",(O28/B28))</f>
        <v>0.51951219512195124</v>
      </c>
      <c r="Q28" s="1"/>
      <c r="R28" s="1"/>
      <c r="S28" s="1"/>
      <c r="T28" s="1"/>
      <c r="U28" s="1"/>
      <c r="V28" s="1"/>
      <c r="W28" s="1"/>
      <c r="X28" s="1"/>
      <c r="Y28" s="1"/>
      <c r="Z28" s="1"/>
    </row>
    <row r="29" spans="1:26" ht="12" customHeight="1" x14ac:dyDescent="0.2">
      <c r="A29" s="12" t="s">
        <v>120</v>
      </c>
      <c r="B29" s="12">
        <f>SUM(B25:B28)</f>
        <v>1563</v>
      </c>
      <c r="C29" s="78">
        <f>SUM(C25:C28)</f>
        <v>125</v>
      </c>
      <c r="D29" s="79">
        <f>IF((M29=0),"",(C29/M29))</f>
        <v>0.16490765171503957</v>
      </c>
      <c r="E29" s="63">
        <f>SUM(E25:E28)</f>
        <v>417</v>
      </c>
      <c r="F29" s="64">
        <f>IF((M29=0),"",(E29/M29))</f>
        <v>0.55013192612137207</v>
      </c>
      <c r="G29" s="100">
        <f>SUM(G25:G28)</f>
        <v>1</v>
      </c>
      <c r="H29" s="101">
        <f>IF((M29=0),"",(G29/M29))</f>
        <v>1.3192612137203166E-3</v>
      </c>
      <c r="I29" s="136">
        <f>SUM(I25:I28)</f>
        <v>204</v>
      </c>
      <c r="J29" s="137">
        <f>IF((M29=0),"",(I29/M29))</f>
        <v>0.26912928759894461</v>
      </c>
      <c r="K29" s="12">
        <f>SUM(K25:K28)</f>
        <v>11</v>
      </c>
      <c r="L29" s="13">
        <f>IF((M29=0),"",(K29/M29))</f>
        <v>1.4511873350923483E-2</v>
      </c>
      <c r="M29" s="12">
        <f>SUM(C29,E29,G29,I29,K29)</f>
        <v>758</v>
      </c>
      <c r="N29" s="13">
        <f>IF((B29=0),"",(M29/B29))</f>
        <v>0.4849648112603967</v>
      </c>
      <c r="O29" s="12">
        <f>SUM(O25:O28)</f>
        <v>805</v>
      </c>
      <c r="P29" s="13">
        <f>IF((B29=0),"",(O29/B29))</f>
        <v>0.5150351887396033</v>
      </c>
      <c r="Q29" s="1"/>
      <c r="R29" s="1"/>
      <c r="S29" s="1"/>
      <c r="T29" s="1"/>
      <c r="U29" s="1"/>
      <c r="V29" s="1"/>
      <c r="W29" s="1"/>
      <c r="X29" s="1"/>
      <c r="Y29" s="1"/>
      <c r="Z29" s="1"/>
    </row>
    <row r="30" spans="1:26" s="53" customFormat="1" ht="12" customHeight="1" x14ac:dyDescent="0.2">
      <c r="A30" s="32" t="s">
        <v>542</v>
      </c>
      <c r="B30" s="32">
        <v>28</v>
      </c>
      <c r="C30" s="78"/>
      <c r="D30" s="79"/>
      <c r="E30" s="63"/>
      <c r="F30" s="64"/>
      <c r="G30" s="100"/>
      <c r="H30" s="101"/>
      <c r="I30" s="136"/>
      <c r="J30" s="137"/>
      <c r="K30" s="32"/>
      <c r="L30" s="28"/>
      <c r="M30" s="32"/>
      <c r="N30" s="28"/>
      <c r="O30" s="32"/>
      <c r="P30" s="28"/>
      <c r="Q30" s="1"/>
      <c r="R30" s="1"/>
      <c r="S30" s="1"/>
      <c r="T30" s="1"/>
      <c r="U30" s="1"/>
      <c r="V30" s="1"/>
      <c r="W30" s="1"/>
      <c r="X30" s="1"/>
      <c r="Y30" s="1"/>
      <c r="Z30" s="1"/>
    </row>
    <row r="31" spans="1:26" ht="12" customHeight="1" x14ac:dyDescent="0.2">
      <c r="A31" s="14" t="s">
        <v>345</v>
      </c>
      <c r="B31" s="32" t="s">
        <v>346</v>
      </c>
      <c r="C31" s="86"/>
      <c r="D31" s="86"/>
      <c r="E31" s="90"/>
      <c r="F31" s="90"/>
      <c r="G31" s="102"/>
      <c r="H31" s="102"/>
      <c r="I31" s="138"/>
      <c r="J31" s="138"/>
      <c r="K31" s="16"/>
      <c r="L31" s="16"/>
      <c r="M31" s="16"/>
      <c r="N31" s="16"/>
      <c r="O31" s="16"/>
      <c r="P31" s="16"/>
      <c r="Q31" s="1"/>
      <c r="R31" s="1"/>
      <c r="S31" s="1"/>
      <c r="T31" s="1"/>
      <c r="U31" s="1"/>
      <c r="V31" s="1"/>
      <c r="W31" s="1"/>
      <c r="X31" s="1"/>
      <c r="Y31" s="1"/>
      <c r="Z31" s="1"/>
    </row>
    <row r="32" spans="1:26" ht="12" customHeight="1" x14ac:dyDescent="0.2">
      <c r="A32" s="15" t="s">
        <v>347</v>
      </c>
      <c r="B32" s="15">
        <v>412</v>
      </c>
      <c r="C32" s="81">
        <v>42</v>
      </c>
      <c r="D32" s="82">
        <f t="shared" ref="D32:D37" si="16">IF((M32=0),"",(C32/M32))</f>
        <v>0.12</v>
      </c>
      <c r="E32" s="66">
        <v>218</v>
      </c>
      <c r="F32" s="67">
        <f t="shared" ref="F32:F37" si="17">IF((M32=0),"",(E32/M32))</f>
        <v>0.62285714285714289</v>
      </c>
      <c r="G32" s="103">
        <v>0</v>
      </c>
      <c r="H32" s="104">
        <f t="shared" ref="H32:H37" si="18">IF((M32=0),"",(G32/M32))</f>
        <v>0</v>
      </c>
      <c r="I32" s="139">
        <v>90</v>
      </c>
      <c r="J32" s="140">
        <f t="shared" ref="J32:J37" si="19">IF((M32=0),"",(I32/M32))</f>
        <v>0.25714285714285712</v>
      </c>
      <c r="K32" s="15">
        <v>0</v>
      </c>
      <c r="L32" s="17">
        <f t="shared" ref="L32:L37" si="20">IF((M32=0),"",(K32/M32))</f>
        <v>0</v>
      </c>
      <c r="M32" s="15">
        <f t="shared" ref="M32:M37" si="21">SUM(C32,E32,G32,I32,K32)</f>
        <v>350</v>
      </c>
      <c r="N32" s="17">
        <f t="shared" ref="N32:N37" si="22">IF((B32=0),"",(M32/B32))</f>
        <v>0.84951456310679607</v>
      </c>
      <c r="O32" s="29">
        <f>B32-M32</f>
        <v>62</v>
      </c>
      <c r="P32" s="17">
        <f t="shared" ref="P32:P37" si="23">IF((B32=0),"",(O32/B32))</f>
        <v>0.15048543689320387</v>
      </c>
      <c r="Q32" s="1"/>
      <c r="R32" s="1"/>
      <c r="S32" s="1"/>
      <c r="T32" s="1"/>
      <c r="U32" s="1"/>
      <c r="V32" s="1"/>
      <c r="W32" s="1"/>
      <c r="X32" s="1"/>
      <c r="Y32" s="1"/>
      <c r="Z32" s="1"/>
    </row>
    <row r="33" spans="1:26" ht="12" customHeight="1" x14ac:dyDescent="0.2">
      <c r="A33" s="15" t="s">
        <v>167</v>
      </c>
      <c r="B33" s="15">
        <v>426</v>
      </c>
      <c r="C33" s="81">
        <v>19</v>
      </c>
      <c r="D33" s="82">
        <f t="shared" si="16"/>
        <v>8.5972850678733032E-2</v>
      </c>
      <c r="E33" s="66">
        <v>122</v>
      </c>
      <c r="F33" s="67">
        <f t="shared" si="17"/>
        <v>0.55203619909502266</v>
      </c>
      <c r="G33" s="103">
        <v>1</v>
      </c>
      <c r="H33" s="104">
        <f t="shared" si="18"/>
        <v>4.5248868778280547E-3</v>
      </c>
      <c r="I33" s="139">
        <v>77</v>
      </c>
      <c r="J33" s="140">
        <f t="shared" si="19"/>
        <v>0.34841628959276016</v>
      </c>
      <c r="K33" s="15">
        <v>2</v>
      </c>
      <c r="L33" s="17">
        <f t="shared" si="20"/>
        <v>9.0497737556561094E-3</v>
      </c>
      <c r="M33" s="15">
        <f t="shared" si="21"/>
        <v>221</v>
      </c>
      <c r="N33" s="17">
        <f t="shared" si="22"/>
        <v>0.51877934272300474</v>
      </c>
      <c r="O33" s="29">
        <f>B33-M33</f>
        <v>205</v>
      </c>
      <c r="P33" s="17">
        <f t="shared" si="23"/>
        <v>0.48122065727699531</v>
      </c>
      <c r="Q33" s="1"/>
      <c r="R33" s="1"/>
      <c r="S33" s="1"/>
      <c r="T33" s="1"/>
      <c r="U33" s="1"/>
      <c r="V33" s="1"/>
      <c r="W33" s="1"/>
      <c r="X33" s="1"/>
      <c r="Y33" s="1"/>
      <c r="Z33" s="1"/>
    </row>
    <row r="34" spans="1:26" ht="12" customHeight="1" x14ac:dyDescent="0.2">
      <c r="A34" s="15" t="s">
        <v>533</v>
      </c>
      <c r="B34" s="15">
        <v>385</v>
      </c>
      <c r="C34" s="81">
        <v>17</v>
      </c>
      <c r="D34" s="82">
        <f t="shared" si="16"/>
        <v>9.0425531914893623E-2</v>
      </c>
      <c r="E34" s="66">
        <v>112</v>
      </c>
      <c r="F34" s="67">
        <f t="shared" si="17"/>
        <v>0.5957446808510638</v>
      </c>
      <c r="G34" s="103">
        <v>0</v>
      </c>
      <c r="H34" s="104">
        <f t="shared" si="18"/>
        <v>0</v>
      </c>
      <c r="I34" s="139">
        <v>54</v>
      </c>
      <c r="J34" s="140">
        <f t="shared" si="19"/>
        <v>0.28723404255319152</v>
      </c>
      <c r="K34" s="15">
        <v>5</v>
      </c>
      <c r="L34" s="17">
        <f t="shared" si="20"/>
        <v>2.6595744680851064E-2</v>
      </c>
      <c r="M34" s="15">
        <f t="shared" si="21"/>
        <v>188</v>
      </c>
      <c r="N34" s="17">
        <f t="shared" si="22"/>
        <v>0.48831168831168831</v>
      </c>
      <c r="O34" s="29">
        <f>B34-M34</f>
        <v>197</v>
      </c>
      <c r="P34" s="17">
        <f t="shared" si="23"/>
        <v>0.51168831168831164</v>
      </c>
      <c r="Q34" s="1"/>
      <c r="R34" s="1"/>
      <c r="S34" s="1"/>
      <c r="T34" s="1"/>
      <c r="U34" s="1"/>
      <c r="V34" s="1"/>
      <c r="W34" s="1"/>
      <c r="X34" s="1"/>
      <c r="Y34" s="1"/>
      <c r="Z34" s="1"/>
    </row>
    <row r="35" spans="1:26" ht="12" customHeight="1" x14ac:dyDescent="0.2">
      <c r="A35" s="15" t="s">
        <v>534</v>
      </c>
      <c r="B35" s="15">
        <v>245</v>
      </c>
      <c r="C35" s="81">
        <v>11</v>
      </c>
      <c r="D35" s="82">
        <f t="shared" si="16"/>
        <v>0.1</v>
      </c>
      <c r="E35" s="66">
        <v>67</v>
      </c>
      <c r="F35" s="67">
        <f t="shared" si="17"/>
        <v>0.60909090909090913</v>
      </c>
      <c r="G35" s="103">
        <v>0</v>
      </c>
      <c r="H35" s="104">
        <f t="shared" si="18"/>
        <v>0</v>
      </c>
      <c r="I35" s="139">
        <v>26</v>
      </c>
      <c r="J35" s="140">
        <f t="shared" si="19"/>
        <v>0.23636363636363636</v>
      </c>
      <c r="K35" s="15">
        <v>6</v>
      </c>
      <c r="L35" s="17">
        <f t="shared" si="20"/>
        <v>5.4545454545454543E-2</v>
      </c>
      <c r="M35" s="15">
        <f t="shared" si="21"/>
        <v>110</v>
      </c>
      <c r="N35" s="17">
        <f t="shared" si="22"/>
        <v>0.44897959183673469</v>
      </c>
      <c r="O35" s="29">
        <f>B35-M35</f>
        <v>135</v>
      </c>
      <c r="P35" s="17">
        <f t="shared" si="23"/>
        <v>0.55102040816326525</v>
      </c>
      <c r="Q35" s="1"/>
      <c r="R35" s="1"/>
      <c r="S35" s="1"/>
      <c r="T35" s="1"/>
      <c r="U35" s="1"/>
      <c r="V35" s="1"/>
      <c r="W35" s="1"/>
      <c r="X35" s="1"/>
      <c r="Y35" s="1"/>
      <c r="Z35" s="1"/>
    </row>
    <row r="36" spans="1:26" ht="12" customHeight="1" x14ac:dyDescent="0.2">
      <c r="A36" s="15" t="s">
        <v>123</v>
      </c>
      <c r="B36" s="15">
        <v>257</v>
      </c>
      <c r="C36" s="81">
        <v>12</v>
      </c>
      <c r="D36" s="82">
        <f t="shared" si="16"/>
        <v>9.4488188976377951E-2</v>
      </c>
      <c r="E36" s="66">
        <v>85</v>
      </c>
      <c r="F36" s="67">
        <f t="shared" si="17"/>
        <v>0.6692913385826772</v>
      </c>
      <c r="G36" s="103">
        <v>0</v>
      </c>
      <c r="H36" s="104">
        <f t="shared" si="18"/>
        <v>0</v>
      </c>
      <c r="I36" s="139">
        <v>28</v>
      </c>
      <c r="J36" s="140">
        <f t="shared" si="19"/>
        <v>0.22047244094488189</v>
      </c>
      <c r="K36" s="15">
        <v>2</v>
      </c>
      <c r="L36" s="17">
        <f t="shared" si="20"/>
        <v>1.5748031496062992E-2</v>
      </c>
      <c r="M36" s="15">
        <f t="shared" si="21"/>
        <v>127</v>
      </c>
      <c r="N36" s="17">
        <f t="shared" si="22"/>
        <v>0.49416342412451364</v>
      </c>
      <c r="O36" s="29">
        <f>B36-M36</f>
        <v>130</v>
      </c>
      <c r="P36" s="17">
        <f t="shared" si="23"/>
        <v>0.50583657587548636</v>
      </c>
      <c r="Q36" s="1"/>
      <c r="R36" s="1"/>
      <c r="S36" s="1"/>
      <c r="T36" s="1"/>
      <c r="U36" s="1"/>
      <c r="V36" s="1"/>
      <c r="W36" s="1"/>
      <c r="X36" s="1"/>
      <c r="Y36" s="1"/>
      <c r="Z36" s="1"/>
    </row>
    <row r="37" spans="1:26" ht="12" customHeight="1" x14ac:dyDescent="0.2">
      <c r="A37" s="12" t="s">
        <v>120</v>
      </c>
      <c r="B37" s="12">
        <f>SUM(B32:B36)</f>
        <v>1725</v>
      </c>
      <c r="C37" s="78">
        <f>SUM(C32:C36)</f>
        <v>101</v>
      </c>
      <c r="D37" s="79">
        <f t="shared" si="16"/>
        <v>0.10140562248995984</v>
      </c>
      <c r="E37" s="63">
        <f>SUM(E32:E36)</f>
        <v>604</v>
      </c>
      <c r="F37" s="64">
        <f t="shared" si="17"/>
        <v>0.60642570281124497</v>
      </c>
      <c r="G37" s="100">
        <f>SUM(G32:G36)</f>
        <v>1</v>
      </c>
      <c r="H37" s="101">
        <f t="shared" si="18"/>
        <v>1.004016064257028E-3</v>
      </c>
      <c r="I37" s="136">
        <f>SUM(I32:I36)</f>
        <v>275</v>
      </c>
      <c r="J37" s="137">
        <f t="shared" si="19"/>
        <v>0.27610441767068272</v>
      </c>
      <c r="K37" s="12">
        <f>SUM(K32:K36)</f>
        <v>15</v>
      </c>
      <c r="L37" s="13">
        <f t="shared" si="20"/>
        <v>1.5060240963855422E-2</v>
      </c>
      <c r="M37" s="12">
        <f t="shared" si="21"/>
        <v>996</v>
      </c>
      <c r="N37" s="13">
        <f t="shared" si="22"/>
        <v>0.57739130434782604</v>
      </c>
      <c r="O37" s="12">
        <f>SUM(O32:O36)</f>
        <v>729</v>
      </c>
      <c r="P37" s="13">
        <f t="shared" si="23"/>
        <v>0.4226086956521739</v>
      </c>
      <c r="Q37" s="1"/>
      <c r="R37" s="1"/>
      <c r="S37" s="1"/>
      <c r="T37" s="1"/>
      <c r="U37" s="1"/>
      <c r="V37" s="1"/>
      <c r="W37" s="1"/>
      <c r="X37" s="1"/>
      <c r="Y37" s="1"/>
      <c r="Z37" s="1"/>
    </row>
    <row r="38" spans="1:26" ht="12.75" customHeight="1" x14ac:dyDescent="0.2">
      <c r="A38" s="43" t="s">
        <v>542</v>
      </c>
      <c r="B38" s="43">
        <v>29</v>
      </c>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13">
    <mergeCell ref="E2:F2"/>
    <mergeCell ref="G2:H2"/>
    <mergeCell ref="I2:J2"/>
    <mergeCell ref="A1:Q1"/>
    <mergeCell ref="M3:N3"/>
    <mergeCell ref="O3:P3"/>
    <mergeCell ref="K3:L3"/>
    <mergeCell ref="C3:D3"/>
    <mergeCell ref="E3:F3"/>
    <mergeCell ref="G3:H3"/>
    <mergeCell ref="I3:J3"/>
    <mergeCell ref="A3:B3"/>
    <mergeCell ref="A2:B2"/>
  </mergeCells>
  <pageMargins left="0.75" right="0.75" top="1" bottom="1" header="0.3" footer="0.3"/>
  <pageSetup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2"/>
  <sheetViews>
    <sheetView workbookViewId="0">
      <pane xSplit="1" ySplit="4" topLeftCell="B5" activePane="bottomRight" state="frozen"/>
      <selection pane="topRight" activeCell="B1" sqref="B1"/>
      <selection pane="bottomLeft" activeCell="A5" sqref="A5"/>
      <selection pane="bottomRight" activeCell="B32" sqref="B32"/>
    </sheetView>
  </sheetViews>
  <sheetFormatPr defaultColWidth="17.28515625" defaultRowHeight="15" customHeight="1" x14ac:dyDescent="0.2"/>
  <cols>
    <col min="1" max="1" width="6.140625" customWidth="1"/>
    <col min="2" max="2" width="8.28515625" customWidth="1"/>
    <col min="3" max="3" width="8.85546875" customWidth="1"/>
    <col min="4" max="4" width="9.5703125" customWidth="1"/>
    <col min="5" max="5" width="8.42578125" customWidth="1"/>
    <col min="6" max="6" width="9.42578125" customWidth="1"/>
    <col min="7" max="7" width="6.140625" customWidth="1"/>
    <col min="8" max="8" width="9.140625" customWidth="1"/>
    <col min="9" max="9" width="10.140625" customWidth="1"/>
    <col min="10" max="10" width="10.28515625" customWidth="1"/>
    <col min="11" max="11" width="8.85546875" customWidth="1"/>
    <col min="12" max="13" width="10.42578125" customWidth="1"/>
    <col min="14" max="14" width="12.7109375" customWidth="1"/>
    <col min="15" max="24" width="11.42578125" customWidth="1"/>
    <col min="25" max="26" width="10" customWidth="1"/>
  </cols>
  <sheetData>
    <row r="1" spans="1:26" ht="12.75" customHeight="1" x14ac:dyDescent="0.2">
      <c r="A1" s="163" t="s">
        <v>348</v>
      </c>
      <c r="B1" s="162"/>
      <c r="C1" s="162"/>
      <c r="D1" s="162"/>
      <c r="E1" s="162"/>
      <c r="F1" s="162"/>
      <c r="G1" s="162"/>
      <c r="H1" s="162"/>
      <c r="I1" s="162"/>
      <c r="J1" s="162"/>
      <c r="K1" s="162"/>
      <c r="L1" s="162"/>
      <c r="M1" s="162"/>
      <c r="N1" s="160"/>
      <c r="O1" s="1"/>
      <c r="P1" s="1"/>
      <c r="Q1" s="1"/>
      <c r="R1" s="1"/>
      <c r="S1" s="1"/>
      <c r="T1" s="1"/>
      <c r="U1" s="1"/>
      <c r="V1" s="1"/>
      <c r="W1" s="1"/>
      <c r="X1" s="1"/>
      <c r="Y1" s="1"/>
      <c r="Z1" s="1"/>
    </row>
    <row r="2" spans="1:26" ht="12.75" customHeight="1" x14ac:dyDescent="0.2">
      <c r="A2" s="155" t="s">
        <v>103</v>
      </c>
      <c r="B2" s="160"/>
      <c r="C2" s="156" t="s">
        <v>519</v>
      </c>
      <c r="D2" s="167"/>
      <c r="E2" s="157" t="s">
        <v>349</v>
      </c>
      <c r="F2" s="164"/>
      <c r="G2" s="170" t="s">
        <v>520</v>
      </c>
      <c r="H2" s="169"/>
      <c r="I2" s="161"/>
      <c r="J2" s="162"/>
      <c r="K2" s="162"/>
      <c r="L2" s="162"/>
      <c r="M2" s="162"/>
      <c r="N2" s="160"/>
      <c r="O2" s="1"/>
      <c r="P2" s="1"/>
      <c r="Q2" s="1"/>
      <c r="R2" s="1"/>
      <c r="S2" s="1"/>
      <c r="T2" s="1"/>
      <c r="U2" s="1"/>
      <c r="V2" s="1"/>
      <c r="W2" s="1"/>
      <c r="X2" s="1"/>
      <c r="Y2" s="1"/>
      <c r="Z2" s="1"/>
    </row>
    <row r="3" spans="1:26" ht="12.75" customHeight="1" x14ac:dyDescent="0.2">
      <c r="A3" s="154" t="s">
        <v>101</v>
      </c>
      <c r="B3" s="160"/>
      <c r="C3" s="152" t="s">
        <v>40</v>
      </c>
      <c r="D3" s="167"/>
      <c r="E3" s="148" t="s">
        <v>43</v>
      </c>
      <c r="F3" s="164"/>
      <c r="G3" s="168" t="s">
        <v>521</v>
      </c>
      <c r="H3" s="169"/>
      <c r="I3" s="147" t="s">
        <v>107</v>
      </c>
      <c r="J3" s="160"/>
      <c r="K3" s="147" t="s">
        <v>30</v>
      </c>
      <c r="L3" s="160"/>
      <c r="M3" s="147" t="s">
        <v>108</v>
      </c>
      <c r="N3" s="160"/>
      <c r="O3" s="1"/>
      <c r="P3" s="1"/>
      <c r="Q3" s="1"/>
      <c r="R3" s="1"/>
      <c r="S3" s="1"/>
      <c r="T3" s="1"/>
      <c r="U3" s="1"/>
      <c r="V3" s="1"/>
      <c r="W3" s="1"/>
      <c r="X3" s="1"/>
      <c r="Y3" s="1"/>
      <c r="Z3" s="1"/>
    </row>
    <row r="4" spans="1:26" ht="12.75" customHeight="1" x14ac:dyDescent="0.2">
      <c r="A4" s="12"/>
      <c r="B4" s="12">
        <f>+B9+B10+B19+B20+B26+B27</f>
        <v>5021</v>
      </c>
      <c r="C4" s="78">
        <f>SUM(C9,C19,C26,C27)</f>
        <v>1317</v>
      </c>
      <c r="D4" s="79">
        <f>IF((K4=0),"",(C4/K4))</f>
        <v>0.44811160258591359</v>
      </c>
      <c r="E4" s="63">
        <f>SUM(E9,E19,E26,E27)</f>
        <v>1464</v>
      </c>
      <c r="F4" s="64">
        <f>IF((K4=0),"",(E4/K4))</f>
        <v>0.49812861517522966</v>
      </c>
      <c r="G4" s="100">
        <f>SUM(G9,G19,G26,G27)</f>
        <v>7</v>
      </c>
      <c r="H4" s="101">
        <f>IF((K4=0),"",(G4/K4))</f>
        <v>2.3817625042531474E-3</v>
      </c>
      <c r="I4" s="12">
        <f>SUM(I9,I19,I26,I27)</f>
        <v>151</v>
      </c>
      <c r="J4" s="13">
        <f>IF((K4=0),"",(I4/K4))</f>
        <v>5.1378019734603604E-2</v>
      </c>
      <c r="K4" s="12">
        <f>SUM(K9,K19,K26,K27)</f>
        <v>2939</v>
      </c>
      <c r="L4" s="13">
        <f>IF((B4=0),"",(K4/B4))</f>
        <v>0.58534156542521409</v>
      </c>
      <c r="M4" s="12">
        <f>B4-K4</f>
        <v>2082</v>
      </c>
      <c r="N4" s="13">
        <f>IF((B4=0),"",(M4/B4))</f>
        <v>0.41465843457478591</v>
      </c>
      <c r="O4" s="1"/>
      <c r="P4" s="1"/>
      <c r="Q4" s="1"/>
      <c r="R4" s="1"/>
      <c r="S4" s="1"/>
      <c r="T4" s="1"/>
      <c r="U4" s="1"/>
      <c r="V4" s="1"/>
      <c r="W4" s="1"/>
      <c r="X4" s="1"/>
      <c r="Y4" s="1"/>
      <c r="Z4" s="1"/>
    </row>
    <row r="5" spans="1:26" ht="12.75" customHeight="1" x14ac:dyDescent="0.2">
      <c r="A5" s="14" t="s">
        <v>350</v>
      </c>
      <c r="B5" s="32" t="s">
        <v>351</v>
      </c>
      <c r="C5" s="86"/>
      <c r="D5" s="86"/>
      <c r="E5" s="90"/>
      <c r="F5" s="90"/>
      <c r="G5" s="102"/>
      <c r="H5" s="102"/>
      <c r="I5" s="16"/>
      <c r="J5" s="16"/>
      <c r="K5" s="16"/>
      <c r="L5" s="16"/>
      <c r="M5" s="16"/>
      <c r="N5" s="16"/>
      <c r="O5" s="1"/>
      <c r="P5" s="1"/>
      <c r="Q5" s="1"/>
      <c r="R5" s="1"/>
      <c r="S5" s="1"/>
      <c r="T5" s="1"/>
      <c r="U5" s="1"/>
      <c r="V5" s="1"/>
      <c r="W5" s="1"/>
      <c r="X5" s="1"/>
      <c r="Y5" s="1"/>
      <c r="Z5" s="1"/>
    </row>
    <row r="6" spans="1:26" ht="12.75" customHeight="1" x14ac:dyDescent="0.2">
      <c r="A6" s="15" t="s">
        <v>191</v>
      </c>
      <c r="B6" s="15">
        <v>387</v>
      </c>
      <c r="C6" s="81">
        <v>114</v>
      </c>
      <c r="D6" s="82">
        <f>IF((K6=0),"",(C6/K6))</f>
        <v>0.51818181818181819</v>
      </c>
      <c r="E6" s="66">
        <v>98</v>
      </c>
      <c r="F6" s="67">
        <f>IF((K6=0),"",(E6/K6))</f>
        <v>0.44545454545454544</v>
      </c>
      <c r="G6" s="103">
        <v>0</v>
      </c>
      <c r="H6" s="104">
        <f>IF((K6=0),"",(G6/K6))</f>
        <v>0</v>
      </c>
      <c r="I6" s="15">
        <v>8</v>
      </c>
      <c r="J6" s="17">
        <f>IF((K6=0),"",(I6/K6))</f>
        <v>3.6363636363636362E-2</v>
      </c>
      <c r="K6" s="15">
        <f>SUM(C6,E6,G6,I6)</f>
        <v>220</v>
      </c>
      <c r="L6" s="17">
        <f>IF((B6=0),"",(K6/B6))</f>
        <v>0.5684754521963824</v>
      </c>
      <c r="M6" s="15">
        <f>B6-K6</f>
        <v>167</v>
      </c>
      <c r="N6" s="17">
        <f>IF((B6=0),"",(M6/B6))</f>
        <v>0.4315245478036176</v>
      </c>
      <c r="O6" s="1"/>
      <c r="P6" s="1"/>
      <c r="Q6" s="1"/>
      <c r="R6" s="1"/>
      <c r="S6" s="1"/>
      <c r="T6" s="1"/>
      <c r="U6" s="1"/>
      <c r="V6" s="1"/>
      <c r="W6" s="1"/>
      <c r="X6" s="1"/>
      <c r="Y6" s="1"/>
      <c r="Z6" s="1"/>
    </row>
    <row r="7" spans="1:26" ht="12.75" customHeight="1" x14ac:dyDescent="0.2">
      <c r="A7" s="15" t="s">
        <v>192</v>
      </c>
      <c r="B7" s="15">
        <v>310</v>
      </c>
      <c r="C7" s="81">
        <v>70</v>
      </c>
      <c r="D7" s="82">
        <f>IF((K7=0),"",(C7/K7))</f>
        <v>0.40462427745664742</v>
      </c>
      <c r="E7" s="66">
        <v>99</v>
      </c>
      <c r="F7" s="67">
        <f>IF((K7=0),"",(E7/K7))</f>
        <v>0.5722543352601156</v>
      </c>
      <c r="G7" s="103">
        <v>1</v>
      </c>
      <c r="H7" s="104">
        <f>IF((K7=0),"",(G7/K7))</f>
        <v>5.7803468208092483E-3</v>
      </c>
      <c r="I7" s="15">
        <v>3</v>
      </c>
      <c r="J7" s="17">
        <f>IF((K7=0),"",(I7/K7))</f>
        <v>1.7341040462427744E-2</v>
      </c>
      <c r="K7" s="15">
        <f>SUM(C7,E7,G7,I7)</f>
        <v>173</v>
      </c>
      <c r="L7" s="17">
        <f>IF((B7=0),"",(K7/B7))</f>
        <v>0.5580645161290323</v>
      </c>
      <c r="M7" s="29">
        <f>B7-K7</f>
        <v>137</v>
      </c>
      <c r="N7" s="17">
        <f>IF((B7=0),"",(M7/B7))</f>
        <v>0.44193548387096776</v>
      </c>
      <c r="O7" s="1"/>
      <c r="P7" s="1"/>
      <c r="Q7" s="1"/>
      <c r="R7" s="1"/>
      <c r="S7" s="1"/>
      <c r="T7" s="1"/>
      <c r="U7" s="1"/>
      <c r="V7" s="1"/>
      <c r="W7" s="1"/>
      <c r="X7" s="1"/>
      <c r="Y7" s="1"/>
      <c r="Z7" s="1"/>
    </row>
    <row r="8" spans="1:26" ht="12.75" customHeight="1" x14ac:dyDescent="0.2">
      <c r="A8" s="15" t="s">
        <v>193</v>
      </c>
      <c r="B8" s="15">
        <v>366</v>
      </c>
      <c r="C8" s="81">
        <v>100</v>
      </c>
      <c r="D8" s="82">
        <f>IF((K8=0),"",(C8/K8))</f>
        <v>0.46082949308755761</v>
      </c>
      <c r="E8" s="66">
        <v>110</v>
      </c>
      <c r="F8" s="67">
        <f>IF((K8=0),"",(E8/K8))</f>
        <v>0.50691244239631339</v>
      </c>
      <c r="G8" s="103">
        <v>0</v>
      </c>
      <c r="H8" s="104">
        <f>IF((K8=0),"",(G8/K8))</f>
        <v>0</v>
      </c>
      <c r="I8" s="15">
        <v>7</v>
      </c>
      <c r="J8" s="17">
        <f>IF((K8=0),"",(I8/K8))</f>
        <v>3.2258064516129031E-2</v>
      </c>
      <c r="K8" s="15">
        <f>SUM(C8,E8,G8,I8)</f>
        <v>217</v>
      </c>
      <c r="L8" s="17">
        <f>IF((B8=0),"",(K8/B8))</f>
        <v>0.59289617486338797</v>
      </c>
      <c r="M8" s="29">
        <f>B8-K8</f>
        <v>149</v>
      </c>
      <c r="N8" s="17">
        <f>IF((B8=0),"",(M8/B8))</f>
        <v>0.40710382513661203</v>
      </c>
      <c r="O8" s="1"/>
      <c r="P8" s="1"/>
      <c r="Q8" s="1"/>
      <c r="R8" s="1"/>
      <c r="S8" s="1"/>
      <c r="T8" s="1"/>
      <c r="U8" s="1"/>
      <c r="V8" s="1"/>
      <c r="W8" s="1"/>
      <c r="X8" s="1"/>
      <c r="Y8" s="1"/>
      <c r="Z8" s="1"/>
    </row>
    <row r="9" spans="1:26" ht="12.75" customHeight="1" x14ac:dyDescent="0.2">
      <c r="A9" s="12" t="s">
        <v>120</v>
      </c>
      <c r="B9" s="12">
        <f>SUM(B6:B8)</f>
        <v>1063</v>
      </c>
      <c r="C9" s="78">
        <f>SUM(C6:C8)</f>
        <v>284</v>
      </c>
      <c r="D9" s="79">
        <f>IF((K9=0),"",(C9/K9))</f>
        <v>0.46557377049180326</v>
      </c>
      <c r="E9" s="63">
        <f>SUM(E6:E8)</f>
        <v>307</v>
      </c>
      <c r="F9" s="64">
        <f>IF((K9=0),"",(E9/K9))</f>
        <v>0.50327868852459012</v>
      </c>
      <c r="G9" s="100">
        <f>SUM(G6:G8)</f>
        <v>1</v>
      </c>
      <c r="H9" s="101">
        <f>IF((K9=0),"",(G9/K9))</f>
        <v>1.639344262295082E-3</v>
      </c>
      <c r="I9" s="12">
        <f>SUM(I6:I8)</f>
        <v>18</v>
      </c>
      <c r="J9" s="13">
        <f>IF((K9=0),"",(I9/K9))</f>
        <v>2.9508196721311476E-2</v>
      </c>
      <c r="K9" s="12">
        <f>SUM(K6:K8)</f>
        <v>610</v>
      </c>
      <c r="L9" s="13">
        <f>IF((B9=0),"",(K9/B9))</f>
        <v>0.57384760112888056</v>
      </c>
      <c r="M9" s="12">
        <f>SUM(M6:M8)</f>
        <v>453</v>
      </c>
      <c r="N9" s="13">
        <f>IF((B9=0),"",(M9/B9))</f>
        <v>0.4261523988711195</v>
      </c>
      <c r="O9" s="1"/>
      <c r="P9" s="1"/>
      <c r="Q9" s="1"/>
      <c r="R9" s="1"/>
      <c r="S9" s="1"/>
      <c r="T9" s="1"/>
      <c r="U9" s="1"/>
      <c r="V9" s="1"/>
      <c r="W9" s="1"/>
      <c r="X9" s="1"/>
      <c r="Y9" s="1"/>
      <c r="Z9" s="1"/>
    </row>
    <row r="10" spans="1:26" s="53" customFormat="1" ht="12.75" customHeight="1" x14ac:dyDescent="0.2">
      <c r="A10" s="32" t="s">
        <v>542</v>
      </c>
      <c r="B10" s="32">
        <v>10</v>
      </c>
      <c r="C10" s="78"/>
      <c r="D10" s="79"/>
      <c r="E10" s="63"/>
      <c r="F10" s="64"/>
      <c r="G10" s="100"/>
      <c r="H10" s="101"/>
      <c r="I10" s="32"/>
      <c r="J10" s="28"/>
      <c r="K10" s="32"/>
      <c r="L10" s="28"/>
      <c r="M10" s="32"/>
      <c r="N10" s="28"/>
      <c r="O10" s="1"/>
      <c r="P10" s="1"/>
      <c r="Q10" s="1"/>
      <c r="R10" s="1"/>
      <c r="S10" s="1"/>
      <c r="T10" s="1"/>
      <c r="U10" s="1"/>
      <c r="V10" s="1"/>
      <c r="W10" s="1"/>
      <c r="X10" s="1"/>
      <c r="Y10" s="1"/>
      <c r="Z10" s="1"/>
    </row>
    <row r="11" spans="1:26" ht="12.75" customHeight="1" x14ac:dyDescent="0.2">
      <c r="A11" s="14" t="s">
        <v>352</v>
      </c>
      <c r="B11" s="32" t="s">
        <v>353</v>
      </c>
      <c r="C11" s="86"/>
      <c r="D11" s="86"/>
      <c r="E11" s="90"/>
      <c r="F11" s="90"/>
      <c r="G11" s="102"/>
      <c r="H11" s="102"/>
      <c r="I11" s="16"/>
      <c r="J11" s="16"/>
      <c r="K11" s="16"/>
      <c r="L11" s="16"/>
      <c r="M11" s="16"/>
      <c r="N11" s="16"/>
      <c r="O11" s="1"/>
      <c r="P11" s="1"/>
      <c r="Q11" s="1"/>
      <c r="R11" s="1"/>
      <c r="S11" s="1"/>
      <c r="T11" s="1"/>
      <c r="U11" s="1"/>
      <c r="V11" s="1"/>
      <c r="W11" s="1"/>
      <c r="X11" s="1"/>
      <c r="Y11" s="1"/>
      <c r="Z11" s="1"/>
    </row>
    <row r="12" spans="1:26" ht="12.75" customHeight="1" x14ac:dyDescent="0.2">
      <c r="A12" s="15" t="s">
        <v>136</v>
      </c>
      <c r="B12" s="15">
        <v>399</v>
      </c>
      <c r="C12" s="81">
        <v>84</v>
      </c>
      <c r="D12" s="82">
        <f t="shared" ref="D12:D19" si="0">IF((K12=0),"",(C12/K12))</f>
        <v>0.38181818181818183</v>
      </c>
      <c r="E12" s="66">
        <v>123</v>
      </c>
      <c r="F12" s="67">
        <f t="shared" ref="F12:F19" si="1">IF((K12=0),"",(E12/K12))</f>
        <v>0.55909090909090908</v>
      </c>
      <c r="G12" s="103">
        <v>2</v>
      </c>
      <c r="H12" s="104">
        <f t="shared" ref="H12:H19" si="2">IF((K12=0),"",(G12/K12))</f>
        <v>9.0909090909090905E-3</v>
      </c>
      <c r="I12" s="15">
        <v>11</v>
      </c>
      <c r="J12" s="17">
        <f t="shared" ref="J12:J19" si="3">IF((K12=0),"",(I12/K12))</f>
        <v>0.05</v>
      </c>
      <c r="K12" s="15">
        <f t="shared" ref="K12:K18" si="4">SUM(C12,E12,G12,I12)</f>
        <v>220</v>
      </c>
      <c r="L12" s="17">
        <f t="shared" ref="L12:L19" si="5">IF((B12=0),"",(K12/B12))</f>
        <v>0.55137844611528819</v>
      </c>
      <c r="M12" s="29">
        <f t="shared" ref="M12:M18" si="6">B12-K12</f>
        <v>179</v>
      </c>
      <c r="N12" s="17">
        <f t="shared" ref="N12:N19" si="7">IF((B12=0),"",(M12/B12))</f>
        <v>0.44862155388471175</v>
      </c>
      <c r="O12" s="1"/>
      <c r="P12" s="1"/>
      <c r="Q12" s="1"/>
      <c r="R12" s="1"/>
      <c r="S12" s="1"/>
      <c r="T12" s="1"/>
      <c r="U12" s="1"/>
      <c r="V12" s="1"/>
      <c r="W12" s="1"/>
      <c r="X12" s="1"/>
      <c r="Y12" s="1"/>
      <c r="Z12" s="1"/>
    </row>
    <row r="13" spans="1:26" ht="12.75" customHeight="1" x14ac:dyDescent="0.2">
      <c r="A13" s="15" t="s">
        <v>143</v>
      </c>
      <c r="B13" s="15">
        <v>334</v>
      </c>
      <c r="C13" s="81">
        <v>119</v>
      </c>
      <c r="D13" s="82">
        <f t="shared" si="0"/>
        <v>0.40067340067340068</v>
      </c>
      <c r="E13" s="66">
        <v>167</v>
      </c>
      <c r="F13" s="67">
        <f t="shared" si="1"/>
        <v>0.56228956228956228</v>
      </c>
      <c r="G13" s="103">
        <v>0</v>
      </c>
      <c r="H13" s="104">
        <f t="shared" si="2"/>
        <v>0</v>
      </c>
      <c r="I13" s="15">
        <v>11</v>
      </c>
      <c r="J13" s="17">
        <f t="shared" si="3"/>
        <v>3.7037037037037035E-2</v>
      </c>
      <c r="K13" s="15">
        <f t="shared" si="4"/>
        <v>297</v>
      </c>
      <c r="L13" s="17">
        <f t="shared" si="5"/>
        <v>0.8892215568862275</v>
      </c>
      <c r="M13" s="29">
        <f t="shared" si="6"/>
        <v>37</v>
      </c>
      <c r="N13" s="17">
        <f t="shared" si="7"/>
        <v>0.11077844311377245</v>
      </c>
      <c r="O13" s="1"/>
      <c r="P13" s="1"/>
      <c r="Q13" s="1"/>
      <c r="R13" s="1"/>
      <c r="S13" s="1"/>
      <c r="T13" s="1"/>
      <c r="U13" s="1"/>
      <c r="V13" s="1"/>
      <c r="W13" s="1"/>
      <c r="X13" s="1"/>
      <c r="Y13" s="1"/>
      <c r="Z13" s="1"/>
    </row>
    <row r="14" spans="1:26" ht="12.75" customHeight="1" x14ac:dyDescent="0.2">
      <c r="A14" s="15" t="s">
        <v>196</v>
      </c>
      <c r="B14" s="15">
        <v>414</v>
      </c>
      <c r="C14" s="81">
        <v>104</v>
      </c>
      <c r="D14" s="82">
        <f t="shared" si="0"/>
        <v>0.43514644351464438</v>
      </c>
      <c r="E14" s="66">
        <v>113</v>
      </c>
      <c r="F14" s="67">
        <f t="shared" si="1"/>
        <v>0.47280334728033474</v>
      </c>
      <c r="G14" s="103">
        <v>1</v>
      </c>
      <c r="H14" s="104">
        <f t="shared" si="2"/>
        <v>4.1841004184100415E-3</v>
      </c>
      <c r="I14" s="15">
        <v>21</v>
      </c>
      <c r="J14" s="17">
        <f t="shared" si="3"/>
        <v>8.7866108786610872E-2</v>
      </c>
      <c r="K14" s="15">
        <f t="shared" si="4"/>
        <v>239</v>
      </c>
      <c r="L14" s="17">
        <f t="shared" si="5"/>
        <v>0.57729468599033817</v>
      </c>
      <c r="M14" s="29">
        <f t="shared" si="6"/>
        <v>175</v>
      </c>
      <c r="N14" s="17">
        <f t="shared" si="7"/>
        <v>0.42270531400966183</v>
      </c>
      <c r="O14" s="1"/>
      <c r="P14" s="1"/>
      <c r="Q14" s="1"/>
      <c r="R14" s="1"/>
      <c r="S14" s="1"/>
      <c r="T14" s="1"/>
      <c r="U14" s="1"/>
      <c r="V14" s="1"/>
      <c r="W14" s="1"/>
      <c r="X14" s="1"/>
      <c r="Y14" s="1"/>
      <c r="Z14" s="1"/>
    </row>
    <row r="15" spans="1:26" ht="12.75" customHeight="1" x14ac:dyDescent="0.2">
      <c r="A15" s="15" t="s">
        <v>215</v>
      </c>
      <c r="B15" s="15">
        <v>375</v>
      </c>
      <c r="C15" s="81">
        <v>79</v>
      </c>
      <c r="D15" s="82">
        <f t="shared" si="0"/>
        <v>0.35426008968609868</v>
      </c>
      <c r="E15" s="66">
        <v>134</v>
      </c>
      <c r="F15" s="67">
        <f t="shared" si="1"/>
        <v>0.60089686098654704</v>
      </c>
      <c r="G15" s="103">
        <v>0</v>
      </c>
      <c r="H15" s="104">
        <f t="shared" si="2"/>
        <v>0</v>
      </c>
      <c r="I15" s="15">
        <v>10</v>
      </c>
      <c r="J15" s="17">
        <f t="shared" si="3"/>
        <v>4.4843049327354258E-2</v>
      </c>
      <c r="K15" s="15">
        <f t="shared" si="4"/>
        <v>223</v>
      </c>
      <c r="L15" s="17">
        <f t="shared" si="5"/>
        <v>0.59466666666666668</v>
      </c>
      <c r="M15" s="29">
        <f t="shared" si="6"/>
        <v>152</v>
      </c>
      <c r="N15" s="17">
        <f t="shared" si="7"/>
        <v>0.40533333333333332</v>
      </c>
      <c r="O15" s="1"/>
      <c r="P15" s="1"/>
      <c r="Q15" s="1"/>
      <c r="R15" s="1"/>
      <c r="S15" s="1"/>
      <c r="T15" s="1"/>
      <c r="U15" s="1"/>
      <c r="V15" s="1"/>
      <c r="W15" s="1"/>
      <c r="X15" s="1"/>
      <c r="Y15" s="1"/>
      <c r="Z15" s="1"/>
    </row>
    <row r="16" spans="1:26" ht="12.75" customHeight="1" x14ac:dyDescent="0.2">
      <c r="A16" s="15" t="s">
        <v>139</v>
      </c>
      <c r="B16" s="15">
        <v>311</v>
      </c>
      <c r="C16" s="81">
        <v>53</v>
      </c>
      <c r="D16" s="82">
        <f t="shared" si="0"/>
        <v>0.29943502824858759</v>
      </c>
      <c r="E16" s="66">
        <v>109</v>
      </c>
      <c r="F16" s="67">
        <f t="shared" si="1"/>
        <v>0.61581920903954801</v>
      </c>
      <c r="G16" s="103">
        <v>0</v>
      </c>
      <c r="H16" s="104">
        <f t="shared" si="2"/>
        <v>0</v>
      </c>
      <c r="I16" s="15">
        <v>15</v>
      </c>
      <c r="J16" s="17">
        <f t="shared" si="3"/>
        <v>8.4745762711864403E-2</v>
      </c>
      <c r="K16" s="15">
        <f t="shared" si="4"/>
        <v>177</v>
      </c>
      <c r="L16" s="17">
        <f t="shared" si="5"/>
        <v>0.56913183279742763</v>
      </c>
      <c r="M16" s="29">
        <f t="shared" si="6"/>
        <v>134</v>
      </c>
      <c r="N16" s="17">
        <f t="shared" si="7"/>
        <v>0.43086816720257237</v>
      </c>
      <c r="O16" s="1"/>
      <c r="P16" s="1"/>
      <c r="Q16" s="1"/>
      <c r="R16" s="1"/>
      <c r="S16" s="1"/>
      <c r="T16" s="1"/>
      <c r="U16" s="1"/>
      <c r="V16" s="1"/>
      <c r="W16" s="1"/>
      <c r="X16" s="1"/>
      <c r="Y16" s="1"/>
      <c r="Z16" s="1"/>
    </row>
    <row r="17" spans="1:26" ht="12.75" customHeight="1" x14ac:dyDescent="0.2">
      <c r="A17" s="15" t="s">
        <v>201</v>
      </c>
      <c r="B17" s="15">
        <v>379</v>
      </c>
      <c r="C17" s="81">
        <v>110</v>
      </c>
      <c r="D17" s="82">
        <f t="shared" si="0"/>
        <v>0.51162790697674421</v>
      </c>
      <c r="E17" s="66">
        <v>96</v>
      </c>
      <c r="F17" s="67">
        <f t="shared" si="1"/>
        <v>0.44651162790697674</v>
      </c>
      <c r="G17" s="103">
        <v>1</v>
      </c>
      <c r="H17" s="104">
        <f t="shared" si="2"/>
        <v>4.6511627906976744E-3</v>
      </c>
      <c r="I17" s="15">
        <v>8</v>
      </c>
      <c r="J17" s="17">
        <f t="shared" si="3"/>
        <v>3.7209302325581395E-2</v>
      </c>
      <c r="K17" s="15">
        <f t="shared" si="4"/>
        <v>215</v>
      </c>
      <c r="L17" s="17">
        <f t="shared" si="5"/>
        <v>0.56728232189973615</v>
      </c>
      <c r="M17" s="29">
        <f t="shared" si="6"/>
        <v>164</v>
      </c>
      <c r="N17" s="17">
        <f t="shared" si="7"/>
        <v>0.43271767810026385</v>
      </c>
      <c r="O17" s="1"/>
      <c r="P17" s="1"/>
      <c r="Q17" s="1"/>
      <c r="R17" s="1"/>
      <c r="S17" s="1"/>
      <c r="T17" s="1"/>
      <c r="U17" s="1"/>
      <c r="V17" s="1"/>
      <c r="W17" s="1"/>
      <c r="X17" s="1"/>
      <c r="Y17" s="1"/>
      <c r="Z17" s="1"/>
    </row>
    <row r="18" spans="1:26" ht="12.75" customHeight="1" x14ac:dyDescent="0.2">
      <c r="A18" s="15" t="s">
        <v>123</v>
      </c>
      <c r="B18" s="15">
        <v>413</v>
      </c>
      <c r="C18" s="81">
        <v>81</v>
      </c>
      <c r="D18" s="82">
        <f t="shared" si="0"/>
        <v>0.37674418604651161</v>
      </c>
      <c r="E18" s="66">
        <v>120</v>
      </c>
      <c r="F18" s="67">
        <f t="shared" si="1"/>
        <v>0.55813953488372092</v>
      </c>
      <c r="G18" s="103">
        <v>0</v>
      </c>
      <c r="H18" s="104">
        <f t="shared" si="2"/>
        <v>0</v>
      </c>
      <c r="I18" s="15">
        <v>14</v>
      </c>
      <c r="J18" s="17">
        <f t="shared" si="3"/>
        <v>6.5116279069767441E-2</v>
      </c>
      <c r="K18" s="15">
        <f t="shared" si="4"/>
        <v>215</v>
      </c>
      <c r="L18" s="17">
        <f t="shared" si="5"/>
        <v>0.52058111380145278</v>
      </c>
      <c r="M18" s="29">
        <f t="shared" si="6"/>
        <v>198</v>
      </c>
      <c r="N18" s="17">
        <f t="shared" si="7"/>
        <v>0.47941888619854722</v>
      </c>
      <c r="O18" s="1"/>
      <c r="P18" s="1"/>
      <c r="Q18" s="1"/>
      <c r="R18" s="1"/>
      <c r="S18" s="1"/>
      <c r="T18" s="1"/>
      <c r="U18" s="1"/>
      <c r="V18" s="1"/>
      <c r="W18" s="1"/>
      <c r="X18" s="1"/>
      <c r="Y18" s="1"/>
      <c r="Z18" s="1"/>
    </row>
    <row r="19" spans="1:26" ht="12.75" customHeight="1" x14ac:dyDescent="0.2">
      <c r="A19" s="12" t="s">
        <v>120</v>
      </c>
      <c r="B19" s="12">
        <f>SUM(B12:B18)</f>
        <v>2625</v>
      </c>
      <c r="C19" s="78">
        <f>SUM(C12:C18)</f>
        <v>630</v>
      </c>
      <c r="D19" s="79">
        <f t="shared" si="0"/>
        <v>0.39722572509457754</v>
      </c>
      <c r="E19" s="63">
        <f>SUM(E12:E18)</f>
        <v>862</v>
      </c>
      <c r="F19" s="64">
        <f t="shared" si="1"/>
        <v>0.54350567465321564</v>
      </c>
      <c r="G19" s="100">
        <f>SUM(G12:G18)</f>
        <v>4</v>
      </c>
      <c r="H19" s="101">
        <f t="shared" si="2"/>
        <v>2.5220680958385876E-3</v>
      </c>
      <c r="I19" s="12">
        <f>SUM(I12:I18)</f>
        <v>90</v>
      </c>
      <c r="J19" s="13">
        <f t="shared" si="3"/>
        <v>5.6746532156368219E-2</v>
      </c>
      <c r="K19" s="12">
        <f>SUM(K12:K18)</f>
        <v>1586</v>
      </c>
      <c r="L19" s="13">
        <f t="shared" si="5"/>
        <v>0.60419047619047617</v>
      </c>
      <c r="M19" s="12">
        <f>SUM(M12:M18)</f>
        <v>1039</v>
      </c>
      <c r="N19" s="13">
        <f t="shared" si="7"/>
        <v>0.39580952380952383</v>
      </c>
      <c r="O19" s="1"/>
      <c r="P19" s="1"/>
      <c r="Q19" s="1"/>
      <c r="R19" s="1"/>
      <c r="S19" s="1"/>
      <c r="T19" s="1"/>
      <c r="U19" s="1"/>
      <c r="V19" s="1"/>
      <c r="W19" s="1"/>
      <c r="X19" s="1"/>
      <c r="Y19" s="1"/>
      <c r="Z19" s="1"/>
    </row>
    <row r="20" spans="1:26" s="53" customFormat="1" ht="12.75" customHeight="1" x14ac:dyDescent="0.2">
      <c r="A20" s="32" t="s">
        <v>542</v>
      </c>
      <c r="B20" s="32">
        <v>59</v>
      </c>
      <c r="C20" s="78"/>
      <c r="D20" s="79"/>
      <c r="E20" s="63"/>
      <c r="F20" s="64"/>
      <c r="G20" s="100"/>
      <c r="H20" s="101"/>
      <c r="I20" s="32"/>
      <c r="J20" s="28"/>
      <c r="K20" s="32"/>
      <c r="L20" s="28"/>
      <c r="M20" s="32"/>
      <c r="N20" s="28"/>
      <c r="O20" s="1"/>
      <c r="P20" s="1"/>
      <c r="Q20" s="1"/>
      <c r="R20" s="1"/>
      <c r="S20" s="1"/>
      <c r="T20" s="1"/>
      <c r="U20" s="1"/>
      <c r="V20" s="1"/>
      <c r="W20" s="1"/>
      <c r="X20" s="1"/>
      <c r="Y20" s="1"/>
      <c r="Z20" s="1"/>
    </row>
    <row r="21" spans="1:26" ht="12.75" customHeight="1" x14ac:dyDescent="0.2">
      <c r="A21" s="14" t="s">
        <v>354</v>
      </c>
      <c r="B21" s="32" t="s">
        <v>355</v>
      </c>
      <c r="C21" s="86"/>
      <c r="D21" s="86"/>
      <c r="E21" s="90"/>
      <c r="F21" s="90"/>
      <c r="G21" s="102"/>
      <c r="H21" s="102"/>
      <c r="I21" s="16"/>
      <c r="J21" s="16"/>
      <c r="K21" s="16"/>
      <c r="L21" s="16"/>
      <c r="M21" s="16"/>
      <c r="N21" s="16"/>
      <c r="O21" s="1"/>
      <c r="P21" s="1"/>
      <c r="Q21" s="1"/>
      <c r="R21" s="1"/>
      <c r="S21" s="1"/>
      <c r="T21" s="1"/>
      <c r="U21" s="1"/>
      <c r="V21" s="1"/>
      <c r="W21" s="1"/>
      <c r="X21" s="1"/>
      <c r="Y21" s="1"/>
      <c r="Z21" s="1"/>
    </row>
    <row r="22" spans="1:26" ht="12.75" customHeight="1" x14ac:dyDescent="0.2">
      <c r="A22" s="15" t="s">
        <v>191</v>
      </c>
      <c r="B22" s="15">
        <v>383</v>
      </c>
      <c r="C22" s="81">
        <v>125</v>
      </c>
      <c r="D22" s="82">
        <f>IF((K22=0),"",(C22/K22))</f>
        <v>0.56561085972850678</v>
      </c>
      <c r="E22" s="66">
        <v>82</v>
      </c>
      <c r="F22" s="67">
        <f>IF((K22=0),"",(E22/K22))</f>
        <v>0.37104072398190047</v>
      </c>
      <c r="G22" s="103">
        <v>1</v>
      </c>
      <c r="H22" s="104">
        <f>IF((K22=0),"",(G22/K22))</f>
        <v>4.5248868778280547E-3</v>
      </c>
      <c r="I22" s="15">
        <v>13</v>
      </c>
      <c r="J22" s="17">
        <f>IF((K22=0),"",(I22/K22))</f>
        <v>5.8823529411764705E-2</v>
      </c>
      <c r="K22" s="15">
        <f>SUM(C22,E22,G22,I22)</f>
        <v>221</v>
      </c>
      <c r="L22" s="17">
        <f>IF((B22=0),"",(K22/B22))</f>
        <v>0.57702349869451697</v>
      </c>
      <c r="M22" s="29">
        <f>B22-K22</f>
        <v>162</v>
      </c>
      <c r="N22" s="17">
        <f>IF((B22=0),"",(M22/B22))</f>
        <v>0.42297650130548303</v>
      </c>
      <c r="O22" s="1"/>
      <c r="P22" s="1"/>
      <c r="Q22" s="1"/>
      <c r="R22" s="1"/>
      <c r="S22" s="1"/>
      <c r="T22" s="1"/>
      <c r="U22" s="1"/>
      <c r="V22" s="1"/>
      <c r="W22" s="1"/>
      <c r="X22" s="1"/>
      <c r="Y22" s="1"/>
      <c r="Z22" s="1"/>
    </row>
    <row r="23" spans="1:26" ht="12.75" customHeight="1" x14ac:dyDescent="0.2">
      <c r="A23" s="15" t="s">
        <v>132</v>
      </c>
      <c r="B23" s="15">
        <v>345</v>
      </c>
      <c r="C23" s="81">
        <v>114</v>
      </c>
      <c r="D23" s="82">
        <f>IF((K23=0),"",(C23/K23))</f>
        <v>0.51583710407239824</v>
      </c>
      <c r="E23" s="66">
        <v>87</v>
      </c>
      <c r="F23" s="67">
        <f>IF((K23=0),"",(E23/K23))</f>
        <v>0.39366515837104071</v>
      </c>
      <c r="G23" s="103">
        <v>0</v>
      </c>
      <c r="H23" s="104">
        <f>IF((K23=0),"",(G23/K23))</f>
        <v>0</v>
      </c>
      <c r="I23" s="15">
        <v>20</v>
      </c>
      <c r="J23" s="17">
        <f>IF((K23=0),"",(I23/K23))</f>
        <v>9.0497737556561084E-2</v>
      </c>
      <c r="K23" s="15">
        <f>SUM(C23,E23,G23,I23)</f>
        <v>221</v>
      </c>
      <c r="L23" s="17">
        <f>IF((B23=0),"",(K23/B23))</f>
        <v>0.64057971014492754</v>
      </c>
      <c r="M23" s="29">
        <f>B23-K23</f>
        <v>124</v>
      </c>
      <c r="N23" s="17">
        <f>IF((B23=0),"",(M23/B23))</f>
        <v>0.35942028985507246</v>
      </c>
      <c r="O23" s="1"/>
      <c r="P23" s="1"/>
      <c r="Q23" s="1"/>
      <c r="R23" s="1"/>
      <c r="S23" s="1"/>
      <c r="T23" s="1"/>
      <c r="U23" s="1"/>
      <c r="V23" s="1"/>
      <c r="W23" s="1"/>
      <c r="X23" s="1"/>
      <c r="Y23" s="1"/>
      <c r="Z23" s="1"/>
    </row>
    <row r="24" spans="1:26" ht="12.75" customHeight="1" x14ac:dyDescent="0.2">
      <c r="A24" s="15" t="s">
        <v>168</v>
      </c>
      <c r="B24" s="15">
        <v>313</v>
      </c>
      <c r="C24" s="81">
        <v>105</v>
      </c>
      <c r="D24" s="82">
        <f>IF((K24=0),"",(C24/K24))</f>
        <v>0.54973821989528793</v>
      </c>
      <c r="E24" s="66">
        <v>81</v>
      </c>
      <c r="F24" s="67">
        <f>IF((K24=0),"",(E24/K24))</f>
        <v>0.42408376963350786</v>
      </c>
      <c r="G24" s="103">
        <v>1</v>
      </c>
      <c r="H24" s="104">
        <f>IF((K24=0),"",(G24/K24))</f>
        <v>5.235602094240838E-3</v>
      </c>
      <c r="I24" s="15">
        <v>4</v>
      </c>
      <c r="J24" s="17">
        <f>IF((K24=0),"",(I24/K24))</f>
        <v>2.0942408376963352E-2</v>
      </c>
      <c r="K24" s="15">
        <f>SUM(C24,E24,G24,I24)</f>
        <v>191</v>
      </c>
      <c r="L24" s="17">
        <f>IF((B24=0),"",(K24/B24))</f>
        <v>0.61022364217252401</v>
      </c>
      <c r="M24" s="29">
        <f>B24-K24</f>
        <v>122</v>
      </c>
      <c r="N24" s="17">
        <f>IF((B24=0),"",(M24/B24))</f>
        <v>0.38977635782747605</v>
      </c>
      <c r="O24" s="1"/>
      <c r="P24" s="1"/>
      <c r="Q24" s="1"/>
      <c r="R24" s="1"/>
      <c r="S24" s="1"/>
      <c r="T24" s="1"/>
      <c r="U24" s="1"/>
      <c r="V24" s="1"/>
      <c r="W24" s="1"/>
      <c r="X24" s="1"/>
      <c r="Y24" s="1"/>
      <c r="Z24" s="1"/>
    </row>
    <row r="25" spans="1:26" ht="12.75" customHeight="1" x14ac:dyDescent="0.2">
      <c r="A25" s="15" t="s">
        <v>123</v>
      </c>
      <c r="B25" s="15">
        <v>201</v>
      </c>
      <c r="C25" s="81">
        <v>59</v>
      </c>
      <c r="D25" s="82">
        <f>IF((K25=0),"",(C25/K25))</f>
        <v>0.53636363636363638</v>
      </c>
      <c r="E25" s="66">
        <v>45</v>
      </c>
      <c r="F25" s="67">
        <f>IF((K25=0),"",(E25/K25))</f>
        <v>0.40909090909090912</v>
      </c>
      <c r="G25" s="103">
        <v>0</v>
      </c>
      <c r="H25" s="104">
        <f>IF((K25=0),"",(G25/K25))</f>
        <v>0</v>
      </c>
      <c r="I25" s="15">
        <v>6</v>
      </c>
      <c r="J25" s="17">
        <f>IF((K25=0),"",(I25/K25))</f>
        <v>5.4545454545454543E-2</v>
      </c>
      <c r="K25" s="15">
        <f>SUM(C25,E25,G25,I25)</f>
        <v>110</v>
      </c>
      <c r="L25" s="17">
        <f>IF((B25=0),"",(K25/B25))</f>
        <v>0.54726368159203975</v>
      </c>
      <c r="M25" s="29">
        <f>B25-K25</f>
        <v>91</v>
      </c>
      <c r="N25" s="17">
        <f>IF((B25=0),"",(M25/B25))</f>
        <v>0.45273631840796019</v>
      </c>
      <c r="O25" s="1"/>
      <c r="P25" s="1"/>
      <c r="Q25" s="1"/>
      <c r="R25" s="1"/>
      <c r="S25" s="1"/>
      <c r="T25" s="1"/>
      <c r="U25" s="1"/>
      <c r="V25" s="1"/>
      <c r="W25" s="1"/>
      <c r="X25" s="1"/>
      <c r="Y25" s="1"/>
      <c r="Z25" s="1"/>
    </row>
    <row r="26" spans="1:26" ht="12.75" customHeight="1" x14ac:dyDescent="0.2">
      <c r="A26" s="12" t="s">
        <v>120</v>
      </c>
      <c r="B26" s="12">
        <f>SUM(B22:B25)</f>
        <v>1242</v>
      </c>
      <c r="C26" s="78">
        <f>SUM(C22:C25)</f>
        <v>403</v>
      </c>
      <c r="D26" s="79">
        <f>IF((K26=0),"",(C26/K26))</f>
        <v>0.54239569313593539</v>
      </c>
      <c r="E26" s="63">
        <f>SUM(E22:E25)</f>
        <v>295</v>
      </c>
      <c r="F26" s="64">
        <f>IF((K26=0),"",(E26/K26))</f>
        <v>0.39703903095558546</v>
      </c>
      <c r="G26" s="100">
        <f>SUM(G22:G25)</f>
        <v>2</v>
      </c>
      <c r="H26" s="101">
        <f>IF((K26=0),"",(G26/K26))</f>
        <v>2.6917900403768506E-3</v>
      </c>
      <c r="I26" s="12">
        <f>SUM(I22:I25)</f>
        <v>43</v>
      </c>
      <c r="J26" s="13">
        <f>IF((K26=0),"",(I26/K26))</f>
        <v>5.7873485868102287E-2</v>
      </c>
      <c r="K26" s="12">
        <f>SUM(K22:K25)</f>
        <v>743</v>
      </c>
      <c r="L26" s="13">
        <f>IF((B26=0),"",(K26/B26))</f>
        <v>0.59822866344605474</v>
      </c>
      <c r="M26" s="12">
        <f>SUM(M22:M25)</f>
        <v>499</v>
      </c>
      <c r="N26" s="13">
        <f>IF((B26=0),"",(M26/B26))</f>
        <v>0.40177133655394526</v>
      </c>
      <c r="O26" s="1"/>
      <c r="P26" s="1"/>
      <c r="Q26" s="1"/>
      <c r="R26" s="1"/>
      <c r="S26" s="1"/>
      <c r="T26" s="1"/>
      <c r="U26" s="1"/>
      <c r="V26" s="1"/>
      <c r="W26" s="1"/>
      <c r="X26" s="1"/>
      <c r="Y26" s="1"/>
      <c r="Z26" s="1"/>
    </row>
    <row r="27" spans="1:26" ht="12.75" customHeight="1" x14ac:dyDescent="0.2">
      <c r="A27" s="43" t="s">
        <v>542</v>
      </c>
      <c r="B27" s="43">
        <v>22</v>
      </c>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customHeight="1"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customHeight="1"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13">
    <mergeCell ref="E3:F3"/>
    <mergeCell ref="G3:H3"/>
    <mergeCell ref="I3:J3"/>
    <mergeCell ref="A1:N1"/>
    <mergeCell ref="A2:B2"/>
    <mergeCell ref="K3:L3"/>
    <mergeCell ref="M3:N3"/>
    <mergeCell ref="I2:N2"/>
    <mergeCell ref="C2:D2"/>
    <mergeCell ref="E2:F2"/>
    <mergeCell ref="G2:H2"/>
    <mergeCell ref="A3:B3"/>
    <mergeCell ref="C3:D3"/>
  </mergeCells>
  <pageMargins left="0.75" right="0.75" top="1" bottom="1" header="0.3" footer="0.3"/>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001"/>
  <sheetViews>
    <sheetView workbookViewId="0">
      <pane xSplit="1" ySplit="4" topLeftCell="B5" activePane="bottomRight" state="frozen"/>
      <selection pane="topRight" activeCell="B1" sqref="B1"/>
      <selection pane="bottomLeft" activeCell="A5" sqref="A5"/>
      <selection pane="bottomRight" activeCell="M21" sqref="M21"/>
    </sheetView>
  </sheetViews>
  <sheetFormatPr defaultColWidth="17.28515625" defaultRowHeight="15" customHeight="1" x14ac:dyDescent="0.2"/>
  <cols>
    <col min="1" max="1" width="7.7109375" customWidth="1"/>
    <col min="2" max="2" width="10.42578125" customWidth="1"/>
    <col min="3" max="3" width="10.85546875" customWidth="1"/>
    <col min="4" max="4" width="11.5703125" customWidth="1"/>
    <col min="5" max="5" width="9.5703125" customWidth="1"/>
    <col min="6" max="6" width="11.7109375" customWidth="1"/>
    <col min="7" max="7" width="9.42578125" customWidth="1"/>
    <col min="8" max="8" width="9.5703125" customWidth="1"/>
    <col min="9" max="9" width="9.7109375" customWidth="1"/>
    <col min="10" max="10" width="13.42578125" customWidth="1"/>
    <col min="11" max="11" width="11.7109375" customWidth="1"/>
    <col min="12" max="12" width="15.85546875" customWidth="1"/>
    <col min="13" max="22" width="11.42578125" customWidth="1"/>
  </cols>
  <sheetData>
    <row r="1" spans="1:22" ht="12.75" customHeight="1" x14ac:dyDescent="0.2">
      <c r="A1" s="163" t="s">
        <v>357</v>
      </c>
      <c r="B1" s="162"/>
      <c r="C1" s="162"/>
      <c r="D1" s="162"/>
      <c r="E1" s="162"/>
      <c r="F1" s="162"/>
      <c r="G1" s="162"/>
      <c r="H1" s="162"/>
      <c r="I1" s="162"/>
      <c r="J1" s="162"/>
      <c r="K1" s="162"/>
      <c r="L1" s="160"/>
      <c r="M1" s="1"/>
      <c r="N1" s="1"/>
      <c r="O1" s="1"/>
      <c r="P1" s="1"/>
      <c r="Q1" s="1"/>
      <c r="R1" s="1"/>
      <c r="S1" s="1"/>
      <c r="T1" s="1"/>
      <c r="U1" s="1"/>
      <c r="V1" s="1"/>
    </row>
    <row r="2" spans="1:22" ht="12.75" customHeight="1" x14ac:dyDescent="0.2">
      <c r="A2" s="154" t="s">
        <v>103</v>
      </c>
      <c r="B2" s="160"/>
      <c r="C2" s="173" t="s">
        <v>358</v>
      </c>
      <c r="D2" s="167"/>
      <c r="E2" s="171" t="s">
        <v>522</v>
      </c>
      <c r="F2" s="164"/>
      <c r="G2" s="172"/>
      <c r="H2" s="162"/>
      <c r="I2" s="162"/>
      <c r="J2" s="162"/>
      <c r="K2" s="162"/>
      <c r="L2" s="160"/>
      <c r="M2" s="1"/>
      <c r="N2" s="1"/>
      <c r="O2" s="1"/>
      <c r="P2" s="1"/>
      <c r="Q2" s="1"/>
      <c r="R2" s="1"/>
      <c r="S2" s="1"/>
      <c r="T2" s="1"/>
      <c r="U2" s="1"/>
      <c r="V2" s="1"/>
    </row>
    <row r="3" spans="1:22" ht="12.75" customHeight="1" x14ac:dyDescent="0.2">
      <c r="A3" s="154" t="s">
        <v>101</v>
      </c>
      <c r="B3" s="160"/>
      <c r="C3" s="152" t="s">
        <v>40</v>
      </c>
      <c r="D3" s="167"/>
      <c r="E3" s="148" t="s">
        <v>43</v>
      </c>
      <c r="F3" s="164"/>
      <c r="G3" s="147" t="s">
        <v>107</v>
      </c>
      <c r="H3" s="160"/>
      <c r="I3" s="147" t="s">
        <v>30</v>
      </c>
      <c r="J3" s="160"/>
      <c r="K3" s="147" t="s">
        <v>108</v>
      </c>
      <c r="L3" s="160"/>
      <c r="M3" s="1"/>
      <c r="N3" s="1"/>
      <c r="O3" s="1"/>
      <c r="P3" s="1"/>
      <c r="Q3" s="1"/>
      <c r="R3" s="1"/>
      <c r="S3" s="1"/>
      <c r="T3" s="1"/>
      <c r="U3" s="1"/>
      <c r="V3" s="1"/>
    </row>
    <row r="4" spans="1:22" ht="12.75" customHeight="1" x14ac:dyDescent="0.2">
      <c r="A4" s="12"/>
      <c r="B4" s="12">
        <f>+B10+B11+B16+B17+B24+B25+B30+B31+B38+B39</f>
        <v>8140</v>
      </c>
      <c r="C4" s="78">
        <f>SUM(C10,C16,C24,C30,C38,C39)</f>
        <v>2283</v>
      </c>
      <c r="D4" s="79">
        <f>IF((I4=0),"",(C4/I4))</f>
        <v>0.51073825503355708</v>
      </c>
      <c r="E4" s="63">
        <f>SUM(E10,E16,E24,E30,E38,E39)</f>
        <v>2147</v>
      </c>
      <c r="F4" s="64">
        <f>IF((I4=0),"",(E4/I4))</f>
        <v>0.48031319910514542</v>
      </c>
      <c r="G4" s="12">
        <f>SUM(G10,G16,G24,G30,G38,G39)</f>
        <v>40</v>
      </c>
      <c r="H4" s="13">
        <f>IF((I4=0),"",(G4/I4))</f>
        <v>8.948545861297539E-3</v>
      </c>
      <c r="I4" s="12">
        <f>SUM(C4,E4,G4)</f>
        <v>4470</v>
      </c>
      <c r="J4" s="13">
        <f>IF((B4=0),"",(I4/B4))</f>
        <v>0.5491400491400491</v>
      </c>
      <c r="K4" s="12">
        <f>B4-I4</f>
        <v>3670</v>
      </c>
      <c r="L4" s="13">
        <f>IF((B4=0),"",(K4/B4))</f>
        <v>0.45085995085995084</v>
      </c>
      <c r="M4" s="1"/>
      <c r="N4" s="1"/>
      <c r="O4" s="1"/>
      <c r="P4" s="1"/>
      <c r="Q4" s="1"/>
      <c r="R4" s="1"/>
      <c r="S4" s="1"/>
      <c r="T4" s="1"/>
      <c r="U4" s="1"/>
      <c r="V4" s="1"/>
    </row>
    <row r="5" spans="1:22" ht="12.75" customHeight="1" x14ac:dyDescent="0.2">
      <c r="A5" s="14" t="s">
        <v>359</v>
      </c>
      <c r="B5" s="32" t="s">
        <v>360</v>
      </c>
      <c r="C5" s="86"/>
      <c r="D5" s="86"/>
      <c r="E5" s="90"/>
      <c r="F5" s="90"/>
      <c r="G5" s="16"/>
      <c r="H5" s="16"/>
      <c r="I5" s="16"/>
      <c r="J5" s="16"/>
      <c r="K5" s="16"/>
      <c r="L5" s="16"/>
      <c r="M5" s="1"/>
      <c r="N5" s="1"/>
      <c r="O5" s="1"/>
      <c r="P5" s="1"/>
      <c r="Q5" s="1"/>
      <c r="R5" s="1"/>
      <c r="S5" s="1"/>
      <c r="T5" s="1"/>
      <c r="U5" s="1"/>
      <c r="V5" s="1"/>
    </row>
    <row r="6" spans="1:22" ht="12.75" customHeight="1" x14ac:dyDescent="0.2">
      <c r="A6" s="15" t="s">
        <v>125</v>
      </c>
      <c r="B6" s="15">
        <v>329</v>
      </c>
      <c r="C6" s="81">
        <v>93</v>
      </c>
      <c r="D6" s="82">
        <f>IF((I6=0),"",(C6/I6))</f>
        <v>0.44075829383886256</v>
      </c>
      <c r="E6" s="66">
        <v>117</v>
      </c>
      <c r="F6" s="67">
        <f>IF((I6=0),"",(E6/I6))</f>
        <v>0.5545023696682464</v>
      </c>
      <c r="G6" s="15">
        <v>1</v>
      </c>
      <c r="H6" s="17">
        <f>IF((I6=0),"",(G6/I6))</f>
        <v>4.7393364928909956E-3</v>
      </c>
      <c r="I6" s="15">
        <f>SUM(C6,E6,G6)</f>
        <v>211</v>
      </c>
      <c r="J6" s="17">
        <f>IF((B6=0),"",(I6/B6))</f>
        <v>0.64133738601823709</v>
      </c>
      <c r="K6" s="15">
        <f>B6-I6</f>
        <v>118</v>
      </c>
      <c r="L6" s="17">
        <f>IF((B6=0),"",(K6/B6))</f>
        <v>0.35866261398176291</v>
      </c>
      <c r="M6" s="1"/>
      <c r="N6" s="1"/>
      <c r="O6" s="1"/>
      <c r="P6" s="1"/>
      <c r="Q6" s="1"/>
      <c r="R6" s="1"/>
      <c r="S6" s="1"/>
      <c r="T6" s="1"/>
      <c r="U6" s="1"/>
      <c r="V6" s="1"/>
    </row>
    <row r="7" spans="1:22" ht="12.75" customHeight="1" x14ac:dyDescent="0.2">
      <c r="A7" s="15" t="s">
        <v>178</v>
      </c>
      <c r="B7" s="15">
        <v>321</v>
      </c>
      <c r="C7" s="81">
        <v>83</v>
      </c>
      <c r="D7" s="82">
        <f>IF((I7=0),"",(C7/I7))</f>
        <v>0.51234567901234573</v>
      </c>
      <c r="E7" s="66">
        <v>78</v>
      </c>
      <c r="F7" s="67">
        <f>IF((I7=0),"",(E7/I7))</f>
        <v>0.48148148148148145</v>
      </c>
      <c r="G7" s="15">
        <v>1</v>
      </c>
      <c r="H7" s="17">
        <f>IF((I7=0),"",(G7/I7))</f>
        <v>6.1728395061728392E-3</v>
      </c>
      <c r="I7" s="29">
        <f>SUM(C7,E7,G7)</f>
        <v>162</v>
      </c>
      <c r="J7" s="17">
        <f>IF((B7=0),"",(I7/B7))</f>
        <v>0.50467289719626163</v>
      </c>
      <c r="K7" s="29">
        <f>B7-I7</f>
        <v>159</v>
      </c>
      <c r="L7" s="17">
        <f>IF((B7=0),"",(K7/B7))</f>
        <v>0.49532710280373832</v>
      </c>
      <c r="M7" s="1"/>
      <c r="N7" s="1"/>
      <c r="O7" s="1"/>
      <c r="P7" s="1"/>
      <c r="Q7" s="1"/>
      <c r="R7" s="1"/>
      <c r="S7" s="1"/>
      <c r="T7" s="1"/>
      <c r="U7" s="1"/>
      <c r="V7" s="1"/>
    </row>
    <row r="8" spans="1:22" ht="12.75" customHeight="1" x14ac:dyDescent="0.2">
      <c r="A8" s="15" t="s">
        <v>535</v>
      </c>
      <c r="B8" s="15">
        <v>480</v>
      </c>
      <c r="C8" s="81">
        <v>107</v>
      </c>
      <c r="D8" s="82">
        <f>IF((I8=0),"",(C8/I8))</f>
        <v>0.3890909090909091</v>
      </c>
      <c r="E8" s="66">
        <v>164</v>
      </c>
      <c r="F8" s="67">
        <f>IF((I8=0),"",(E8/I8))</f>
        <v>0.59636363636363632</v>
      </c>
      <c r="G8" s="15">
        <v>4</v>
      </c>
      <c r="H8" s="17">
        <f>IF((I8=0),"",(G8/I8))</f>
        <v>1.4545454545454545E-2</v>
      </c>
      <c r="I8" s="29">
        <f>SUM(C8,E8,G8)</f>
        <v>275</v>
      </c>
      <c r="J8" s="17">
        <f>IF((B8=0),"",(I8/B8))</f>
        <v>0.57291666666666663</v>
      </c>
      <c r="K8" s="29">
        <f>B8-I8</f>
        <v>205</v>
      </c>
      <c r="L8" s="17">
        <f>IF((B8=0),"",(K8/B8))</f>
        <v>0.42708333333333331</v>
      </c>
      <c r="M8" s="1"/>
      <c r="N8" s="1"/>
      <c r="O8" s="1"/>
      <c r="P8" s="1"/>
      <c r="Q8" s="1"/>
      <c r="R8" s="1"/>
      <c r="S8" s="1"/>
      <c r="T8" s="1"/>
      <c r="U8" s="1"/>
      <c r="V8" s="1"/>
    </row>
    <row r="9" spans="1:22" ht="12.75" customHeight="1" x14ac:dyDescent="0.2">
      <c r="A9" s="15" t="s">
        <v>536</v>
      </c>
      <c r="B9" s="15">
        <v>440</v>
      </c>
      <c r="C9" s="81">
        <v>94</v>
      </c>
      <c r="D9" s="82">
        <f>IF((I9=0),"",(C9/I9))</f>
        <v>0.39662447257383965</v>
      </c>
      <c r="E9" s="66">
        <v>139</v>
      </c>
      <c r="F9" s="67">
        <f>IF((I9=0),"",(E9/I9))</f>
        <v>0.5864978902953587</v>
      </c>
      <c r="G9" s="15">
        <v>4</v>
      </c>
      <c r="H9" s="17">
        <f>IF((I9=0),"",(G9/I9))</f>
        <v>1.6877637130801686E-2</v>
      </c>
      <c r="I9" s="29">
        <f>SUM(C9,E9,G9)</f>
        <v>237</v>
      </c>
      <c r="J9" s="17">
        <f>IF((B9=0),"",(I9/B9))</f>
        <v>0.53863636363636369</v>
      </c>
      <c r="K9" s="29">
        <f>B9-I9</f>
        <v>203</v>
      </c>
      <c r="L9" s="17">
        <f>IF((B9=0),"",(K9/B9))</f>
        <v>0.46136363636363636</v>
      </c>
      <c r="M9" s="1"/>
      <c r="N9" s="1"/>
      <c r="O9" s="1"/>
      <c r="P9" s="1"/>
      <c r="Q9" s="1"/>
      <c r="R9" s="1"/>
      <c r="S9" s="1"/>
      <c r="T9" s="1"/>
      <c r="U9" s="1"/>
      <c r="V9" s="1"/>
    </row>
    <row r="10" spans="1:22" ht="12.75" customHeight="1" x14ac:dyDescent="0.2">
      <c r="A10" s="12" t="s">
        <v>120</v>
      </c>
      <c r="B10" s="12">
        <f>SUM(B6:B9)</f>
        <v>1570</v>
      </c>
      <c r="C10" s="78">
        <f>SUM(C6:C9)</f>
        <v>377</v>
      </c>
      <c r="D10" s="79">
        <f>IF((I10=0),"",(C10/I10))</f>
        <v>0.42598870056497173</v>
      </c>
      <c r="E10" s="63">
        <f>SUM(E6:E9)</f>
        <v>498</v>
      </c>
      <c r="F10" s="64">
        <f>IF((I10=0),"",(E10/I10))</f>
        <v>0.56271186440677967</v>
      </c>
      <c r="G10" s="12">
        <f>SUM(G6:G9)</f>
        <v>10</v>
      </c>
      <c r="H10" s="13">
        <f>IF((I10=0),"",(G10/I10))</f>
        <v>1.1299435028248588E-2</v>
      </c>
      <c r="I10" s="32">
        <f>SUM(C10,E10,G10)</f>
        <v>885</v>
      </c>
      <c r="J10" s="13">
        <f>IF((B10=0),"",(I10/B10))</f>
        <v>0.56369426751592355</v>
      </c>
      <c r="K10" s="12">
        <f>SUM(K6:K9)</f>
        <v>685</v>
      </c>
      <c r="L10" s="13">
        <f>IF((B10=0),"",(K10/B10))</f>
        <v>0.43630573248407645</v>
      </c>
      <c r="M10" s="1"/>
      <c r="N10" s="1"/>
      <c r="O10" s="1"/>
      <c r="P10" s="1"/>
      <c r="Q10" s="1"/>
      <c r="R10" s="1"/>
      <c r="S10" s="1"/>
      <c r="T10" s="1"/>
      <c r="U10" s="1"/>
      <c r="V10" s="1"/>
    </row>
    <row r="11" spans="1:22" s="53" customFormat="1" ht="12.75" customHeight="1" x14ac:dyDescent="0.2">
      <c r="A11" s="32" t="s">
        <v>542</v>
      </c>
      <c r="B11" s="32">
        <v>6</v>
      </c>
      <c r="C11" s="78"/>
      <c r="D11" s="79"/>
      <c r="E11" s="63"/>
      <c r="F11" s="64"/>
      <c r="G11" s="32"/>
      <c r="H11" s="28"/>
      <c r="I11" s="32"/>
      <c r="J11" s="28"/>
      <c r="K11" s="32"/>
      <c r="L11" s="28"/>
      <c r="M11" s="1"/>
      <c r="N11" s="1"/>
      <c r="O11" s="1"/>
      <c r="P11" s="1"/>
      <c r="Q11" s="1"/>
      <c r="R11" s="1"/>
      <c r="S11" s="1"/>
      <c r="T11" s="1"/>
      <c r="U11" s="1"/>
      <c r="V11" s="1"/>
    </row>
    <row r="12" spans="1:22" ht="12.75" customHeight="1" x14ac:dyDescent="0.2">
      <c r="A12" s="14" t="s">
        <v>361</v>
      </c>
      <c r="B12" s="32" t="s">
        <v>362</v>
      </c>
      <c r="C12" s="86"/>
      <c r="D12" s="86"/>
      <c r="E12" s="90"/>
      <c r="F12" s="90"/>
      <c r="G12" s="16"/>
      <c r="H12" s="16"/>
      <c r="I12" s="16"/>
      <c r="J12" s="16"/>
      <c r="K12" s="16"/>
      <c r="L12" s="16"/>
      <c r="M12" s="1"/>
      <c r="N12" s="1"/>
      <c r="O12" s="1"/>
      <c r="P12" s="1"/>
      <c r="Q12" s="1"/>
      <c r="R12" s="1"/>
      <c r="S12" s="1"/>
      <c r="T12" s="1"/>
      <c r="U12" s="1"/>
      <c r="V12" s="1"/>
    </row>
    <row r="13" spans="1:22" ht="12.75" customHeight="1" x14ac:dyDescent="0.2">
      <c r="A13" s="15" t="s">
        <v>125</v>
      </c>
      <c r="B13" s="15">
        <v>355</v>
      </c>
      <c r="C13" s="81">
        <v>165</v>
      </c>
      <c r="D13" s="82">
        <f>IF((I13=0),"",(C13/I13))</f>
        <v>0.58718861209964412</v>
      </c>
      <c r="E13" s="66">
        <v>113</v>
      </c>
      <c r="F13" s="67">
        <f>IF((I13=0),"",(E13/I13))</f>
        <v>0.40213523131672596</v>
      </c>
      <c r="G13" s="15">
        <v>3</v>
      </c>
      <c r="H13" s="17">
        <f>IF((I13=0),"",(G13/I13))</f>
        <v>1.0676156583629894E-2</v>
      </c>
      <c r="I13" s="29">
        <f>SUM(C13,E13,G13)</f>
        <v>281</v>
      </c>
      <c r="J13" s="17">
        <f>IF((B13=0),"",(I13/B13))</f>
        <v>0.79154929577464783</v>
      </c>
      <c r="K13" s="29">
        <f>B13-I13</f>
        <v>74</v>
      </c>
      <c r="L13" s="17">
        <f>IF((B13=0),"",(K13/B13))</f>
        <v>0.20845070422535211</v>
      </c>
      <c r="M13" s="1"/>
      <c r="N13" s="1"/>
      <c r="O13" s="1"/>
      <c r="P13" s="1"/>
      <c r="Q13" s="1"/>
      <c r="R13" s="1"/>
      <c r="S13" s="1"/>
      <c r="T13" s="1"/>
      <c r="U13" s="1"/>
      <c r="V13" s="1"/>
    </row>
    <row r="14" spans="1:22" ht="12.75" customHeight="1" x14ac:dyDescent="0.2">
      <c r="A14" s="15" t="s">
        <v>537</v>
      </c>
      <c r="B14" s="15">
        <v>558</v>
      </c>
      <c r="C14" s="81">
        <v>228</v>
      </c>
      <c r="D14" s="82">
        <f>IF((I14=0),"",(C14/I14))</f>
        <v>0.73548387096774193</v>
      </c>
      <c r="E14" s="66">
        <v>78</v>
      </c>
      <c r="F14" s="67">
        <f>IF((I14=0),"",(E14/I14))</f>
        <v>0.25161290322580643</v>
      </c>
      <c r="G14" s="15">
        <v>4</v>
      </c>
      <c r="H14" s="17">
        <f>IF((I14=0),"",(G14/I14))</f>
        <v>1.2903225806451613E-2</v>
      </c>
      <c r="I14" s="29">
        <f>SUM(C14,E14,G14)</f>
        <v>310</v>
      </c>
      <c r="J14" s="17">
        <f>IF((B14=0),"",(I14/B14))</f>
        <v>0.55555555555555558</v>
      </c>
      <c r="K14" s="29">
        <f>B14-I14</f>
        <v>248</v>
      </c>
      <c r="L14" s="17">
        <f>IF((B14=0),"",(K14/B14))</f>
        <v>0.44444444444444442</v>
      </c>
      <c r="M14" s="1"/>
      <c r="N14" s="1"/>
      <c r="O14" s="1"/>
      <c r="P14" s="1"/>
      <c r="Q14" s="1"/>
      <c r="R14" s="1"/>
      <c r="S14" s="1"/>
      <c r="T14" s="1"/>
      <c r="U14" s="1"/>
      <c r="V14" s="1"/>
    </row>
    <row r="15" spans="1:22" ht="12.75" customHeight="1" x14ac:dyDescent="0.2">
      <c r="A15" s="15" t="s">
        <v>538</v>
      </c>
      <c r="B15" s="15">
        <v>397</v>
      </c>
      <c r="C15" s="81">
        <v>193</v>
      </c>
      <c r="D15" s="82">
        <f>IF((I15=0),"",(C15/I15))</f>
        <v>0.66782006920415227</v>
      </c>
      <c r="E15" s="66">
        <v>92</v>
      </c>
      <c r="F15" s="67">
        <f>IF((I15=0),"",(E15/I15))</f>
        <v>0.31833910034602075</v>
      </c>
      <c r="G15" s="15">
        <v>4</v>
      </c>
      <c r="H15" s="17">
        <f>IF((I15=0),"",(G15/I15))</f>
        <v>1.384083044982699E-2</v>
      </c>
      <c r="I15" s="29">
        <f>SUM(C15,E15,G15)</f>
        <v>289</v>
      </c>
      <c r="J15" s="17">
        <f>IF((B15=0),"",(I15/B15))</f>
        <v>0.72795969773299751</v>
      </c>
      <c r="K15" s="29">
        <f>B15-I15</f>
        <v>108</v>
      </c>
      <c r="L15" s="17">
        <f>IF((B15=0),"",(K15/B15))</f>
        <v>0.27204030226700254</v>
      </c>
      <c r="M15" s="1"/>
      <c r="N15" s="1"/>
      <c r="O15" s="1"/>
      <c r="P15" s="1"/>
      <c r="Q15" s="1"/>
      <c r="R15" s="1"/>
      <c r="S15" s="1"/>
      <c r="T15" s="1"/>
      <c r="U15" s="1"/>
      <c r="V15" s="1"/>
    </row>
    <row r="16" spans="1:22" ht="12.75" customHeight="1" x14ac:dyDescent="0.2">
      <c r="A16" s="12" t="s">
        <v>120</v>
      </c>
      <c r="B16" s="12">
        <f>SUM(B13:B15)</f>
        <v>1310</v>
      </c>
      <c r="C16" s="78">
        <f>SUM(C13:C15)</f>
        <v>586</v>
      </c>
      <c r="D16" s="79">
        <f>IF((I16=0),"",(C16/I16))</f>
        <v>0.66590909090909089</v>
      </c>
      <c r="E16" s="63">
        <f>SUM(E13:E15)</f>
        <v>283</v>
      </c>
      <c r="F16" s="64">
        <f>IF((I16=0),"",(E16/I16))</f>
        <v>0.32159090909090909</v>
      </c>
      <c r="G16" s="12">
        <f>SUM(G13:G15)</f>
        <v>11</v>
      </c>
      <c r="H16" s="13">
        <f>IF((I16=0),"",(G16/I16))</f>
        <v>1.2500000000000001E-2</v>
      </c>
      <c r="I16" s="12">
        <f>SUM(C16,E16,G16)</f>
        <v>880</v>
      </c>
      <c r="J16" s="13">
        <f>IF((B16=0),"",(I16/B16))</f>
        <v>0.6717557251908397</v>
      </c>
      <c r="K16" s="12">
        <f>SUM(K13:K15)</f>
        <v>430</v>
      </c>
      <c r="L16" s="13">
        <f>IF((B16=0),"",(K16/B16))</f>
        <v>0.3282442748091603</v>
      </c>
      <c r="M16" s="1"/>
      <c r="N16" s="1"/>
      <c r="O16" s="1"/>
      <c r="P16" s="1"/>
      <c r="Q16" s="1"/>
      <c r="R16" s="1"/>
      <c r="S16" s="1"/>
      <c r="T16" s="1"/>
      <c r="U16" s="1"/>
      <c r="V16" s="1"/>
    </row>
    <row r="17" spans="1:22" s="53" customFormat="1" ht="12.75" customHeight="1" x14ac:dyDescent="0.2">
      <c r="A17" s="32" t="s">
        <v>542</v>
      </c>
      <c r="B17" s="32">
        <v>13</v>
      </c>
      <c r="C17" s="78"/>
      <c r="D17" s="79"/>
      <c r="E17" s="63"/>
      <c r="F17" s="64"/>
      <c r="G17" s="32"/>
      <c r="H17" s="28"/>
      <c r="I17" s="32"/>
      <c r="J17" s="28"/>
      <c r="K17" s="32"/>
      <c r="L17" s="28"/>
      <c r="M17" s="1"/>
      <c r="N17" s="1"/>
      <c r="O17" s="1"/>
      <c r="P17" s="1"/>
      <c r="Q17" s="1"/>
      <c r="R17" s="1"/>
      <c r="S17" s="1"/>
      <c r="T17" s="1"/>
      <c r="U17" s="1"/>
      <c r="V17" s="1"/>
    </row>
    <row r="18" spans="1:22" ht="12.75" customHeight="1" x14ac:dyDescent="0.2">
      <c r="A18" s="14" t="s">
        <v>363</v>
      </c>
      <c r="B18" s="32" t="s">
        <v>364</v>
      </c>
      <c r="C18" s="86"/>
      <c r="D18" s="86"/>
      <c r="E18" s="90"/>
      <c r="F18" s="90"/>
      <c r="G18" s="16"/>
      <c r="H18" s="16"/>
      <c r="I18" s="16"/>
      <c r="J18" s="16"/>
      <c r="K18" s="16"/>
      <c r="L18" s="16"/>
      <c r="M18" s="1"/>
      <c r="N18" s="1"/>
      <c r="O18" s="1"/>
      <c r="P18" s="1"/>
      <c r="Q18" s="1"/>
      <c r="R18" s="1"/>
      <c r="S18" s="1"/>
      <c r="T18" s="1"/>
      <c r="U18" s="1"/>
      <c r="V18" s="1"/>
    </row>
    <row r="19" spans="1:22" ht="12.75" customHeight="1" x14ac:dyDescent="0.2">
      <c r="A19" s="15" t="s">
        <v>136</v>
      </c>
      <c r="B19" s="15">
        <v>435</v>
      </c>
      <c r="C19" s="81">
        <v>128</v>
      </c>
      <c r="D19" s="82">
        <f t="shared" ref="D19:D24" si="0">IF((I19=0),"",(C19/I19))</f>
        <v>0.5423728813559322</v>
      </c>
      <c r="E19" s="66">
        <v>108</v>
      </c>
      <c r="F19" s="67">
        <f t="shared" ref="F19:F24" si="1">IF((I19=0),"",(E19/I19))</f>
        <v>0.4576271186440678</v>
      </c>
      <c r="G19" s="15">
        <v>0</v>
      </c>
      <c r="H19" s="17">
        <f t="shared" ref="H19:H24" si="2">IF((I19=0),"",(G19/I19))</f>
        <v>0</v>
      </c>
      <c r="I19" s="29">
        <f t="shared" ref="I19:I24" si="3">SUM(C19,E19,G19)</f>
        <v>236</v>
      </c>
      <c r="J19" s="17">
        <f t="shared" ref="J19:J24" si="4">IF((B19=0),"",(I19/B19))</f>
        <v>0.54252873563218396</v>
      </c>
      <c r="K19" s="29">
        <f>B19-I19</f>
        <v>199</v>
      </c>
      <c r="L19" s="17">
        <f t="shared" ref="L19:L24" si="5">IF((B19=0),"",(K19/B19))</f>
        <v>0.4574712643678161</v>
      </c>
      <c r="M19" s="1"/>
      <c r="N19" s="1"/>
      <c r="O19" s="1"/>
      <c r="P19" s="1"/>
      <c r="Q19" s="1"/>
      <c r="R19" s="1"/>
      <c r="S19" s="1"/>
      <c r="T19" s="1"/>
      <c r="U19" s="1"/>
      <c r="V19" s="1"/>
    </row>
    <row r="20" spans="1:22" ht="12.75" customHeight="1" x14ac:dyDescent="0.2">
      <c r="A20" s="15" t="s">
        <v>539</v>
      </c>
      <c r="B20" s="15">
        <v>380</v>
      </c>
      <c r="C20" s="81">
        <v>112</v>
      </c>
      <c r="D20" s="82">
        <f t="shared" si="0"/>
        <v>0.59259259259259256</v>
      </c>
      <c r="E20" s="66">
        <v>75</v>
      </c>
      <c r="F20" s="67">
        <f t="shared" si="1"/>
        <v>0.3968253968253968</v>
      </c>
      <c r="G20" s="15">
        <v>2</v>
      </c>
      <c r="H20" s="17">
        <f t="shared" si="2"/>
        <v>1.0582010582010581E-2</v>
      </c>
      <c r="I20" s="29">
        <f t="shared" si="3"/>
        <v>189</v>
      </c>
      <c r="J20" s="17">
        <f t="shared" si="4"/>
        <v>0.49736842105263157</v>
      </c>
      <c r="K20" s="29">
        <f>B20-I20</f>
        <v>191</v>
      </c>
      <c r="L20" s="17">
        <f t="shared" si="5"/>
        <v>0.50263157894736843</v>
      </c>
      <c r="M20" s="1"/>
      <c r="N20" s="1"/>
      <c r="O20" s="1"/>
      <c r="P20" s="1"/>
      <c r="Q20" s="1"/>
      <c r="R20" s="1"/>
      <c r="S20" s="1"/>
      <c r="T20" s="1"/>
      <c r="U20" s="1"/>
      <c r="V20" s="1"/>
    </row>
    <row r="21" spans="1:22" ht="12.75" customHeight="1" x14ac:dyDescent="0.2">
      <c r="A21" s="15" t="s">
        <v>540</v>
      </c>
      <c r="B21" s="15">
        <v>420</v>
      </c>
      <c r="C21" s="81">
        <v>125</v>
      </c>
      <c r="D21" s="82">
        <f t="shared" si="0"/>
        <v>0.58139534883720934</v>
      </c>
      <c r="E21" s="66">
        <v>89</v>
      </c>
      <c r="F21" s="67">
        <f t="shared" si="1"/>
        <v>0.413953488372093</v>
      </c>
      <c r="G21" s="15">
        <v>1</v>
      </c>
      <c r="H21" s="17">
        <f t="shared" si="2"/>
        <v>4.6511627906976744E-3</v>
      </c>
      <c r="I21" s="29">
        <f t="shared" si="3"/>
        <v>215</v>
      </c>
      <c r="J21" s="17">
        <f t="shared" si="4"/>
        <v>0.51190476190476186</v>
      </c>
      <c r="K21" s="29">
        <f>B21-I21</f>
        <v>205</v>
      </c>
      <c r="L21" s="17">
        <f t="shared" si="5"/>
        <v>0.48809523809523808</v>
      </c>
      <c r="M21" s="1"/>
      <c r="N21" s="1"/>
      <c r="O21" s="1"/>
      <c r="P21" s="1"/>
      <c r="Q21" s="1"/>
      <c r="R21" s="1"/>
      <c r="S21" s="1"/>
      <c r="T21" s="1"/>
      <c r="U21" s="1"/>
      <c r="V21" s="1"/>
    </row>
    <row r="22" spans="1:22" ht="12.75" customHeight="1" x14ac:dyDescent="0.2">
      <c r="A22" s="15" t="s">
        <v>541</v>
      </c>
      <c r="B22" s="15">
        <v>406</v>
      </c>
      <c r="C22" s="81">
        <v>113</v>
      </c>
      <c r="D22" s="82">
        <f t="shared" si="0"/>
        <v>0.53301886792452835</v>
      </c>
      <c r="E22" s="66">
        <v>97</v>
      </c>
      <c r="F22" s="67">
        <f t="shared" si="1"/>
        <v>0.45754716981132076</v>
      </c>
      <c r="G22" s="15">
        <v>2</v>
      </c>
      <c r="H22" s="17">
        <f t="shared" si="2"/>
        <v>9.433962264150943E-3</v>
      </c>
      <c r="I22" s="29">
        <f t="shared" si="3"/>
        <v>212</v>
      </c>
      <c r="J22" s="17">
        <f t="shared" si="4"/>
        <v>0.52216748768472909</v>
      </c>
      <c r="K22" s="29">
        <f>B22-I22</f>
        <v>194</v>
      </c>
      <c r="L22" s="17">
        <f t="shared" si="5"/>
        <v>0.47783251231527096</v>
      </c>
      <c r="M22" s="1"/>
      <c r="N22" s="1"/>
      <c r="O22" s="1"/>
      <c r="P22" s="1"/>
      <c r="Q22" s="1"/>
      <c r="R22" s="1"/>
      <c r="S22" s="1"/>
      <c r="T22" s="1"/>
      <c r="U22" s="1"/>
      <c r="V22" s="1"/>
    </row>
    <row r="23" spans="1:22" ht="12.75" customHeight="1" x14ac:dyDescent="0.2">
      <c r="A23" s="15" t="s">
        <v>145</v>
      </c>
      <c r="B23" s="15">
        <v>418</v>
      </c>
      <c r="C23" s="81">
        <v>129</v>
      </c>
      <c r="D23" s="82">
        <f t="shared" si="0"/>
        <v>0.61137440758293837</v>
      </c>
      <c r="E23" s="66">
        <v>82</v>
      </c>
      <c r="F23" s="67">
        <f t="shared" si="1"/>
        <v>0.38862559241706163</v>
      </c>
      <c r="G23" s="15">
        <v>0</v>
      </c>
      <c r="H23" s="17">
        <f t="shared" si="2"/>
        <v>0</v>
      </c>
      <c r="I23" s="29">
        <f t="shared" si="3"/>
        <v>211</v>
      </c>
      <c r="J23" s="17">
        <f t="shared" si="4"/>
        <v>0.50478468899521534</v>
      </c>
      <c r="K23" s="29">
        <f>B23-I23</f>
        <v>207</v>
      </c>
      <c r="L23" s="17">
        <f t="shared" si="5"/>
        <v>0.49521531100478466</v>
      </c>
      <c r="M23" s="1"/>
      <c r="N23" s="1"/>
      <c r="O23" s="1"/>
      <c r="P23" s="1"/>
      <c r="Q23" s="1"/>
      <c r="R23" s="1"/>
      <c r="S23" s="1"/>
      <c r="T23" s="1"/>
      <c r="U23" s="1"/>
      <c r="V23" s="1"/>
    </row>
    <row r="24" spans="1:22" ht="12.75" customHeight="1" x14ac:dyDescent="0.2">
      <c r="A24" s="32" t="s">
        <v>120</v>
      </c>
      <c r="B24" s="12">
        <f>SUM(B19:B23)</f>
        <v>2059</v>
      </c>
      <c r="C24" s="78">
        <f>SUM(C19:C23)</f>
        <v>607</v>
      </c>
      <c r="D24" s="79">
        <f t="shared" si="0"/>
        <v>0.5710253998118533</v>
      </c>
      <c r="E24" s="63">
        <f>SUM(E19:E23)</f>
        <v>451</v>
      </c>
      <c r="F24" s="64">
        <f t="shared" si="1"/>
        <v>0.42427093132643462</v>
      </c>
      <c r="G24" s="12">
        <f>SUM(G19:G23)</f>
        <v>5</v>
      </c>
      <c r="H24" s="13">
        <f t="shared" si="2"/>
        <v>4.7036688617121351E-3</v>
      </c>
      <c r="I24" s="32">
        <f t="shared" si="3"/>
        <v>1063</v>
      </c>
      <c r="J24" s="13">
        <f t="shared" si="4"/>
        <v>0.51627003399708593</v>
      </c>
      <c r="K24" s="12">
        <f>SUM(K19:K23)</f>
        <v>996</v>
      </c>
      <c r="L24" s="13">
        <f t="shared" si="5"/>
        <v>0.48372996600291401</v>
      </c>
      <c r="M24" s="1"/>
      <c r="N24" s="1"/>
      <c r="O24" s="1"/>
      <c r="P24" s="1"/>
      <c r="Q24" s="1"/>
      <c r="R24" s="1"/>
      <c r="S24" s="1"/>
      <c r="T24" s="1"/>
      <c r="U24" s="1"/>
      <c r="V24" s="1"/>
    </row>
    <row r="25" spans="1:22" s="53" customFormat="1" ht="12.75" customHeight="1" x14ac:dyDescent="0.2">
      <c r="A25" s="32" t="s">
        <v>542</v>
      </c>
      <c r="B25" s="32">
        <v>3</v>
      </c>
      <c r="C25" s="78"/>
      <c r="D25" s="79"/>
      <c r="E25" s="63"/>
      <c r="F25" s="64"/>
      <c r="G25" s="32"/>
      <c r="H25" s="28"/>
      <c r="I25" s="32"/>
      <c r="J25" s="28"/>
      <c r="K25" s="32"/>
      <c r="L25" s="28"/>
      <c r="M25" s="1"/>
      <c r="N25" s="1"/>
      <c r="O25" s="1"/>
      <c r="P25" s="1"/>
      <c r="Q25" s="1"/>
      <c r="R25" s="1"/>
      <c r="S25" s="1"/>
      <c r="T25" s="1"/>
      <c r="U25" s="1"/>
      <c r="V25" s="1"/>
    </row>
    <row r="26" spans="1:22" ht="12.75" customHeight="1" x14ac:dyDescent="0.2">
      <c r="A26" s="36" t="s">
        <v>365</v>
      </c>
      <c r="B26" s="32" t="s">
        <v>366</v>
      </c>
      <c r="C26" s="86"/>
      <c r="D26" s="86"/>
      <c r="E26" s="90"/>
      <c r="F26" s="90"/>
      <c r="G26" s="16"/>
      <c r="H26" s="16"/>
      <c r="I26" s="16"/>
      <c r="J26" s="16"/>
      <c r="K26" s="16"/>
      <c r="L26" s="16"/>
      <c r="M26" s="1"/>
      <c r="N26" s="1"/>
      <c r="O26" s="1"/>
      <c r="P26" s="1"/>
      <c r="Q26" s="1"/>
      <c r="R26" s="1"/>
      <c r="S26" s="1"/>
      <c r="T26" s="1"/>
      <c r="U26" s="1"/>
      <c r="V26" s="1"/>
    </row>
    <row r="27" spans="1:22" ht="12.75" customHeight="1" x14ac:dyDescent="0.2">
      <c r="A27" s="29" t="s">
        <v>156</v>
      </c>
      <c r="B27" s="15">
        <v>361</v>
      </c>
      <c r="C27" s="81">
        <v>76</v>
      </c>
      <c r="D27" s="82">
        <f>IF((I27=0),"",(C27/I27))</f>
        <v>0.38</v>
      </c>
      <c r="E27" s="66">
        <v>121</v>
      </c>
      <c r="F27" s="67">
        <f>IF((I27=0),"",(E27/I27))</f>
        <v>0.60499999999999998</v>
      </c>
      <c r="G27" s="15">
        <v>3</v>
      </c>
      <c r="H27" s="17">
        <f>IF((I27=0),"",(G27/I27))</f>
        <v>1.4999999999999999E-2</v>
      </c>
      <c r="I27" s="29">
        <f>SUM(C27,E27,G27)</f>
        <v>200</v>
      </c>
      <c r="J27" s="17">
        <f>IF((B27=0),"",(I27/B27))</f>
        <v>0.554016620498615</v>
      </c>
      <c r="K27" s="29">
        <f>B27-I27</f>
        <v>161</v>
      </c>
      <c r="L27" s="17">
        <f>IF((B27=0),"",(K27/B27))</f>
        <v>0.44598337950138506</v>
      </c>
      <c r="M27" s="1"/>
      <c r="N27" s="1"/>
      <c r="O27" s="1"/>
      <c r="P27" s="1"/>
      <c r="Q27" s="1"/>
      <c r="R27" s="1"/>
      <c r="S27" s="1"/>
      <c r="T27" s="1"/>
      <c r="U27" s="1"/>
      <c r="V27" s="1"/>
    </row>
    <row r="28" spans="1:22" ht="12.75" customHeight="1" x14ac:dyDescent="0.2">
      <c r="A28" s="29" t="s">
        <v>344</v>
      </c>
      <c r="B28" s="15">
        <v>337</v>
      </c>
      <c r="C28" s="81">
        <v>53</v>
      </c>
      <c r="D28" s="82">
        <f>IF((I28=0),"",(C28/I28))</f>
        <v>0.2896174863387978</v>
      </c>
      <c r="E28" s="66">
        <v>129</v>
      </c>
      <c r="F28" s="67">
        <f>IF((I28=0),"",(E28/I28))</f>
        <v>0.70491803278688525</v>
      </c>
      <c r="G28" s="15">
        <v>1</v>
      </c>
      <c r="H28" s="17">
        <f>IF((I28=0),"",(G28/I28))</f>
        <v>5.4644808743169399E-3</v>
      </c>
      <c r="I28" s="29">
        <f>SUM(C28,E28,G28)</f>
        <v>183</v>
      </c>
      <c r="J28" s="17">
        <f>IF((B28=0),"",(I28/B28))</f>
        <v>0.54302670623145399</v>
      </c>
      <c r="K28" s="29">
        <f>B28-I28</f>
        <v>154</v>
      </c>
      <c r="L28" s="17">
        <f>IF((B28=0),"",(K28/B28))</f>
        <v>0.45697329376854601</v>
      </c>
      <c r="M28" s="1"/>
      <c r="N28" s="1"/>
      <c r="O28" s="1"/>
      <c r="P28" s="1"/>
      <c r="Q28" s="1"/>
      <c r="R28" s="1"/>
      <c r="S28" s="1"/>
      <c r="T28" s="1"/>
      <c r="U28" s="1"/>
      <c r="V28" s="1"/>
    </row>
    <row r="29" spans="1:22" ht="12.75" customHeight="1" x14ac:dyDescent="0.2">
      <c r="A29" s="29" t="s">
        <v>252</v>
      </c>
      <c r="B29" s="15">
        <v>373</v>
      </c>
      <c r="C29" s="81">
        <v>56</v>
      </c>
      <c r="D29" s="82">
        <f>IF((I29=0),"",(C29/I29))</f>
        <v>0.29946524064171121</v>
      </c>
      <c r="E29" s="66">
        <v>129</v>
      </c>
      <c r="F29" s="67">
        <f>IF((I29=0),"",(E29/I29))</f>
        <v>0.68983957219251335</v>
      </c>
      <c r="G29" s="15">
        <v>2</v>
      </c>
      <c r="H29" s="17">
        <f>IF((I29=0),"",(G29/I29))</f>
        <v>1.06951871657754E-2</v>
      </c>
      <c r="I29" s="29">
        <f>SUM(C29,E29,G29)</f>
        <v>187</v>
      </c>
      <c r="J29" s="17">
        <f>IF((B29=0),"",(I29/B29))</f>
        <v>0.50134048257372654</v>
      </c>
      <c r="K29" s="29">
        <f>B29-I29</f>
        <v>186</v>
      </c>
      <c r="L29" s="17">
        <f>IF((B29=0),"",(K29/B29))</f>
        <v>0.49865951742627346</v>
      </c>
      <c r="M29" s="1"/>
      <c r="N29" s="1"/>
      <c r="O29" s="1"/>
      <c r="P29" s="1"/>
      <c r="Q29" s="1"/>
      <c r="R29" s="1"/>
      <c r="S29" s="1"/>
      <c r="T29" s="1"/>
      <c r="U29" s="1"/>
      <c r="V29" s="1"/>
    </row>
    <row r="30" spans="1:22" ht="12.75" customHeight="1" x14ac:dyDescent="0.2">
      <c r="A30" s="32" t="s">
        <v>120</v>
      </c>
      <c r="B30" s="12">
        <f>SUM(B27:B29)</f>
        <v>1071</v>
      </c>
      <c r="C30" s="78">
        <f>SUM(C27:C29)</f>
        <v>185</v>
      </c>
      <c r="D30" s="79">
        <f>IF((I30=0),"",(C30/I30))</f>
        <v>0.32456140350877194</v>
      </c>
      <c r="E30" s="63">
        <f>SUM(E27:E29)</f>
        <v>379</v>
      </c>
      <c r="F30" s="64">
        <f>IF((I30=0),"",(E30/I30))</f>
        <v>0.66491228070175434</v>
      </c>
      <c r="G30" s="12">
        <f>SUM(G27:G29)</f>
        <v>6</v>
      </c>
      <c r="H30" s="13">
        <f>IF((I30=0),"",(G30/I30))</f>
        <v>1.0526315789473684E-2</v>
      </c>
      <c r="I30" s="32">
        <f>SUM(C30,E30,G30)</f>
        <v>570</v>
      </c>
      <c r="J30" s="13">
        <f>IF((B30=0),"",(I30/B30))</f>
        <v>0.53221288515406162</v>
      </c>
      <c r="K30" s="12">
        <f>SUM(K27:K29)</f>
        <v>501</v>
      </c>
      <c r="L30" s="13">
        <f>IF((B30=0),"",(K30/B30))</f>
        <v>0.46778711484593838</v>
      </c>
      <c r="M30" s="1"/>
      <c r="N30" s="1"/>
      <c r="O30" s="1"/>
      <c r="P30" s="1"/>
      <c r="Q30" s="1"/>
      <c r="R30" s="1"/>
      <c r="S30" s="1"/>
      <c r="T30" s="1"/>
      <c r="U30" s="1"/>
      <c r="V30" s="1"/>
    </row>
    <row r="31" spans="1:22" s="53" customFormat="1" ht="12.75" customHeight="1" x14ac:dyDescent="0.2">
      <c r="A31" s="32" t="s">
        <v>542</v>
      </c>
      <c r="B31" s="32">
        <v>9</v>
      </c>
      <c r="C31" s="78"/>
      <c r="D31" s="79"/>
      <c r="E31" s="63"/>
      <c r="F31" s="64"/>
      <c r="G31" s="32"/>
      <c r="H31" s="28"/>
      <c r="I31" s="32"/>
      <c r="J31" s="28"/>
      <c r="K31" s="32"/>
      <c r="L31" s="28"/>
      <c r="M31" s="1"/>
      <c r="N31" s="1"/>
      <c r="O31" s="1"/>
      <c r="P31" s="1"/>
      <c r="Q31" s="1"/>
      <c r="R31" s="1"/>
      <c r="S31" s="1"/>
      <c r="T31" s="1"/>
      <c r="U31" s="1"/>
      <c r="V31" s="1"/>
    </row>
    <row r="32" spans="1:22" ht="12.75" customHeight="1" x14ac:dyDescent="0.2">
      <c r="A32" s="36" t="s">
        <v>367</v>
      </c>
      <c r="B32" s="32" t="s">
        <v>368</v>
      </c>
      <c r="C32" s="86"/>
      <c r="D32" s="86"/>
      <c r="E32" s="90"/>
      <c r="F32" s="90"/>
      <c r="G32" s="16"/>
      <c r="H32" s="16"/>
      <c r="I32" s="16"/>
      <c r="J32" s="16"/>
      <c r="K32" s="16"/>
      <c r="L32" s="16"/>
      <c r="M32" s="1"/>
      <c r="N32" s="1"/>
      <c r="O32" s="1"/>
      <c r="P32" s="1"/>
      <c r="Q32" s="1"/>
      <c r="R32" s="1"/>
      <c r="S32" s="1"/>
      <c r="T32" s="1"/>
      <c r="U32" s="1"/>
      <c r="V32" s="1"/>
    </row>
    <row r="33" spans="1:22" ht="12.75" customHeight="1" x14ac:dyDescent="0.2">
      <c r="A33" s="29" t="s">
        <v>136</v>
      </c>
      <c r="B33" s="15">
        <v>316</v>
      </c>
      <c r="C33" s="81">
        <v>92</v>
      </c>
      <c r="D33" s="82">
        <f t="shared" ref="D33:D38" si="6">IF((I33=0),"",(C33/I33))</f>
        <v>0.60130718954248363</v>
      </c>
      <c r="E33" s="66">
        <v>60</v>
      </c>
      <c r="F33" s="67">
        <f t="shared" ref="F33:F38" si="7">IF((I33=0),"",(E33/I33))</f>
        <v>0.39215686274509803</v>
      </c>
      <c r="G33" s="15">
        <v>1</v>
      </c>
      <c r="H33" s="17">
        <f t="shared" ref="H33:H38" si="8">IF((I33=0),"",(G33/I33))</f>
        <v>6.5359477124183009E-3</v>
      </c>
      <c r="I33" s="29">
        <f t="shared" ref="I33:I38" si="9">SUM(C33,E33,G33)</f>
        <v>153</v>
      </c>
      <c r="J33" s="17">
        <f t="shared" ref="J33:J38" si="10">IF((B33=0),"",(I33/B33))</f>
        <v>0.48417721518987344</v>
      </c>
      <c r="K33" s="29">
        <f>B33-I33</f>
        <v>163</v>
      </c>
      <c r="L33" s="17">
        <f t="shared" ref="L33:L38" si="11">IF((B33=0),"",(K33/B33))</f>
        <v>0.51582278481012656</v>
      </c>
      <c r="M33" s="1"/>
      <c r="N33" s="1"/>
      <c r="O33" s="1"/>
      <c r="P33" s="1"/>
      <c r="Q33" s="1"/>
      <c r="R33" s="1"/>
      <c r="S33" s="1"/>
      <c r="T33" s="1"/>
      <c r="U33" s="1"/>
      <c r="V33" s="1"/>
    </row>
    <row r="34" spans="1:22" ht="12.75" customHeight="1" x14ac:dyDescent="0.2">
      <c r="A34" s="29" t="s">
        <v>167</v>
      </c>
      <c r="B34" s="15">
        <v>422</v>
      </c>
      <c r="C34" s="81">
        <v>114</v>
      </c>
      <c r="D34" s="82">
        <f t="shared" si="6"/>
        <v>0.53271028037383172</v>
      </c>
      <c r="E34" s="66">
        <v>100</v>
      </c>
      <c r="F34" s="67">
        <f t="shared" si="7"/>
        <v>0.46728971962616822</v>
      </c>
      <c r="G34" s="15">
        <v>0</v>
      </c>
      <c r="H34" s="17">
        <f t="shared" si="8"/>
        <v>0</v>
      </c>
      <c r="I34" s="29">
        <f t="shared" si="9"/>
        <v>214</v>
      </c>
      <c r="J34" s="17">
        <f t="shared" si="10"/>
        <v>0.50710900473933651</v>
      </c>
      <c r="K34" s="29">
        <f>B34-I34</f>
        <v>208</v>
      </c>
      <c r="L34" s="17">
        <f t="shared" si="11"/>
        <v>0.49289099526066349</v>
      </c>
      <c r="M34" s="1"/>
      <c r="N34" s="1"/>
      <c r="O34" s="1"/>
      <c r="P34" s="1"/>
      <c r="Q34" s="1"/>
      <c r="R34" s="1"/>
      <c r="S34" s="1"/>
      <c r="T34" s="1"/>
      <c r="U34" s="1"/>
      <c r="V34" s="1"/>
    </row>
    <row r="35" spans="1:22" ht="12.75" customHeight="1" x14ac:dyDescent="0.2">
      <c r="A35" s="29" t="s">
        <v>502</v>
      </c>
      <c r="B35" s="15">
        <v>404</v>
      </c>
      <c r="C35" s="81">
        <v>89</v>
      </c>
      <c r="D35" s="82">
        <f t="shared" si="6"/>
        <v>0.43842364532019706</v>
      </c>
      <c r="E35" s="66">
        <v>110</v>
      </c>
      <c r="F35" s="67">
        <f t="shared" si="7"/>
        <v>0.54187192118226601</v>
      </c>
      <c r="G35" s="15">
        <v>4</v>
      </c>
      <c r="H35" s="17">
        <f t="shared" si="8"/>
        <v>1.9704433497536946E-2</v>
      </c>
      <c r="I35" s="29">
        <f t="shared" si="9"/>
        <v>203</v>
      </c>
      <c r="J35" s="17">
        <f t="shared" si="10"/>
        <v>0.50247524752475248</v>
      </c>
      <c r="K35" s="29">
        <f>B35-I35</f>
        <v>201</v>
      </c>
      <c r="L35" s="17">
        <f t="shared" si="11"/>
        <v>0.49752475247524752</v>
      </c>
      <c r="M35" s="1"/>
      <c r="N35" s="1"/>
      <c r="O35" s="1"/>
      <c r="P35" s="1"/>
      <c r="Q35" s="1"/>
      <c r="R35" s="1"/>
      <c r="S35" s="1"/>
      <c r="T35" s="1"/>
      <c r="U35" s="1"/>
      <c r="V35" s="1"/>
    </row>
    <row r="36" spans="1:22" ht="12.75" customHeight="1" x14ac:dyDescent="0.2">
      <c r="A36" s="29" t="s">
        <v>126</v>
      </c>
      <c r="B36" s="15">
        <v>491</v>
      </c>
      <c r="C36" s="81">
        <v>125</v>
      </c>
      <c r="D36" s="82">
        <f t="shared" si="6"/>
        <v>0.44483985765124556</v>
      </c>
      <c r="E36" s="66">
        <v>156</v>
      </c>
      <c r="F36" s="67">
        <f t="shared" si="7"/>
        <v>0.55516014234875444</v>
      </c>
      <c r="G36" s="15">
        <v>0</v>
      </c>
      <c r="H36" s="17">
        <f t="shared" si="8"/>
        <v>0</v>
      </c>
      <c r="I36" s="29">
        <f t="shared" si="9"/>
        <v>281</v>
      </c>
      <c r="J36" s="17">
        <f t="shared" si="10"/>
        <v>0.57230142566191444</v>
      </c>
      <c r="K36" s="29">
        <f>B36-I36</f>
        <v>210</v>
      </c>
      <c r="L36" s="17">
        <f t="shared" si="11"/>
        <v>0.42769857433808556</v>
      </c>
      <c r="M36" s="1"/>
      <c r="N36" s="1"/>
      <c r="O36" s="1"/>
      <c r="P36" s="1"/>
      <c r="Q36" s="1"/>
      <c r="R36" s="1"/>
      <c r="S36" s="1"/>
      <c r="T36" s="1"/>
      <c r="U36" s="1"/>
      <c r="V36" s="1"/>
    </row>
    <row r="37" spans="1:22" ht="12.75" customHeight="1" x14ac:dyDescent="0.2">
      <c r="A37" s="29" t="s">
        <v>123</v>
      </c>
      <c r="B37" s="15">
        <v>458</v>
      </c>
      <c r="C37" s="81">
        <v>108</v>
      </c>
      <c r="D37" s="82">
        <f t="shared" si="6"/>
        <v>0.48868778280542985</v>
      </c>
      <c r="E37" s="66">
        <v>110</v>
      </c>
      <c r="F37" s="67">
        <f t="shared" si="7"/>
        <v>0.49773755656108598</v>
      </c>
      <c r="G37" s="15">
        <v>3</v>
      </c>
      <c r="H37" s="17">
        <f t="shared" si="8"/>
        <v>1.3574660633484163E-2</v>
      </c>
      <c r="I37" s="29">
        <f t="shared" si="9"/>
        <v>221</v>
      </c>
      <c r="J37" s="17">
        <f t="shared" si="10"/>
        <v>0.48253275109170307</v>
      </c>
      <c r="K37" s="29">
        <f>B37-I37</f>
        <v>237</v>
      </c>
      <c r="L37" s="17">
        <f t="shared" si="11"/>
        <v>0.51746724890829698</v>
      </c>
      <c r="M37" s="1"/>
      <c r="N37" s="1"/>
      <c r="O37" s="1"/>
      <c r="P37" s="1"/>
      <c r="Q37" s="1"/>
      <c r="R37" s="1"/>
      <c r="S37" s="1"/>
      <c r="T37" s="1"/>
      <c r="U37" s="1"/>
      <c r="V37" s="1"/>
    </row>
    <row r="38" spans="1:22" ht="12.75" customHeight="1" x14ac:dyDescent="0.2">
      <c r="A38" s="32" t="s">
        <v>120</v>
      </c>
      <c r="B38" s="12">
        <f>SUM(B33:B37)</f>
        <v>2091</v>
      </c>
      <c r="C38" s="78">
        <f>SUM(C33:C37)</f>
        <v>528</v>
      </c>
      <c r="D38" s="79">
        <f t="shared" si="6"/>
        <v>0.4925373134328358</v>
      </c>
      <c r="E38" s="63">
        <f>SUM(E33:E37)</f>
        <v>536</v>
      </c>
      <c r="F38" s="64">
        <f t="shared" si="7"/>
        <v>0.5</v>
      </c>
      <c r="G38" s="12">
        <f>SUM(G33:G37)</f>
        <v>8</v>
      </c>
      <c r="H38" s="13">
        <f t="shared" si="8"/>
        <v>7.462686567164179E-3</v>
      </c>
      <c r="I38" s="32">
        <f t="shared" si="9"/>
        <v>1072</v>
      </c>
      <c r="J38" s="13">
        <f t="shared" si="10"/>
        <v>0.51267336202773794</v>
      </c>
      <c r="K38" s="12">
        <f>SUM(K33:K37)</f>
        <v>1019</v>
      </c>
      <c r="L38" s="13">
        <f t="shared" si="11"/>
        <v>0.48732663797226206</v>
      </c>
      <c r="M38" s="1"/>
      <c r="N38" s="1"/>
      <c r="O38" s="1"/>
      <c r="P38" s="1"/>
      <c r="Q38" s="1"/>
      <c r="R38" s="1"/>
      <c r="S38" s="1"/>
      <c r="T38" s="1"/>
      <c r="U38" s="1"/>
      <c r="V38" s="1"/>
    </row>
    <row r="39" spans="1:22" ht="12.75" customHeight="1" x14ac:dyDescent="0.2">
      <c r="A39" s="59" t="s">
        <v>542</v>
      </c>
      <c r="B39" s="59">
        <v>8</v>
      </c>
      <c r="C39" s="16"/>
      <c r="D39" s="16"/>
      <c r="E39" s="16"/>
      <c r="F39" s="16"/>
      <c r="G39" s="16"/>
      <c r="H39" s="16"/>
      <c r="I39" s="16"/>
      <c r="J39" s="16"/>
      <c r="K39" s="16"/>
      <c r="L39" s="16"/>
      <c r="M39" s="1"/>
      <c r="N39" s="1"/>
      <c r="O39" s="1"/>
      <c r="P39" s="1"/>
      <c r="Q39" s="1"/>
      <c r="R39" s="1"/>
      <c r="S39" s="1"/>
      <c r="T39" s="1"/>
      <c r="U39" s="1"/>
      <c r="V39" s="1"/>
    </row>
    <row r="40" spans="1:22" ht="12.75" customHeight="1" x14ac:dyDescent="0.2">
      <c r="A40" s="16"/>
      <c r="B40" s="16"/>
      <c r="C40" s="16"/>
      <c r="D40" s="16"/>
      <c r="E40" s="16"/>
      <c r="F40" s="16"/>
      <c r="G40" s="16"/>
      <c r="H40" s="16"/>
      <c r="I40" s="16"/>
      <c r="J40" s="16"/>
      <c r="K40" s="16"/>
      <c r="L40" s="16"/>
      <c r="M40" s="1"/>
      <c r="N40" s="1"/>
      <c r="O40" s="1"/>
      <c r="P40" s="1"/>
      <c r="Q40" s="1"/>
      <c r="R40" s="1"/>
      <c r="S40" s="1"/>
      <c r="T40" s="1"/>
      <c r="U40" s="1"/>
      <c r="V40" s="1"/>
    </row>
    <row r="41" spans="1:22" ht="12.75" customHeight="1" x14ac:dyDescent="0.2">
      <c r="A41" s="16"/>
      <c r="B41" s="16"/>
      <c r="C41" s="16"/>
      <c r="D41" s="16"/>
      <c r="E41" s="16"/>
      <c r="F41" s="16"/>
      <c r="G41" s="16"/>
      <c r="H41" s="16"/>
      <c r="I41" s="16"/>
      <c r="J41" s="16"/>
      <c r="K41" s="16"/>
      <c r="L41" s="16"/>
      <c r="M41" s="1"/>
      <c r="N41" s="1"/>
      <c r="O41" s="1"/>
      <c r="P41" s="1"/>
      <c r="Q41" s="1"/>
      <c r="R41" s="1"/>
      <c r="S41" s="1"/>
      <c r="T41" s="1"/>
      <c r="U41" s="1"/>
      <c r="V41" s="1"/>
    </row>
    <row r="42" spans="1:22" ht="12.75" customHeight="1" x14ac:dyDescent="0.2">
      <c r="A42" s="16"/>
      <c r="B42" s="16"/>
      <c r="C42" s="16"/>
      <c r="D42" s="16"/>
      <c r="E42" s="16"/>
      <c r="F42" s="16"/>
      <c r="G42" s="16"/>
      <c r="H42" s="16"/>
      <c r="I42" s="16"/>
      <c r="J42" s="16"/>
      <c r="K42" s="16"/>
      <c r="L42" s="16"/>
      <c r="M42" s="1"/>
      <c r="N42" s="1"/>
      <c r="O42" s="1"/>
      <c r="P42" s="1"/>
      <c r="Q42" s="1"/>
      <c r="R42" s="1"/>
      <c r="S42" s="1"/>
      <c r="T42" s="1"/>
      <c r="U42" s="1"/>
      <c r="V42" s="1"/>
    </row>
    <row r="43" spans="1:22" ht="12.75" customHeight="1" x14ac:dyDescent="0.2">
      <c r="A43" s="16"/>
      <c r="B43" s="16"/>
      <c r="C43" s="16"/>
      <c r="D43" s="16"/>
      <c r="E43" s="16"/>
      <c r="F43" s="16"/>
      <c r="G43" s="16"/>
      <c r="H43" s="16"/>
      <c r="I43" s="16"/>
      <c r="J43" s="16"/>
      <c r="K43" s="16"/>
      <c r="L43" s="16"/>
      <c r="M43" s="1"/>
      <c r="N43" s="1"/>
      <c r="O43" s="1"/>
      <c r="P43" s="1"/>
      <c r="Q43" s="1"/>
      <c r="R43" s="1"/>
      <c r="S43" s="1"/>
      <c r="T43" s="1"/>
      <c r="U43" s="1"/>
      <c r="V43" s="1"/>
    </row>
    <row r="44" spans="1:22" ht="12.75" customHeight="1" x14ac:dyDescent="0.2">
      <c r="A44" s="16"/>
      <c r="B44" s="16"/>
      <c r="C44" s="16"/>
      <c r="D44" s="16"/>
      <c r="E44" s="16"/>
      <c r="F44" s="16"/>
      <c r="G44" s="16"/>
      <c r="H44" s="16"/>
      <c r="I44" s="16"/>
      <c r="J44" s="16"/>
      <c r="K44" s="16"/>
      <c r="L44" s="16"/>
      <c r="M44" s="1"/>
      <c r="N44" s="1"/>
      <c r="O44" s="1"/>
      <c r="P44" s="1"/>
      <c r="Q44" s="1"/>
      <c r="R44" s="1"/>
      <c r="S44" s="1"/>
      <c r="T44" s="1"/>
      <c r="U44" s="1"/>
      <c r="V44" s="1"/>
    </row>
    <row r="45" spans="1:22" ht="12.75" customHeight="1" x14ac:dyDescent="0.2">
      <c r="A45" s="16"/>
      <c r="B45" s="16"/>
      <c r="C45" s="16"/>
      <c r="D45" s="16"/>
      <c r="E45" s="16"/>
      <c r="F45" s="16"/>
      <c r="G45" s="16"/>
      <c r="H45" s="16"/>
      <c r="I45" s="16"/>
      <c r="J45" s="16"/>
      <c r="K45" s="16"/>
      <c r="L45" s="16"/>
      <c r="M45" s="1"/>
      <c r="N45" s="1"/>
      <c r="O45" s="1"/>
      <c r="P45" s="1"/>
      <c r="Q45" s="1"/>
      <c r="R45" s="1"/>
      <c r="S45" s="1"/>
      <c r="T45" s="1"/>
      <c r="U45" s="1"/>
      <c r="V45" s="1"/>
    </row>
    <row r="46" spans="1:22" ht="12.75" customHeight="1" x14ac:dyDescent="0.2">
      <c r="A46" s="16"/>
      <c r="B46" s="16"/>
      <c r="C46" s="16"/>
      <c r="D46" s="16"/>
      <c r="E46" s="16"/>
      <c r="F46" s="16"/>
      <c r="G46" s="16"/>
      <c r="H46" s="16"/>
      <c r="I46" s="16"/>
      <c r="J46" s="16"/>
      <c r="K46" s="16"/>
      <c r="L46" s="16"/>
      <c r="M46" s="1"/>
      <c r="N46" s="1"/>
      <c r="O46" s="1"/>
      <c r="P46" s="1"/>
      <c r="Q46" s="1"/>
      <c r="R46" s="1"/>
      <c r="S46" s="1"/>
      <c r="T46" s="1"/>
      <c r="U46" s="1"/>
      <c r="V46" s="1"/>
    </row>
    <row r="47" spans="1:22" ht="12.75" customHeight="1" x14ac:dyDescent="0.2">
      <c r="A47" s="16"/>
      <c r="B47" s="16"/>
      <c r="C47" s="16"/>
      <c r="D47" s="16"/>
      <c r="E47" s="16"/>
      <c r="F47" s="16"/>
      <c r="G47" s="16"/>
      <c r="H47" s="16"/>
      <c r="I47" s="16"/>
      <c r="J47" s="16"/>
      <c r="K47" s="16"/>
      <c r="L47" s="16"/>
      <c r="M47" s="1"/>
      <c r="N47" s="1"/>
      <c r="O47" s="1"/>
      <c r="P47" s="1"/>
      <c r="Q47" s="1"/>
      <c r="R47" s="1"/>
      <c r="S47" s="1"/>
      <c r="T47" s="1"/>
      <c r="U47" s="1"/>
      <c r="V47" s="1"/>
    </row>
    <row r="48" spans="1:22" ht="12.75" customHeight="1" x14ac:dyDescent="0.2">
      <c r="A48" s="16"/>
      <c r="B48" s="16"/>
      <c r="C48" s="16"/>
      <c r="D48" s="16"/>
      <c r="E48" s="16"/>
      <c r="F48" s="16"/>
      <c r="G48" s="16"/>
      <c r="H48" s="16"/>
      <c r="I48" s="16"/>
      <c r="J48" s="16"/>
      <c r="K48" s="16"/>
      <c r="L48" s="16"/>
      <c r="M48" s="1"/>
      <c r="N48" s="1"/>
      <c r="O48" s="1"/>
      <c r="P48" s="1"/>
      <c r="Q48" s="1"/>
      <c r="R48" s="1"/>
      <c r="S48" s="1"/>
      <c r="T48" s="1"/>
      <c r="U48" s="1"/>
      <c r="V48" s="1"/>
    </row>
    <row r="49" spans="1:22" ht="12.75" customHeight="1" x14ac:dyDescent="0.2">
      <c r="A49" s="16"/>
      <c r="B49" s="16"/>
      <c r="C49" s="16"/>
      <c r="D49" s="16"/>
      <c r="E49" s="16"/>
      <c r="F49" s="16"/>
      <c r="G49" s="16"/>
      <c r="H49" s="16"/>
      <c r="I49" s="16"/>
      <c r="J49" s="16"/>
      <c r="K49" s="16"/>
      <c r="L49" s="16"/>
      <c r="M49" s="1"/>
      <c r="N49" s="1"/>
      <c r="O49" s="1"/>
      <c r="P49" s="1"/>
      <c r="Q49" s="1"/>
      <c r="R49" s="1"/>
      <c r="S49" s="1"/>
      <c r="T49" s="1"/>
      <c r="U49" s="1"/>
      <c r="V49" s="1"/>
    </row>
    <row r="50" spans="1:22" ht="12.75" customHeight="1" x14ac:dyDescent="0.2">
      <c r="A50" s="16"/>
      <c r="B50" s="16"/>
      <c r="C50" s="16"/>
      <c r="D50" s="16"/>
      <c r="E50" s="16"/>
      <c r="F50" s="16"/>
      <c r="G50" s="16"/>
      <c r="H50" s="16"/>
      <c r="I50" s="16"/>
      <c r="J50" s="16"/>
      <c r="K50" s="16"/>
      <c r="L50" s="16"/>
      <c r="M50" s="1"/>
      <c r="N50" s="1"/>
      <c r="O50" s="1"/>
      <c r="P50" s="1"/>
      <c r="Q50" s="1"/>
      <c r="R50" s="1"/>
      <c r="S50" s="1"/>
      <c r="T50" s="1"/>
      <c r="U50" s="1"/>
      <c r="V50" s="1"/>
    </row>
    <row r="51" spans="1:22" ht="12.75" customHeight="1" x14ac:dyDescent="0.2">
      <c r="A51" s="16"/>
      <c r="B51" s="16"/>
      <c r="C51" s="16"/>
      <c r="D51" s="16"/>
      <c r="E51" s="16"/>
      <c r="F51" s="16"/>
      <c r="G51" s="16"/>
      <c r="H51" s="16"/>
      <c r="I51" s="16"/>
      <c r="J51" s="16"/>
      <c r="K51" s="16"/>
      <c r="L51" s="16"/>
      <c r="M51" s="1"/>
      <c r="N51" s="1"/>
      <c r="O51" s="1"/>
      <c r="P51" s="1"/>
      <c r="Q51" s="1"/>
      <c r="R51" s="1"/>
      <c r="S51" s="1"/>
      <c r="T51" s="1"/>
      <c r="U51" s="1"/>
      <c r="V51" s="1"/>
    </row>
    <row r="52" spans="1:22" ht="12.75" customHeight="1" x14ac:dyDescent="0.2">
      <c r="A52" s="16"/>
      <c r="B52" s="16"/>
      <c r="C52" s="16"/>
      <c r="D52" s="16"/>
      <c r="E52" s="16"/>
      <c r="F52" s="16"/>
      <c r="G52" s="16"/>
      <c r="H52" s="16"/>
      <c r="I52" s="16"/>
      <c r="J52" s="16"/>
      <c r="K52" s="16"/>
      <c r="L52" s="16"/>
      <c r="M52" s="1"/>
      <c r="N52" s="1"/>
      <c r="O52" s="1"/>
      <c r="P52" s="1"/>
      <c r="Q52" s="1"/>
      <c r="R52" s="1"/>
      <c r="S52" s="1"/>
      <c r="T52" s="1"/>
      <c r="U52" s="1"/>
      <c r="V52" s="1"/>
    </row>
    <row r="53" spans="1:22" ht="12.75" customHeight="1" x14ac:dyDescent="0.2">
      <c r="A53" s="16"/>
      <c r="B53" s="16"/>
      <c r="C53" s="16"/>
      <c r="D53" s="16"/>
      <c r="E53" s="16"/>
      <c r="F53" s="16"/>
      <c r="G53" s="16"/>
      <c r="H53" s="16"/>
      <c r="I53" s="16"/>
      <c r="J53" s="16"/>
      <c r="K53" s="16"/>
      <c r="L53" s="16"/>
      <c r="M53" s="1"/>
      <c r="N53" s="1"/>
      <c r="O53" s="1"/>
      <c r="P53" s="1"/>
      <c r="Q53" s="1"/>
      <c r="R53" s="1"/>
      <c r="S53" s="1"/>
      <c r="T53" s="1"/>
      <c r="U53" s="1"/>
      <c r="V53" s="1"/>
    </row>
    <row r="54" spans="1:22" ht="12.75" customHeight="1" x14ac:dyDescent="0.2">
      <c r="A54" s="16"/>
      <c r="B54" s="16"/>
      <c r="C54" s="16"/>
      <c r="D54" s="16"/>
      <c r="E54" s="16"/>
      <c r="F54" s="16"/>
      <c r="G54" s="16"/>
      <c r="H54" s="16"/>
      <c r="I54" s="16"/>
      <c r="J54" s="16"/>
      <c r="K54" s="16"/>
      <c r="L54" s="16"/>
      <c r="M54" s="1"/>
      <c r="N54" s="1"/>
      <c r="O54" s="1"/>
      <c r="P54" s="1"/>
      <c r="Q54" s="1"/>
      <c r="R54" s="1"/>
      <c r="S54" s="1"/>
      <c r="T54" s="1"/>
      <c r="U54" s="1"/>
      <c r="V54" s="1"/>
    </row>
    <row r="55" spans="1:22" ht="12.75" customHeight="1" x14ac:dyDescent="0.2">
      <c r="A55" s="16"/>
      <c r="B55" s="16"/>
      <c r="C55" s="16"/>
      <c r="D55" s="16"/>
      <c r="E55" s="16"/>
      <c r="F55" s="16"/>
      <c r="G55" s="16"/>
      <c r="H55" s="16"/>
      <c r="I55" s="16"/>
      <c r="J55" s="16"/>
      <c r="K55" s="16"/>
      <c r="L55" s="16"/>
      <c r="M55" s="1"/>
      <c r="N55" s="1"/>
      <c r="O55" s="1"/>
      <c r="P55" s="1"/>
      <c r="Q55" s="1"/>
      <c r="R55" s="1"/>
      <c r="S55" s="1"/>
      <c r="T55" s="1"/>
      <c r="U55" s="1"/>
      <c r="V55" s="1"/>
    </row>
    <row r="56" spans="1:22" ht="12.75" customHeight="1" x14ac:dyDescent="0.2">
      <c r="A56" s="16"/>
      <c r="B56" s="16"/>
      <c r="C56" s="16"/>
      <c r="D56" s="16"/>
      <c r="E56" s="16"/>
      <c r="F56" s="16"/>
      <c r="G56" s="16"/>
      <c r="H56" s="16"/>
      <c r="I56" s="16"/>
      <c r="J56" s="16"/>
      <c r="K56" s="16"/>
      <c r="L56" s="16"/>
      <c r="M56" s="1"/>
      <c r="N56" s="1"/>
      <c r="O56" s="1"/>
      <c r="P56" s="1"/>
      <c r="Q56" s="1"/>
      <c r="R56" s="1"/>
      <c r="S56" s="1"/>
      <c r="T56" s="1"/>
      <c r="U56" s="1"/>
      <c r="V56" s="1"/>
    </row>
    <row r="57" spans="1:22" ht="12.75" customHeight="1" x14ac:dyDescent="0.2">
      <c r="A57" s="16"/>
      <c r="B57" s="16"/>
      <c r="C57" s="16"/>
      <c r="D57" s="16"/>
      <c r="E57" s="16"/>
      <c r="F57" s="16"/>
      <c r="G57" s="16"/>
      <c r="H57" s="16"/>
      <c r="I57" s="16"/>
      <c r="J57" s="16"/>
      <c r="K57" s="16"/>
      <c r="L57" s="16"/>
      <c r="M57" s="1"/>
      <c r="N57" s="1"/>
      <c r="O57" s="1"/>
      <c r="P57" s="1"/>
      <c r="Q57" s="1"/>
      <c r="R57" s="1"/>
      <c r="S57" s="1"/>
      <c r="T57" s="1"/>
      <c r="U57" s="1"/>
      <c r="V57" s="1"/>
    </row>
    <row r="58" spans="1:22" ht="12.75" customHeight="1" x14ac:dyDescent="0.2">
      <c r="A58" s="16"/>
      <c r="B58" s="16"/>
      <c r="C58" s="16"/>
      <c r="D58" s="16"/>
      <c r="E58" s="16"/>
      <c r="F58" s="16"/>
      <c r="G58" s="16"/>
      <c r="H58" s="16"/>
      <c r="I58" s="16"/>
      <c r="J58" s="16"/>
      <c r="K58" s="16"/>
      <c r="L58" s="16"/>
      <c r="M58" s="1"/>
      <c r="N58" s="1"/>
      <c r="O58" s="1"/>
      <c r="P58" s="1"/>
      <c r="Q58" s="1"/>
      <c r="R58" s="1"/>
      <c r="S58" s="1"/>
      <c r="T58" s="1"/>
      <c r="U58" s="1"/>
      <c r="V58" s="1"/>
    </row>
    <row r="59" spans="1:22" ht="12.75" customHeight="1" x14ac:dyDescent="0.2">
      <c r="A59" s="16"/>
      <c r="B59" s="16"/>
      <c r="C59" s="16"/>
      <c r="D59" s="16"/>
      <c r="E59" s="16"/>
      <c r="F59" s="16"/>
      <c r="G59" s="16"/>
      <c r="H59" s="16"/>
      <c r="I59" s="16"/>
      <c r="J59" s="16"/>
      <c r="K59" s="16"/>
      <c r="L59" s="16"/>
      <c r="M59" s="1"/>
      <c r="N59" s="1"/>
      <c r="O59" s="1"/>
      <c r="P59" s="1"/>
      <c r="Q59" s="1"/>
      <c r="R59" s="1"/>
      <c r="S59" s="1"/>
      <c r="T59" s="1"/>
      <c r="U59" s="1"/>
      <c r="V59" s="1"/>
    </row>
    <row r="60" spans="1:22" ht="12.75" customHeight="1" x14ac:dyDescent="0.2">
      <c r="A60" s="16"/>
      <c r="B60" s="16"/>
      <c r="C60" s="16"/>
      <c r="D60" s="16"/>
      <c r="E60" s="16"/>
      <c r="F60" s="16"/>
      <c r="G60" s="16"/>
      <c r="H60" s="16"/>
      <c r="I60" s="16"/>
      <c r="J60" s="16"/>
      <c r="K60" s="16"/>
      <c r="L60" s="16"/>
      <c r="M60" s="1"/>
      <c r="N60" s="1"/>
      <c r="O60" s="1"/>
      <c r="P60" s="1"/>
      <c r="Q60" s="1"/>
      <c r="R60" s="1"/>
      <c r="S60" s="1"/>
      <c r="T60" s="1"/>
      <c r="U60" s="1"/>
      <c r="V60" s="1"/>
    </row>
    <row r="61" spans="1:22" ht="12.75" customHeight="1" x14ac:dyDescent="0.2">
      <c r="A61" s="16"/>
      <c r="B61" s="16"/>
      <c r="C61" s="16"/>
      <c r="D61" s="16"/>
      <c r="E61" s="16"/>
      <c r="F61" s="16"/>
      <c r="G61" s="16"/>
      <c r="H61" s="16"/>
      <c r="I61" s="16"/>
      <c r="J61" s="16"/>
      <c r="K61" s="16"/>
      <c r="L61" s="16"/>
      <c r="M61" s="1"/>
      <c r="N61" s="1"/>
      <c r="O61" s="1"/>
      <c r="P61" s="1"/>
      <c r="Q61" s="1"/>
      <c r="R61" s="1"/>
      <c r="S61" s="1"/>
      <c r="T61" s="1"/>
      <c r="U61" s="1"/>
      <c r="V61" s="1"/>
    </row>
    <row r="62" spans="1:22" ht="12.75" customHeight="1" x14ac:dyDescent="0.2">
      <c r="A62" s="16"/>
      <c r="B62" s="16"/>
      <c r="C62" s="16"/>
      <c r="D62" s="16"/>
      <c r="E62" s="16"/>
      <c r="F62" s="16"/>
      <c r="G62" s="16"/>
      <c r="H62" s="16"/>
      <c r="I62" s="16"/>
      <c r="J62" s="16"/>
      <c r="K62" s="16"/>
      <c r="L62" s="16"/>
      <c r="M62" s="1"/>
      <c r="N62" s="1"/>
      <c r="O62" s="1"/>
      <c r="P62" s="1"/>
      <c r="Q62" s="1"/>
      <c r="R62" s="1"/>
      <c r="S62" s="1"/>
      <c r="T62" s="1"/>
      <c r="U62" s="1"/>
      <c r="V62" s="1"/>
    </row>
    <row r="63" spans="1:22" ht="12.75" customHeight="1" x14ac:dyDescent="0.2">
      <c r="A63" s="16"/>
      <c r="B63" s="16"/>
      <c r="C63" s="16"/>
      <c r="D63" s="16"/>
      <c r="E63" s="16"/>
      <c r="F63" s="16"/>
      <c r="G63" s="16"/>
      <c r="H63" s="16"/>
      <c r="I63" s="16"/>
      <c r="J63" s="16"/>
      <c r="K63" s="16"/>
      <c r="L63" s="16"/>
      <c r="M63" s="1"/>
      <c r="N63" s="1"/>
      <c r="O63" s="1"/>
      <c r="P63" s="1"/>
      <c r="Q63" s="1"/>
      <c r="R63" s="1"/>
      <c r="S63" s="1"/>
      <c r="T63" s="1"/>
      <c r="U63" s="1"/>
      <c r="V63" s="1"/>
    </row>
    <row r="64" spans="1:22" ht="12.75" customHeight="1" x14ac:dyDescent="0.2">
      <c r="A64" s="16"/>
      <c r="B64" s="16"/>
      <c r="C64" s="16"/>
      <c r="D64" s="16"/>
      <c r="E64" s="16"/>
      <c r="F64" s="16"/>
      <c r="G64" s="16"/>
      <c r="H64" s="16"/>
      <c r="I64" s="16"/>
      <c r="J64" s="16"/>
      <c r="K64" s="16"/>
      <c r="L64" s="16"/>
      <c r="M64" s="1"/>
      <c r="N64" s="1"/>
      <c r="O64" s="1"/>
      <c r="P64" s="1"/>
      <c r="Q64" s="1"/>
      <c r="R64" s="1"/>
      <c r="S64" s="1"/>
      <c r="T64" s="1"/>
      <c r="U64" s="1"/>
      <c r="V64" s="1"/>
    </row>
    <row r="65" spans="1:22" ht="12.75" customHeight="1" x14ac:dyDescent="0.2">
      <c r="A65" s="16"/>
      <c r="B65" s="16"/>
      <c r="C65" s="16"/>
      <c r="D65" s="16"/>
      <c r="E65" s="16"/>
      <c r="F65" s="16"/>
      <c r="G65" s="16"/>
      <c r="H65" s="16"/>
      <c r="I65" s="16"/>
      <c r="J65" s="16"/>
      <c r="K65" s="16"/>
      <c r="L65" s="16"/>
      <c r="M65" s="1"/>
      <c r="N65" s="1"/>
      <c r="O65" s="1"/>
      <c r="P65" s="1"/>
      <c r="Q65" s="1"/>
      <c r="R65" s="1"/>
      <c r="S65" s="1"/>
      <c r="T65" s="1"/>
      <c r="U65" s="1"/>
      <c r="V65" s="1"/>
    </row>
    <row r="66" spans="1:22" ht="12.75" customHeight="1" x14ac:dyDescent="0.2">
      <c r="A66" s="16"/>
      <c r="B66" s="16"/>
      <c r="C66" s="16"/>
      <c r="D66" s="16"/>
      <c r="E66" s="16"/>
      <c r="F66" s="16"/>
      <c r="G66" s="16"/>
      <c r="H66" s="16"/>
      <c r="I66" s="16"/>
      <c r="J66" s="16"/>
      <c r="K66" s="16"/>
      <c r="L66" s="16"/>
      <c r="M66" s="1"/>
      <c r="N66" s="1"/>
      <c r="O66" s="1"/>
      <c r="P66" s="1"/>
      <c r="Q66" s="1"/>
      <c r="R66" s="1"/>
      <c r="S66" s="1"/>
      <c r="T66" s="1"/>
      <c r="U66" s="1"/>
      <c r="V66" s="1"/>
    </row>
    <row r="67" spans="1:22" ht="12.75" customHeight="1" x14ac:dyDescent="0.2">
      <c r="A67" s="16"/>
      <c r="B67" s="16"/>
      <c r="C67" s="16"/>
      <c r="D67" s="16"/>
      <c r="E67" s="16"/>
      <c r="F67" s="16"/>
      <c r="G67" s="16"/>
      <c r="H67" s="16"/>
      <c r="I67" s="16"/>
      <c r="J67" s="16"/>
      <c r="K67" s="16"/>
      <c r="L67" s="16"/>
      <c r="M67" s="1"/>
      <c r="N67" s="1"/>
      <c r="O67" s="1"/>
      <c r="P67" s="1"/>
      <c r="Q67" s="1"/>
      <c r="R67" s="1"/>
      <c r="S67" s="1"/>
      <c r="T67" s="1"/>
      <c r="U67" s="1"/>
      <c r="V67" s="1"/>
    </row>
    <row r="68" spans="1:22" ht="12.75" customHeight="1" x14ac:dyDescent="0.2">
      <c r="A68" s="16"/>
      <c r="B68" s="16"/>
      <c r="C68" s="16"/>
      <c r="D68" s="16"/>
      <c r="E68" s="16"/>
      <c r="F68" s="16"/>
      <c r="G68" s="16"/>
      <c r="H68" s="16"/>
      <c r="I68" s="16"/>
      <c r="J68" s="16"/>
      <c r="K68" s="16"/>
      <c r="L68" s="16"/>
      <c r="M68" s="1"/>
      <c r="N68" s="1"/>
      <c r="O68" s="1"/>
      <c r="P68" s="1"/>
      <c r="Q68" s="1"/>
      <c r="R68" s="1"/>
      <c r="S68" s="1"/>
      <c r="T68" s="1"/>
      <c r="U68" s="1"/>
      <c r="V68" s="1"/>
    </row>
    <row r="69" spans="1:22" ht="12.75" customHeight="1" x14ac:dyDescent="0.2">
      <c r="A69" s="16"/>
      <c r="B69" s="16"/>
      <c r="C69" s="16"/>
      <c r="D69" s="16"/>
      <c r="E69" s="16"/>
      <c r="F69" s="16"/>
      <c r="G69" s="16"/>
      <c r="H69" s="16"/>
      <c r="I69" s="16"/>
      <c r="J69" s="16"/>
      <c r="K69" s="16"/>
      <c r="L69" s="16"/>
      <c r="M69" s="1"/>
      <c r="N69" s="1"/>
      <c r="O69" s="1"/>
      <c r="P69" s="1"/>
      <c r="Q69" s="1"/>
      <c r="R69" s="1"/>
      <c r="S69" s="1"/>
      <c r="T69" s="1"/>
      <c r="U69" s="1"/>
      <c r="V69" s="1"/>
    </row>
    <row r="70" spans="1:22" ht="12.75" customHeight="1" x14ac:dyDescent="0.2">
      <c r="A70" s="16"/>
      <c r="B70" s="16"/>
      <c r="C70" s="16"/>
      <c r="D70" s="16"/>
      <c r="E70" s="16"/>
      <c r="F70" s="16"/>
      <c r="G70" s="16"/>
      <c r="H70" s="16"/>
      <c r="I70" s="16"/>
      <c r="J70" s="16"/>
      <c r="K70" s="16"/>
      <c r="L70" s="16"/>
      <c r="M70" s="1"/>
      <c r="N70" s="1"/>
      <c r="O70" s="1"/>
      <c r="P70" s="1"/>
      <c r="Q70" s="1"/>
      <c r="R70" s="1"/>
      <c r="S70" s="1"/>
      <c r="T70" s="1"/>
      <c r="U70" s="1"/>
      <c r="V70" s="1"/>
    </row>
    <row r="71" spans="1:22" ht="12.75" customHeight="1" x14ac:dyDescent="0.2">
      <c r="A71" s="16"/>
      <c r="B71" s="16"/>
      <c r="C71" s="16"/>
      <c r="D71" s="16"/>
      <c r="E71" s="16"/>
      <c r="F71" s="16"/>
      <c r="G71" s="16"/>
      <c r="H71" s="16"/>
      <c r="I71" s="16"/>
      <c r="J71" s="16"/>
      <c r="K71" s="16"/>
      <c r="L71" s="16"/>
      <c r="M71" s="1"/>
      <c r="N71" s="1"/>
      <c r="O71" s="1"/>
      <c r="P71" s="1"/>
      <c r="Q71" s="1"/>
      <c r="R71" s="1"/>
      <c r="S71" s="1"/>
      <c r="T71" s="1"/>
      <c r="U71" s="1"/>
      <c r="V71" s="1"/>
    </row>
    <row r="72" spans="1:22" ht="12.75" customHeight="1" x14ac:dyDescent="0.2">
      <c r="A72" s="16"/>
      <c r="B72" s="16"/>
      <c r="C72" s="16"/>
      <c r="D72" s="16"/>
      <c r="E72" s="16"/>
      <c r="F72" s="16"/>
      <c r="G72" s="16"/>
      <c r="H72" s="16"/>
      <c r="I72" s="16"/>
      <c r="J72" s="16"/>
      <c r="K72" s="16"/>
      <c r="L72" s="16"/>
      <c r="M72" s="1"/>
      <c r="N72" s="1"/>
      <c r="O72" s="1"/>
      <c r="P72" s="1"/>
      <c r="Q72" s="1"/>
      <c r="R72" s="1"/>
      <c r="S72" s="1"/>
      <c r="T72" s="1"/>
      <c r="U72" s="1"/>
      <c r="V72" s="1"/>
    </row>
    <row r="73" spans="1:22" ht="12.75" customHeight="1" x14ac:dyDescent="0.2">
      <c r="A73" s="16"/>
      <c r="B73" s="16"/>
      <c r="C73" s="16"/>
      <c r="D73" s="16"/>
      <c r="E73" s="16"/>
      <c r="F73" s="16"/>
      <c r="G73" s="16"/>
      <c r="H73" s="16"/>
      <c r="I73" s="16"/>
      <c r="J73" s="16"/>
      <c r="K73" s="16"/>
      <c r="L73" s="16"/>
      <c r="M73" s="1"/>
      <c r="N73" s="1"/>
      <c r="O73" s="1"/>
      <c r="P73" s="1"/>
      <c r="Q73" s="1"/>
      <c r="R73" s="1"/>
      <c r="S73" s="1"/>
      <c r="T73" s="1"/>
      <c r="U73" s="1"/>
      <c r="V73" s="1"/>
    </row>
    <row r="74" spans="1:22" ht="12.75" customHeight="1" x14ac:dyDescent="0.2">
      <c r="A74" s="16"/>
      <c r="B74" s="16"/>
      <c r="C74" s="16"/>
      <c r="D74" s="16"/>
      <c r="E74" s="16"/>
      <c r="F74" s="16"/>
      <c r="G74" s="16"/>
      <c r="H74" s="16"/>
      <c r="I74" s="16"/>
      <c r="J74" s="16"/>
      <c r="K74" s="16"/>
      <c r="L74" s="16"/>
      <c r="M74" s="1"/>
      <c r="N74" s="1"/>
      <c r="O74" s="1"/>
      <c r="P74" s="1"/>
      <c r="Q74" s="1"/>
      <c r="R74" s="1"/>
      <c r="S74" s="1"/>
      <c r="T74" s="1"/>
      <c r="U74" s="1"/>
      <c r="V74" s="1"/>
    </row>
    <row r="75" spans="1:22" ht="12.75" customHeight="1" x14ac:dyDescent="0.2">
      <c r="A75" s="16"/>
      <c r="B75" s="16"/>
      <c r="C75" s="16"/>
      <c r="D75" s="16"/>
      <c r="E75" s="16"/>
      <c r="F75" s="16"/>
      <c r="G75" s="16"/>
      <c r="H75" s="16"/>
      <c r="I75" s="16"/>
      <c r="J75" s="16"/>
      <c r="K75" s="16"/>
      <c r="L75" s="16"/>
      <c r="M75" s="1"/>
      <c r="N75" s="1"/>
      <c r="O75" s="1"/>
      <c r="P75" s="1"/>
      <c r="Q75" s="1"/>
      <c r="R75" s="1"/>
      <c r="S75" s="1"/>
      <c r="T75" s="1"/>
      <c r="U75" s="1"/>
      <c r="V75" s="1"/>
    </row>
    <row r="76" spans="1:22" ht="12.75" customHeight="1" x14ac:dyDescent="0.2">
      <c r="A76" s="16"/>
      <c r="B76" s="16"/>
      <c r="C76" s="16"/>
      <c r="D76" s="16"/>
      <c r="E76" s="16"/>
      <c r="F76" s="16"/>
      <c r="G76" s="16"/>
      <c r="H76" s="16"/>
      <c r="I76" s="16"/>
      <c r="J76" s="16"/>
      <c r="K76" s="16"/>
      <c r="L76" s="16"/>
      <c r="M76" s="1"/>
      <c r="N76" s="1"/>
      <c r="O76" s="1"/>
      <c r="P76" s="1"/>
      <c r="Q76" s="1"/>
      <c r="R76" s="1"/>
      <c r="S76" s="1"/>
      <c r="T76" s="1"/>
      <c r="U76" s="1"/>
      <c r="V76" s="1"/>
    </row>
    <row r="77" spans="1:22" ht="12.75" customHeight="1" x14ac:dyDescent="0.2">
      <c r="A77" s="16"/>
      <c r="B77" s="16"/>
      <c r="C77" s="16"/>
      <c r="D77" s="16"/>
      <c r="E77" s="16"/>
      <c r="F77" s="16"/>
      <c r="G77" s="16"/>
      <c r="H77" s="16"/>
      <c r="I77" s="16"/>
      <c r="J77" s="16"/>
      <c r="K77" s="16"/>
      <c r="L77" s="16"/>
      <c r="M77" s="1"/>
      <c r="N77" s="1"/>
      <c r="O77" s="1"/>
      <c r="P77" s="1"/>
      <c r="Q77" s="1"/>
      <c r="R77" s="1"/>
      <c r="S77" s="1"/>
      <c r="T77" s="1"/>
      <c r="U77" s="1"/>
      <c r="V77" s="1"/>
    </row>
    <row r="78" spans="1:22" ht="12.75" customHeight="1" x14ac:dyDescent="0.2">
      <c r="A78" s="16"/>
      <c r="B78" s="16"/>
      <c r="C78" s="16"/>
      <c r="D78" s="16"/>
      <c r="E78" s="16"/>
      <c r="F78" s="16"/>
      <c r="G78" s="16"/>
      <c r="H78" s="16"/>
      <c r="I78" s="16"/>
      <c r="J78" s="16"/>
      <c r="K78" s="16"/>
      <c r="L78" s="16"/>
      <c r="M78" s="1"/>
      <c r="N78" s="1"/>
      <c r="O78" s="1"/>
      <c r="P78" s="1"/>
      <c r="Q78" s="1"/>
      <c r="R78" s="1"/>
      <c r="S78" s="1"/>
      <c r="T78" s="1"/>
      <c r="U78" s="1"/>
      <c r="V78" s="1"/>
    </row>
    <row r="79" spans="1:22" ht="12.75" customHeight="1" x14ac:dyDescent="0.2">
      <c r="A79" s="16"/>
      <c r="B79" s="16"/>
      <c r="C79" s="16"/>
      <c r="D79" s="16"/>
      <c r="E79" s="16"/>
      <c r="F79" s="16"/>
      <c r="G79" s="16"/>
      <c r="H79" s="16"/>
      <c r="I79" s="16"/>
      <c r="J79" s="16"/>
      <c r="K79" s="16"/>
      <c r="L79" s="16"/>
      <c r="M79" s="1"/>
      <c r="N79" s="1"/>
      <c r="O79" s="1"/>
      <c r="P79" s="1"/>
      <c r="Q79" s="1"/>
      <c r="R79" s="1"/>
      <c r="S79" s="1"/>
      <c r="T79" s="1"/>
      <c r="U79" s="1"/>
      <c r="V79" s="1"/>
    </row>
    <row r="80" spans="1:22" ht="12.75" customHeight="1" x14ac:dyDescent="0.2">
      <c r="A80" s="16"/>
      <c r="B80" s="16"/>
      <c r="C80" s="16"/>
      <c r="D80" s="16"/>
      <c r="E80" s="16"/>
      <c r="F80" s="16"/>
      <c r="G80" s="16"/>
      <c r="H80" s="16"/>
      <c r="I80" s="16"/>
      <c r="J80" s="16"/>
      <c r="K80" s="16"/>
      <c r="L80" s="16"/>
      <c r="M80" s="1"/>
      <c r="N80" s="1"/>
      <c r="O80" s="1"/>
      <c r="P80" s="1"/>
      <c r="Q80" s="1"/>
      <c r="R80" s="1"/>
      <c r="S80" s="1"/>
      <c r="T80" s="1"/>
      <c r="U80" s="1"/>
      <c r="V80" s="1"/>
    </row>
    <row r="81" spans="1:22" ht="12.75" customHeight="1" x14ac:dyDescent="0.2">
      <c r="A81" s="16"/>
      <c r="B81" s="16"/>
      <c r="C81" s="16"/>
      <c r="D81" s="16"/>
      <c r="E81" s="16"/>
      <c r="F81" s="16"/>
      <c r="G81" s="16"/>
      <c r="H81" s="16"/>
      <c r="I81" s="16"/>
      <c r="J81" s="16"/>
      <c r="K81" s="16"/>
      <c r="L81" s="16"/>
      <c r="M81" s="1"/>
      <c r="N81" s="1"/>
      <c r="O81" s="1"/>
      <c r="P81" s="1"/>
      <c r="Q81" s="1"/>
      <c r="R81" s="1"/>
      <c r="S81" s="1"/>
      <c r="T81" s="1"/>
      <c r="U81" s="1"/>
      <c r="V81" s="1"/>
    </row>
    <row r="82" spans="1:22" ht="12.75" customHeight="1" x14ac:dyDescent="0.2">
      <c r="A82" s="16"/>
      <c r="B82" s="16"/>
      <c r="C82" s="16"/>
      <c r="D82" s="16"/>
      <c r="E82" s="16"/>
      <c r="F82" s="16"/>
      <c r="G82" s="16"/>
      <c r="H82" s="16"/>
      <c r="I82" s="16"/>
      <c r="J82" s="16"/>
      <c r="K82" s="16"/>
      <c r="L82" s="16"/>
      <c r="M82" s="1"/>
      <c r="N82" s="1"/>
      <c r="O82" s="1"/>
      <c r="P82" s="1"/>
      <c r="Q82" s="1"/>
      <c r="R82" s="1"/>
      <c r="S82" s="1"/>
      <c r="T82" s="1"/>
      <c r="U82" s="1"/>
      <c r="V82" s="1"/>
    </row>
    <row r="83" spans="1:22" ht="12.75" customHeight="1" x14ac:dyDescent="0.2">
      <c r="A83" s="16"/>
      <c r="B83" s="16"/>
      <c r="C83" s="16"/>
      <c r="D83" s="16"/>
      <c r="E83" s="16"/>
      <c r="F83" s="16"/>
      <c r="G83" s="16"/>
      <c r="H83" s="16"/>
      <c r="I83" s="16"/>
      <c r="J83" s="16"/>
      <c r="K83" s="16"/>
      <c r="L83" s="16"/>
      <c r="M83" s="1"/>
      <c r="N83" s="1"/>
      <c r="O83" s="1"/>
      <c r="P83" s="1"/>
      <c r="Q83" s="1"/>
      <c r="R83" s="1"/>
      <c r="S83" s="1"/>
      <c r="T83" s="1"/>
      <c r="U83" s="1"/>
      <c r="V83" s="1"/>
    </row>
    <row r="84" spans="1:22" ht="12.75" customHeight="1" x14ac:dyDescent="0.2">
      <c r="A84" s="16"/>
      <c r="B84" s="16"/>
      <c r="C84" s="16"/>
      <c r="D84" s="16"/>
      <c r="E84" s="16"/>
      <c r="F84" s="16"/>
      <c r="G84" s="16"/>
      <c r="H84" s="16"/>
      <c r="I84" s="16"/>
      <c r="J84" s="16"/>
      <c r="K84" s="16"/>
      <c r="L84" s="16"/>
      <c r="M84" s="1"/>
      <c r="N84" s="1"/>
      <c r="O84" s="1"/>
      <c r="P84" s="1"/>
      <c r="Q84" s="1"/>
      <c r="R84" s="1"/>
      <c r="S84" s="1"/>
      <c r="T84" s="1"/>
      <c r="U84" s="1"/>
      <c r="V84" s="1"/>
    </row>
    <row r="85" spans="1:22" ht="12.75" customHeight="1" x14ac:dyDescent="0.2">
      <c r="A85" s="16"/>
      <c r="B85" s="16"/>
      <c r="C85" s="16"/>
      <c r="D85" s="16"/>
      <c r="E85" s="16"/>
      <c r="F85" s="16"/>
      <c r="G85" s="16"/>
      <c r="H85" s="16"/>
      <c r="I85" s="16"/>
      <c r="J85" s="16"/>
      <c r="K85" s="16"/>
      <c r="L85" s="16"/>
      <c r="M85" s="1"/>
      <c r="N85" s="1"/>
      <c r="O85" s="1"/>
      <c r="P85" s="1"/>
      <c r="Q85" s="1"/>
      <c r="R85" s="1"/>
      <c r="S85" s="1"/>
      <c r="T85" s="1"/>
      <c r="U85" s="1"/>
      <c r="V85" s="1"/>
    </row>
    <row r="86" spans="1:22" ht="12.75" customHeight="1" x14ac:dyDescent="0.2">
      <c r="A86" s="16"/>
      <c r="B86" s="16"/>
      <c r="C86" s="16"/>
      <c r="D86" s="16"/>
      <c r="E86" s="16"/>
      <c r="F86" s="16"/>
      <c r="G86" s="16"/>
      <c r="H86" s="16"/>
      <c r="I86" s="16"/>
      <c r="J86" s="16"/>
      <c r="K86" s="16"/>
      <c r="L86" s="16"/>
      <c r="M86" s="1"/>
      <c r="N86" s="1"/>
      <c r="O86" s="1"/>
      <c r="P86" s="1"/>
      <c r="Q86" s="1"/>
      <c r="R86" s="1"/>
      <c r="S86" s="1"/>
      <c r="T86" s="1"/>
      <c r="U86" s="1"/>
      <c r="V86" s="1"/>
    </row>
    <row r="87" spans="1:22" ht="12.75" customHeight="1" x14ac:dyDescent="0.2">
      <c r="A87" s="16"/>
      <c r="B87" s="16"/>
      <c r="C87" s="16"/>
      <c r="D87" s="16"/>
      <c r="E87" s="16"/>
      <c r="F87" s="16"/>
      <c r="G87" s="16"/>
      <c r="H87" s="16"/>
      <c r="I87" s="16"/>
      <c r="J87" s="16"/>
      <c r="K87" s="16"/>
      <c r="L87" s="16"/>
      <c r="M87" s="1"/>
      <c r="N87" s="1"/>
      <c r="O87" s="1"/>
      <c r="P87" s="1"/>
      <c r="Q87" s="1"/>
      <c r="R87" s="1"/>
      <c r="S87" s="1"/>
      <c r="T87" s="1"/>
      <c r="U87" s="1"/>
      <c r="V87" s="1"/>
    </row>
    <row r="88" spans="1:22" ht="12.75" customHeight="1" x14ac:dyDescent="0.2">
      <c r="A88" s="16"/>
      <c r="B88" s="16"/>
      <c r="C88" s="16"/>
      <c r="D88" s="16"/>
      <c r="E88" s="16"/>
      <c r="F88" s="16"/>
      <c r="G88" s="16"/>
      <c r="H88" s="16"/>
      <c r="I88" s="16"/>
      <c r="J88" s="16"/>
      <c r="K88" s="16"/>
      <c r="L88" s="16"/>
      <c r="M88" s="1"/>
      <c r="N88" s="1"/>
      <c r="O88" s="1"/>
      <c r="P88" s="1"/>
      <c r="Q88" s="1"/>
      <c r="R88" s="1"/>
      <c r="S88" s="1"/>
      <c r="T88" s="1"/>
      <c r="U88" s="1"/>
      <c r="V88" s="1"/>
    </row>
    <row r="89" spans="1:22" ht="12.75" customHeight="1" x14ac:dyDescent="0.2">
      <c r="A89" s="16"/>
      <c r="B89" s="16"/>
      <c r="C89" s="16"/>
      <c r="D89" s="16"/>
      <c r="E89" s="16"/>
      <c r="F89" s="16"/>
      <c r="G89" s="16"/>
      <c r="H89" s="16"/>
      <c r="I89" s="16"/>
      <c r="J89" s="16"/>
      <c r="K89" s="16"/>
      <c r="L89" s="16"/>
      <c r="M89" s="1"/>
      <c r="N89" s="1"/>
      <c r="O89" s="1"/>
      <c r="P89" s="1"/>
      <c r="Q89" s="1"/>
      <c r="R89" s="1"/>
      <c r="S89" s="1"/>
      <c r="T89" s="1"/>
      <c r="U89" s="1"/>
      <c r="V89" s="1"/>
    </row>
    <row r="90" spans="1:22" ht="12.75" customHeight="1" x14ac:dyDescent="0.2">
      <c r="A90" s="16"/>
      <c r="B90" s="16"/>
      <c r="C90" s="16"/>
      <c r="D90" s="16"/>
      <c r="E90" s="16"/>
      <c r="F90" s="16"/>
      <c r="G90" s="16"/>
      <c r="H90" s="16"/>
      <c r="I90" s="16"/>
      <c r="J90" s="16"/>
      <c r="K90" s="16"/>
      <c r="L90" s="16"/>
      <c r="M90" s="1"/>
      <c r="N90" s="1"/>
      <c r="O90" s="1"/>
      <c r="P90" s="1"/>
      <c r="Q90" s="1"/>
      <c r="R90" s="1"/>
      <c r="S90" s="1"/>
      <c r="T90" s="1"/>
      <c r="U90" s="1"/>
      <c r="V90" s="1"/>
    </row>
    <row r="91" spans="1:22" ht="12.75" customHeight="1" x14ac:dyDescent="0.2">
      <c r="A91" s="16"/>
      <c r="B91" s="16"/>
      <c r="C91" s="16"/>
      <c r="D91" s="16"/>
      <c r="E91" s="16"/>
      <c r="F91" s="16"/>
      <c r="G91" s="16"/>
      <c r="H91" s="16"/>
      <c r="I91" s="16"/>
      <c r="J91" s="16"/>
      <c r="K91" s="16"/>
      <c r="L91" s="16"/>
      <c r="M91" s="1"/>
      <c r="N91" s="1"/>
      <c r="O91" s="1"/>
      <c r="P91" s="1"/>
      <c r="Q91" s="1"/>
      <c r="R91" s="1"/>
      <c r="S91" s="1"/>
      <c r="T91" s="1"/>
      <c r="U91" s="1"/>
      <c r="V91" s="1"/>
    </row>
    <row r="92" spans="1:22" ht="12.75" customHeight="1" x14ac:dyDescent="0.2">
      <c r="A92" s="16"/>
      <c r="B92" s="16"/>
      <c r="C92" s="16"/>
      <c r="D92" s="16"/>
      <c r="E92" s="16"/>
      <c r="F92" s="16"/>
      <c r="G92" s="16"/>
      <c r="H92" s="16"/>
      <c r="I92" s="16"/>
      <c r="J92" s="16"/>
      <c r="K92" s="16"/>
      <c r="L92" s="16"/>
      <c r="M92" s="1"/>
      <c r="N92" s="1"/>
      <c r="O92" s="1"/>
      <c r="P92" s="1"/>
      <c r="Q92" s="1"/>
      <c r="R92" s="1"/>
      <c r="S92" s="1"/>
      <c r="T92" s="1"/>
      <c r="U92" s="1"/>
      <c r="V92" s="1"/>
    </row>
    <row r="93" spans="1:22" ht="12.75" customHeight="1" x14ac:dyDescent="0.2">
      <c r="A93" s="16"/>
      <c r="B93" s="16"/>
      <c r="C93" s="16"/>
      <c r="D93" s="16"/>
      <c r="E93" s="16"/>
      <c r="F93" s="16"/>
      <c r="G93" s="16"/>
      <c r="H93" s="16"/>
      <c r="I93" s="16"/>
      <c r="J93" s="16"/>
      <c r="K93" s="16"/>
      <c r="L93" s="16"/>
      <c r="M93" s="1"/>
      <c r="N93" s="1"/>
      <c r="O93" s="1"/>
      <c r="P93" s="1"/>
      <c r="Q93" s="1"/>
      <c r="R93" s="1"/>
      <c r="S93" s="1"/>
      <c r="T93" s="1"/>
      <c r="U93" s="1"/>
      <c r="V93" s="1"/>
    </row>
    <row r="94" spans="1:22" ht="12.75" customHeight="1" x14ac:dyDescent="0.2">
      <c r="A94" s="16"/>
      <c r="B94" s="16"/>
      <c r="C94" s="16"/>
      <c r="D94" s="16"/>
      <c r="E94" s="16"/>
      <c r="F94" s="16"/>
      <c r="G94" s="16"/>
      <c r="H94" s="16"/>
      <c r="I94" s="16"/>
      <c r="J94" s="16"/>
      <c r="K94" s="16"/>
      <c r="L94" s="16"/>
      <c r="M94" s="1"/>
      <c r="N94" s="1"/>
      <c r="O94" s="1"/>
      <c r="P94" s="1"/>
      <c r="Q94" s="1"/>
      <c r="R94" s="1"/>
      <c r="S94" s="1"/>
      <c r="T94" s="1"/>
      <c r="U94" s="1"/>
      <c r="V94" s="1"/>
    </row>
    <row r="95" spans="1:22" ht="12.75" customHeight="1" x14ac:dyDescent="0.2">
      <c r="A95" s="16"/>
      <c r="B95" s="16"/>
      <c r="C95" s="16"/>
      <c r="D95" s="16"/>
      <c r="E95" s="16"/>
      <c r="F95" s="16"/>
      <c r="G95" s="16"/>
      <c r="H95" s="16"/>
      <c r="I95" s="16"/>
      <c r="J95" s="16"/>
      <c r="K95" s="16"/>
      <c r="L95" s="16"/>
      <c r="M95" s="1"/>
      <c r="N95" s="1"/>
      <c r="O95" s="1"/>
      <c r="P95" s="1"/>
      <c r="Q95" s="1"/>
      <c r="R95" s="1"/>
      <c r="S95" s="1"/>
      <c r="T95" s="1"/>
      <c r="U95" s="1"/>
      <c r="V95" s="1"/>
    </row>
    <row r="96" spans="1:22" ht="12.75" customHeight="1" x14ac:dyDescent="0.2">
      <c r="A96" s="16"/>
      <c r="B96" s="16"/>
      <c r="C96" s="16"/>
      <c r="D96" s="16"/>
      <c r="E96" s="16"/>
      <c r="F96" s="16"/>
      <c r="G96" s="16"/>
      <c r="H96" s="16"/>
      <c r="I96" s="16"/>
      <c r="J96" s="16"/>
      <c r="K96" s="16"/>
      <c r="L96" s="16"/>
      <c r="M96" s="1"/>
      <c r="N96" s="1"/>
      <c r="O96" s="1"/>
      <c r="P96" s="1"/>
      <c r="Q96" s="1"/>
      <c r="R96" s="1"/>
      <c r="S96" s="1"/>
      <c r="T96" s="1"/>
      <c r="U96" s="1"/>
      <c r="V96" s="1"/>
    </row>
    <row r="97" spans="1:22" ht="12.75" customHeight="1" x14ac:dyDescent="0.2">
      <c r="A97" s="16"/>
      <c r="B97" s="16"/>
      <c r="C97" s="16"/>
      <c r="D97" s="16"/>
      <c r="E97" s="16"/>
      <c r="F97" s="16"/>
      <c r="G97" s="16"/>
      <c r="H97" s="16"/>
      <c r="I97" s="16"/>
      <c r="J97" s="16"/>
      <c r="K97" s="16"/>
      <c r="L97" s="16"/>
      <c r="M97" s="1"/>
      <c r="N97" s="1"/>
      <c r="O97" s="1"/>
      <c r="P97" s="1"/>
      <c r="Q97" s="1"/>
      <c r="R97" s="1"/>
      <c r="S97" s="1"/>
      <c r="T97" s="1"/>
      <c r="U97" s="1"/>
      <c r="V97" s="1"/>
    </row>
    <row r="98" spans="1:22" ht="12.75" customHeight="1" x14ac:dyDescent="0.2">
      <c r="A98" s="16"/>
      <c r="B98" s="16"/>
      <c r="C98" s="16"/>
      <c r="D98" s="16"/>
      <c r="E98" s="16"/>
      <c r="F98" s="16"/>
      <c r="G98" s="16"/>
      <c r="H98" s="16"/>
      <c r="I98" s="16"/>
      <c r="J98" s="16"/>
      <c r="K98" s="16"/>
      <c r="L98" s="16"/>
      <c r="M98" s="1"/>
      <c r="N98" s="1"/>
      <c r="O98" s="1"/>
      <c r="P98" s="1"/>
      <c r="Q98" s="1"/>
      <c r="R98" s="1"/>
      <c r="S98" s="1"/>
      <c r="T98" s="1"/>
      <c r="U98" s="1"/>
      <c r="V98" s="1"/>
    </row>
    <row r="99" spans="1:22" ht="12.75" customHeight="1" x14ac:dyDescent="0.2">
      <c r="A99" s="16"/>
      <c r="B99" s="16"/>
      <c r="C99" s="16"/>
      <c r="D99" s="16"/>
      <c r="E99" s="16"/>
      <c r="F99" s="16"/>
      <c r="G99" s="16"/>
      <c r="H99" s="16"/>
      <c r="I99" s="16"/>
      <c r="J99" s="16"/>
      <c r="K99" s="16"/>
      <c r="L99" s="16"/>
      <c r="M99" s="1"/>
      <c r="N99" s="1"/>
      <c r="O99" s="1"/>
      <c r="P99" s="1"/>
      <c r="Q99" s="1"/>
      <c r="R99" s="1"/>
      <c r="S99" s="1"/>
      <c r="T99" s="1"/>
      <c r="U99" s="1"/>
      <c r="V99" s="1"/>
    </row>
    <row r="100" spans="1:22" ht="12.75" customHeight="1" x14ac:dyDescent="0.2">
      <c r="A100" s="16"/>
      <c r="B100" s="16"/>
      <c r="C100" s="16"/>
      <c r="D100" s="16"/>
      <c r="E100" s="16"/>
      <c r="F100" s="16"/>
      <c r="G100" s="16"/>
      <c r="H100" s="16"/>
      <c r="I100" s="16"/>
      <c r="J100" s="16"/>
      <c r="K100" s="16"/>
      <c r="L100" s="16"/>
      <c r="M100" s="1"/>
      <c r="N100" s="1"/>
      <c r="O100" s="1"/>
      <c r="P100" s="1"/>
      <c r="Q100" s="1"/>
      <c r="R100" s="1"/>
      <c r="S100" s="1"/>
      <c r="T100" s="1"/>
      <c r="U100" s="1"/>
      <c r="V100" s="1"/>
    </row>
    <row r="101" spans="1:22" ht="12.75" customHeight="1" x14ac:dyDescent="0.2">
      <c r="A101" s="16"/>
      <c r="B101" s="16"/>
      <c r="C101" s="16"/>
      <c r="D101" s="16"/>
      <c r="E101" s="16"/>
      <c r="F101" s="16"/>
      <c r="G101" s="16"/>
      <c r="H101" s="16"/>
      <c r="I101" s="16"/>
      <c r="J101" s="16"/>
      <c r="K101" s="16"/>
      <c r="L101" s="16"/>
      <c r="M101" s="1"/>
      <c r="N101" s="1"/>
      <c r="O101" s="1"/>
      <c r="P101" s="1"/>
      <c r="Q101" s="1"/>
      <c r="R101" s="1"/>
      <c r="S101" s="1"/>
      <c r="T101" s="1"/>
      <c r="U101" s="1"/>
      <c r="V101" s="1"/>
    </row>
    <row r="102" spans="1:22" ht="12.75" customHeight="1" x14ac:dyDescent="0.2">
      <c r="A102" s="16"/>
      <c r="B102" s="16"/>
      <c r="C102" s="16"/>
      <c r="D102" s="16"/>
      <c r="E102" s="16"/>
      <c r="F102" s="16"/>
      <c r="G102" s="16"/>
      <c r="H102" s="16"/>
      <c r="I102" s="16"/>
      <c r="J102" s="16"/>
      <c r="K102" s="16"/>
      <c r="L102" s="16"/>
      <c r="M102" s="1"/>
      <c r="N102" s="1"/>
      <c r="O102" s="1"/>
      <c r="P102" s="1"/>
      <c r="Q102" s="1"/>
      <c r="R102" s="1"/>
      <c r="S102" s="1"/>
      <c r="T102" s="1"/>
      <c r="U102" s="1"/>
      <c r="V102" s="1"/>
    </row>
    <row r="103" spans="1:22" ht="12.75" customHeight="1" x14ac:dyDescent="0.2">
      <c r="A103" s="16"/>
      <c r="B103" s="16"/>
      <c r="C103" s="16"/>
      <c r="D103" s="16"/>
      <c r="E103" s="16"/>
      <c r="F103" s="16"/>
      <c r="G103" s="16"/>
      <c r="H103" s="16"/>
      <c r="I103" s="16"/>
      <c r="J103" s="16"/>
      <c r="K103" s="16"/>
      <c r="L103" s="16"/>
      <c r="M103" s="1"/>
      <c r="N103" s="1"/>
      <c r="O103" s="1"/>
      <c r="P103" s="1"/>
      <c r="Q103" s="1"/>
      <c r="R103" s="1"/>
      <c r="S103" s="1"/>
      <c r="T103" s="1"/>
      <c r="U103" s="1"/>
      <c r="V103" s="1"/>
    </row>
    <row r="104" spans="1:22" ht="12.75" customHeight="1" x14ac:dyDescent="0.2">
      <c r="A104" s="16"/>
      <c r="B104" s="16"/>
      <c r="C104" s="16"/>
      <c r="D104" s="16"/>
      <c r="E104" s="16"/>
      <c r="F104" s="16"/>
      <c r="G104" s="16"/>
      <c r="H104" s="16"/>
      <c r="I104" s="16"/>
      <c r="J104" s="16"/>
      <c r="K104" s="16"/>
      <c r="L104" s="16"/>
      <c r="M104" s="1"/>
      <c r="N104" s="1"/>
      <c r="O104" s="1"/>
      <c r="P104" s="1"/>
      <c r="Q104" s="1"/>
      <c r="R104" s="1"/>
      <c r="S104" s="1"/>
      <c r="T104" s="1"/>
      <c r="U104" s="1"/>
      <c r="V104" s="1"/>
    </row>
    <row r="105" spans="1:22" ht="12.75" customHeight="1" x14ac:dyDescent="0.2">
      <c r="A105" s="16"/>
      <c r="B105" s="16"/>
      <c r="C105" s="16"/>
      <c r="D105" s="16"/>
      <c r="E105" s="16"/>
      <c r="F105" s="16"/>
      <c r="G105" s="16"/>
      <c r="H105" s="16"/>
      <c r="I105" s="16"/>
      <c r="J105" s="16"/>
      <c r="K105" s="16"/>
      <c r="L105" s="16"/>
      <c r="M105" s="1"/>
      <c r="N105" s="1"/>
      <c r="O105" s="1"/>
      <c r="P105" s="1"/>
      <c r="Q105" s="1"/>
      <c r="R105" s="1"/>
      <c r="S105" s="1"/>
      <c r="T105" s="1"/>
      <c r="U105" s="1"/>
      <c r="V105" s="1"/>
    </row>
    <row r="106" spans="1:22" ht="12.75" customHeight="1" x14ac:dyDescent="0.2">
      <c r="A106" s="16"/>
      <c r="B106" s="16"/>
      <c r="C106" s="16"/>
      <c r="D106" s="16"/>
      <c r="E106" s="16"/>
      <c r="F106" s="16"/>
      <c r="G106" s="16"/>
      <c r="H106" s="16"/>
      <c r="I106" s="16"/>
      <c r="J106" s="16"/>
      <c r="K106" s="16"/>
      <c r="L106" s="16"/>
      <c r="M106" s="1"/>
      <c r="N106" s="1"/>
      <c r="O106" s="1"/>
      <c r="P106" s="1"/>
      <c r="Q106" s="1"/>
      <c r="R106" s="1"/>
      <c r="S106" s="1"/>
      <c r="T106" s="1"/>
      <c r="U106" s="1"/>
      <c r="V106" s="1"/>
    </row>
    <row r="107" spans="1:22" ht="12.75" customHeight="1" x14ac:dyDescent="0.2">
      <c r="A107" s="16"/>
      <c r="B107" s="16"/>
      <c r="C107" s="16"/>
      <c r="D107" s="16"/>
      <c r="E107" s="16"/>
      <c r="F107" s="16"/>
      <c r="G107" s="16"/>
      <c r="H107" s="16"/>
      <c r="I107" s="16"/>
      <c r="J107" s="16"/>
      <c r="K107" s="16"/>
      <c r="L107" s="16"/>
      <c r="M107" s="1"/>
      <c r="N107" s="1"/>
      <c r="O107" s="1"/>
      <c r="P107" s="1"/>
      <c r="Q107" s="1"/>
      <c r="R107" s="1"/>
      <c r="S107" s="1"/>
      <c r="T107" s="1"/>
      <c r="U107" s="1"/>
      <c r="V107" s="1"/>
    </row>
    <row r="108" spans="1:22" ht="12.75" customHeight="1" x14ac:dyDescent="0.2">
      <c r="A108" s="16"/>
      <c r="B108" s="16"/>
      <c r="C108" s="16"/>
      <c r="D108" s="16"/>
      <c r="E108" s="16"/>
      <c r="F108" s="16"/>
      <c r="G108" s="16"/>
      <c r="H108" s="16"/>
      <c r="I108" s="16"/>
      <c r="J108" s="16"/>
      <c r="K108" s="16"/>
      <c r="L108" s="16"/>
      <c r="M108" s="1"/>
      <c r="N108" s="1"/>
      <c r="O108" s="1"/>
      <c r="P108" s="1"/>
      <c r="Q108" s="1"/>
      <c r="R108" s="1"/>
      <c r="S108" s="1"/>
      <c r="T108" s="1"/>
      <c r="U108" s="1"/>
      <c r="V108" s="1"/>
    </row>
    <row r="109" spans="1:22" ht="12.75" customHeight="1" x14ac:dyDescent="0.2">
      <c r="A109" s="16"/>
      <c r="B109" s="16"/>
      <c r="C109" s="16"/>
      <c r="D109" s="16"/>
      <c r="E109" s="16"/>
      <c r="F109" s="16"/>
      <c r="G109" s="16"/>
      <c r="H109" s="16"/>
      <c r="I109" s="16"/>
      <c r="J109" s="16"/>
      <c r="K109" s="16"/>
      <c r="L109" s="16"/>
      <c r="M109" s="1"/>
      <c r="N109" s="1"/>
      <c r="O109" s="1"/>
      <c r="P109" s="1"/>
      <c r="Q109" s="1"/>
      <c r="R109" s="1"/>
      <c r="S109" s="1"/>
      <c r="T109" s="1"/>
      <c r="U109" s="1"/>
      <c r="V109" s="1"/>
    </row>
    <row r="110" spans="1:22" ht="12.75" customHeight="1" x14ac:dyDescent="0.2">
      <c r="A110" s="16"/>
      <c r="B110" s="16"/>
      <c r="C110" s="16"/>
      <c r="D110" s="16"/>
      <c r="E110" s="16"/>
      <c r="F110" s="16"/>
      <c r="G110" s="16"/>
      <c r="H110" s="16"/>
      <c r="I110" s="16"/>
      <c r="J110" s="16"/>
      <c r="K110" s="16"/>
      <c r="L110" s="16"/>
      <c r="M110" s="1"/>
      <c r="N110" s="1"/>
      <c r="O110" s="1"/>
      <c r="P110" s="1"/>
      <c r="Q110" s="1"/>
      <c r="R110" s="1"/>
      <c r="S110" s="1"/>
      <c r="T110" s="1"/>
      <c r="U110" s="1"/>
      <c r="V110" s="1"/>
    </row>
    <row r="111" spans="1:22" ht="12.75" customHeight="1" x14ac:dyDescent="0.2">
      <c r="A111" s="16"/>
      <c r="B111" s="16"/>
      <c r="C111" s="16"/>
      <c r="D111" s="16"/>
      <c r="E111" s="16"/>
      <c r="F111" s="16"/>
      <c r="G111" s="16"/>
      <c r="H111" s="16"/>
      <c r="I111" s="16"/>
      <c r="J111" s="16"/>
      <c r="K111" s="16"/>
      <c r="L111" s="16"/>
      <c r="M111" s="1"/>
      <c r="N111" s="1"/>
      <c r="O111" s="1"/>
      <c r="P111" s="1"/>
      <c r="Q111" s="1"/>
      <c r="R111" s="1"/>
      <c r="S111" s="1"/>
      <c r="T111" s="1"/>
      <c r="U111" s="1"/>
      <c r="V111" s="1"/>
    </row>
    <row r="112" spans="1:22" ht="12.75" customHeight="1" x14ac:dyDescent="0.2">
      <c r="A112" s="16"/>
      <c r="B112" s="16"/>
      <c r="C112" s="16"/>
      <c r="D112" s="16"/>
      <c r="E112" s="16"/>
      <c r="F112" s="16"/>
      <c r="G112" s="16"/>
      <c r="H112" s="16"/>
      <c r="I112" s="16"/>
      <c r="J112" s="16"/>
      <c r="K112" s="16"/>
      <c r="L112" s="16"/>
      <c r="M112" s="1"/>
      <c r="N112" s="1"/>
      <c r="O112" s="1"/>
      <c r="P112" s="1"/>
      <c r="Q112" s="1"/>
      <c r="R112" s="1"/>
      <c r="S112" s="1"/>
      <c r="T112" s="1"/>
      <c r="U112" s="1"/>
      <c r="V112" s="1"/>
    </row>
    <row r="113" spans="1:22" ht="12.75" customHeight="1" x14ac:dyDescent="0.2">
      <c r="A113" s="16"/>
      <c r="B113" s="16"/>
      <c r="C113" s="16"/>
      <c r="D113" s="16"/>
      <c r="E113" s="16"/>
      <c r="F113" s="16"/>
      <c r="G113" s="16"/>
      <c r="H113" s="16"/>
      <c r="I113" s="16"/>
      <c r="J113" s="16"/>
      <c r="K113" s="16"/>
      <c r="L113" s="16"/>
      <c r="M113" s="1"/>
      <c r="N113" s="1"/>
      <c r="O113" s="1"/>
      <c r="P113" s="1"/>
      <c r="Q113" s="1"/>
      <c r="R113" s="1"/>
      <c r="S113" s="1"/>
      <c r="T113" s="1"/>
      <c r="U113" s="1"/>
      <c r="V113" s="1"/>
    </row>
    <row r="114" spans="1:22" ht="12.75" customHeight="1" x14ac:dyDescent="0.2">
      <c r="A114" s="16"/>
      <c r="B114" s="16"/>
      <c r="C114" s="16"/>
      <c r="D114" s="16"/>
      <c r="E114" s="16"/>
      <c r="F114" s="16"/>
      <c r="G114" s="16"/>
      <c r="H114" s="16"/>
      <c r="I114" s="16"/>
      <c r="J114" s="16"/>
      <c r="K114" s="16"/>
      <c r="L114" s="16"/>
      <c r="M114" s="1"/>
      <c r="N114" s="1"/>
      <c r="O114" s="1"/>
      <c r="P114" s="1"/>
      <c r="Q114" s="1"/>
      <c r="R114" s="1"/>
      <c r="S114" s="1"/>
      <c r="T114" s="1"/>
      <c r="U114" s="1"/>
      <c r="V114" s="1"/>
    </row>
    <row r="115" spans="1:22" ht="12.75" customHeight="1" x14ac:dyDescent="0.2">
      <c r="A115" s="16"/>
      <c r="B115" s="16"/>
      <c r="C115" s="16"/>
      <c r="D115" s="16"/>
      <c r="E115" s="16"/>
      <c r="F115" s="16"/>
      <c r="G115" s="16"/>
      <c r="H115" s="16"/>
      <c r="I115" s="16"/>
      <c r="J115" s="16"/>
      <c r="K115" s="16"/>
      <c r="L115" s="16"/>
      <c r="M115" s="1"/>
      <c r="N115" s="1"/>
      <c r="O115" s="1"/>
      <c r="P115" s="1"/>
      <c r="Q115" s="1"/>
      <c r="R115" s="1"/>
      <c r="S115" s="1"/>
      <c r="T115" s="1"/>
      <c r="U115" s="1"/>
      <c r="V115" s="1"/>
    </row>
    <row r="116" spans="1:22" ht="12.75" customHeight="1" x14ac:dyDescent="0.2">
      <c r="A116" s="16"/>
      <c r="B116" s="16"/>
      <c r="C116" s="16"/>
      <c r="D116" s="16"/>
      <c r="E116" s="16"/>
      <c r="F116" s="16"/>
      <c r="G116" s="16"/>
      <c r="H116" s="16"/>
      <c r="I116" s="16"/>
      <c r="J116" s="16"/>
      <c r="K116" s="16"/>
      <c r="L116" s="16"/>
      <c r="M116" s="1"/>
      <c r="N116" s="1"/>
      <c r="O116" s="1"/>
      <c r="P116" s="1"/>
      <c r="Q116" s="1"/>
      <c r="R116" s="1"/>
      <c r="S116" s="1"/>
      <c r="T116" s="1"/>
      <c r="U116" s="1"/>
      <c r="V116" s="1"/>
    </row>
    <row r="117" spans="1:22" ht="12.75" customHeight="1" x14ac:dyDescent="0.2">
      <c r="A117" s="16"/>
      <c r="B117" s="16"/>
      <c r="C117" s="16"/>
      <c r="D117" s="16"/>
      <c r="E117" s="16"/>
      <c r="F117" s="16"/>
      <c r="G117" s="16"/>
      <c r="H117" s="16"/>
      <c r="I117" s="16"/>
      <c r="J117" s="16"/>
      <c r="K117" s="16"/>
      <c r="L117" s="16"/>
      <c r="M117" s="1"/>
      <c r="N117" s="1"/>
      <c r="O117" s="1"/>
      <c r="P117" s="1"/>
      <c r="Q117" s="1"/>
      <c r="R117" s="1"/>
      <c r="S117" s="1"/>
      <c r="T117" s="1"/>
      <c r="U117" s="1"/>
      <c r="V117" s="1"/>
    </row>
    <row r="118" spans="1:22" ht="12.75" customHeight="1" x14ac:dyDescent="0.2">
      <c r="A118" s="16"/>
      <c r="B118" s="16"/>
      <c r="C118" s="16"/>
      <c r="D118" s="16"/>
      <c r="E118" s="16"/>
      <c r="F118" s="16"/>
      <c r="G118" s="16"/>
      <c r="H118" s="16"/>
      <c r="I118" s="16"/>
      <c r="J118" s="16"/>
      <c r="K118" s="16"/>
      <c r="L118" s="16"/>
      <c r="M118" s="1"/>
      <c r="N118" s="1"/>
      <c r="O118" s="1"/>
      <c r="P118" s="1"/>
      <c r="Q118" s="1"/>
      <c r="R118" s="1"/>
      <c r="S118" s="1"/>
      <c r="T118" s="1"/>
      <c r="U118" s="1"/>
      <c r="V118" s="1"/>
    </row>
    <row r="119" spans="1:22" ht="12.75" customHeight="1" x14ac:dyDescent="0.2">
      <c r="A119" s="16"/>
      <c r="B119" s="16"/>
      <c r="C119" s="16"/>
      <c r="D119" s="16"/>
      <c r="E119" s="16"/>
      <c r="F119" s="16"/>
      <c r="G119" s="16"/>
      <c r="H119" s="16"/>
      <c r="I119" s="16"/>
      <c r="J119" s="16"/>
      <c r="K119" s="16"/>
      <c r="L119" s="16"/>
      <c r="M119" s="1"/>
      <c r="N119" s="1"/>
      <c r="O119" s="1"/>
      <c r="P119" s="1"/>
      <c r="Q119" s="1"/>
      <c r="R119" s="1"/>
      <c r="S119" s="1"/>
      <c r="T119" s="1"/>
      <c r="U119" s="1"/>
      <c r="V119" s="1"/>
    </row>
    <row r="120" spans="1:22" ht="12.75" customHeight="1" x14ac:dyDescent="0.2">
      <c r="A120" s="16"/>
      <c r="B120" s="16"/>
      <c r="C120" s="16"/>
      <c r="D120" s="16"/>
      <c r="E120" s="16"/>
      <c r="F120" s="16"/>
      <c r="G120" s="16"/>
      <c r="H120" s="16"/>
      <c r="I120" s="16"/>
      <c r="J120" s="16"/>
      <c r="K120" s="16"/>
      <c r="L120" s="16"/>
      <c r="M120" s="1"/>
      <c r="N120" s="1"/>
      <c r="O120" s="1"/>
      <c r="P120" s="1"/>
      <c r="Q120" s="1"/>
      <c r="R120" s="1"/>
      <c r="S120" s="1"/>
      <c r="T120" s="1"/>
      <c r="U120" s="1"/>
      <c r="V120" s="1"/>
    </row>
    <row r="121" spans="1:22" ht="12.75" customHeight="1" x14ac:dyDescent="0.2">
      <c r="A121" s="16"/>
      <c r="B121" s="16"/>
      <c r="C121" s="16"/>
      <c r="D121" s="16"/>
      <c r="E121" s="16"/>
      <c r="F121" s="16"/>
      <c r="G121" s="16"/>
      <c r="H121" s="16"/>
      <c r="I121" s="16"/>
      <c r="J121" s="16"/>
      <c r="K121" s="16"/>
      <c r="L121" s="16"/>
      <c r="M121" s="1"/>
      <c r="N121" s="1"/>
      <c r="O121" s="1"/>
      <c r="P121" s="1"/>
      <c r="Q121" s="1"/>
      <c r="R121" s="1"/>
      <c r="S121" s="1"/>
      <c r="T121" s="1"/>
      <c r="U121" s="1"/>
      <c r="V121" s="1"/>
    </row>
    <row r="122" spans="1:22" ht="12.75" customHeight="1" x14ac:dyDescent="0.2">
      <c r="A122" s="16"/>
      <c r="B122" s="16"/>
      <c r="C122" s="16"/>
      <c r="D122" s="16"/>
      <c r="E122" s="16"/>
      <c r="F122" s="16"/>
      <c r="G122" s="16"/>
      <c r="H122" s="16"/>
      <c r="I122" s="16"/>
      <c r="J122" s="16"/>
      <c r="K122" s="16"/>
      <c r="L122" s="16"/>
      <c r="M122" s="1"/>
      <c r="N122" s="1"/>
      <c r="O122" s="1"/>
      <c r="P122" s="1"/>
      <c r="Q122" s="1"/>
      <c r="R122" s="1"/>
      <c r="S122" s="1"/>
      <c r="T122" s="1"/>
      <c r="U122" s="1"/>
      <c r="V122" s="1"/>
    </row>
    <row r="123" spans="1:22" ht="12.75" customHeight="1" x14ac:dyDescent="0.2">
      <c r="A123" s="16"/>
      <c r="B123" s="16"/>
      <c r="C123" s="16"/>
      <c r="D123" s="16"/>
      <c r="E123" s="16"/>
      <c r="F123" s="16"/>
      <c r="G123" s="16"/>
      <c r="H123" s="16"/>
      <c r="I123" s="16"/>
      <c r="J123" s="16"/>
      <c r="K123" s="16"/>
      <c r="L123" s="16"/>
      <c r="M123" s="1"/>
      <c r="N123" s="1"/>
      <c r="O123" s="1"/>
      <c r="P123" s="1"/>
      <c r="Q123" s="1"/>
      <c r="R123" s="1"/>
      <c r="S123" s="1"/>
      <c r="T123" s="1"/>
      <c r="U123" s="1"/>
      <c r="V123" s="1"/>
    </row>
    <row r="124" spans="1:22" ht="12.75" customHeight="1" x14ac:dyDescent="0.2">
      <c r="A124" s="16"/>
      <c r="B124" s="16"/>
      <c r="C124" s="16"/>
      <c r="D124" s="16"/>
      <c r="E124" s="16"/>
      <c r="F124" s="16"/>
      <c r="G124" s="16"/>
      <c r="H124" s="16"/>
      <c r="I124" s="16"/>
      <c r="J124" s="16"/>
      <c r="K124" s="16"/>
      <c r="L124" s="16"/>
      <c r="M124" s="1"/>
      <c r="N124" s="1"/>
      <c r="O124" s="1"/>
      <c r="P124" s="1"/>
      <c r="Q124" s="1"/>
      <c r="R124" s="1"/>
      <c r="S124" s="1"/>
      <c r="T124" s="1"/>
      <c r="U124" s="1"/>
      <c r="V124" s="1"/>
    </row>
    <row r="125" spans="1:22" ht="12.75" customHeight="1" x14ac:dyDescent="0.2">
      <c r="A125" s="16"/>
      <c r="B125" s="16"/>
      <c r="C125" s="16"/>
      <c r="D125" s="16"/>
      <c r="E125" s="16"/>
      <c r="F125" s="16"/>
      <c r="G125" s="16"/>
      <c r="H125" s="16"/>
      <c r="I125" s="16"/>
      <c r="J125" s="16"/>
      <c r="K125" s="16"/>
      <c r="L125" s="16"/>
      <c r="M125" s="1"/>
      <c r="N125" s="1"/>
      <c r="O125" s="1"/>
      <c r="P125" s="1"/>
      <c r="Q125" s="1"/>
      <c r="R125" s="1"/>
      <c r="S125" s="1"/>
      <c r="T125" s="1"/>
      <c r="U125" s="1"/>
      <c r="V125" s="1"/>
    </row>
    <row r="126" spans="1:22" ht="12.75" customHeight="1" x14ac:dyDescent="0.2">
      <c r="A126" s="16"/>
      <c r="B126" s="16"/>
      <c r="C126" s="16"/>
      <c r="D126" s="16"/>
      <c r="E126" s="16"/>
      <c r="F126" s="16"/>
      <c r="G126" s="16"/>
      <c r="H126" s="16"/>
      <c r="I126" s="16"/>
      <c r="J126" s="16"/>
      <c r="K126" s="16"/>
      <c r="L126" s="16"/>
      <c r="M126" s="1"/>
      <c r="N126" s="1"/>
      <c r="O126" s="1"/>
      <c r="P126" s="1"/>
      <c r="Q126" s="1"/>
      <c r="R126" s="1"/>
      <c r="S126" s="1"/>
      <c r="T126" s="1"/>
      <c r="U126" s="1"/>
      <c r="V126" s="1"/>
    </row>
    <row r="127" spans="1:22" ht="12.75" customHeight="1" x14ac:dyDescent="0.2">
      <c r="A127" s="16"/>
      <c r="B127" s="16"/>
      <c r="C127" s="16"/>
      <c r="D127" s="16"/>
      <c r="E127" s="16"/>
      <c r="F127" s="16"/>
      <c r="G127" s="16"/>
      <c r="H127" s="16"/>
      <c r="I127" s="16"/>
      <c r="J127" s="16"/>
      <c r="K127" s="16"/>
      <c r="L127" s="16"/>
      <c r="M127" s="1"/>
      <c r="N127" s="1"/>
      <c r="O127" s="1"/>
      <c r="P127" s="1"/>
      <c r="Q127" s="1"/>
      <c r="R127" s="1"/>
      <c r="S127" s="1"/>
      <c r="T127" s="1"/>
      <c r="U127" s="1"/>
      <c r="V127" s="1"/>
    </row>
    <row r="128" spans="1:22" ht="12.75" customHeight="1" x14ac:dyDescent="0.2">
      <c r="A128" s="16"/>
      <c r="B128" s="16"/>
      <c r="C128" s="16"/>
      <c r="D128" s="16"/>
      <c r="E128" s="16"/>
      <c r="F128" s="16"/>
      <c r="G128" s="16"/>
      <c r="H128" s="16"/>
      <c r="I128" s="16"/>
      <c r="J128" s="16"/>
      <c r="K128" s="16"/>
      <c r="L128" s="16"/>
      <c r="M128" s="1"/>
      <c r="N128" s="1"/>
      <c r="O128" s="1"/>
      <c r="P128" s="1"/>
      <c r="Q128" s="1"/>
      <c r="R128" s="1"/>
      <c r="S128" s="1"/>
      <c r="T128" s="1"/>
      <c r="U128" s="1"/>
      <c r="V128" s="1"/>
    </row>
    <row r="129" spans="1:22" ht="12.75" customHeight="1" x14ac:dyDescent="0.2">
      <c r="A129" s="16"/>
      <c r="B129" s="16"/>
      <c r="C129" s="16"/>
      <c r="D129" s="16"/>
      <c r="E129" s="16"/>
      <c r="F129" s="16"/>
      <c r="G129" s="16"/>
      <c r="H129" s="16"/>
      <c r="I129" s="16"/>
      <c r="J129" s="16"/>
      <c r="K129" s="16"/>
      <c r="L129" s="16"/>
      <c r="M129" s="1"/>
      <c r="N129" s="1"/>
      <c r="O129" s="1"/>
      <c r="P129" s="1"/>
      <c r="Q129" s="1"/>
      <c r="R129" s="1"/>
      <c r="S129" s="1"/>
      <c r="T129" s="1"/>
      <c r="U129" s="1"/>
      <c r="V129" s="1"/>
    </row>
    <row r="130" spans="1:22" ht="12.75" customHeight="1" x14ac:dyDescent="0.2">
      <c r="A130" s="16"/>
      <c r="B130" s="16"/>
      <c r="C130" s="16"/>
      <c r="D130" s="16"/>
      <c r="E130" s="16"/>
      <c r="F130" s="16"/>
      <c r="G130" s="16"/>
      <c r="H130" s="16"/>
      <c r="I130" s="16"/>
      <c r="J130" s="16"/>
      <c r="K130" s="16"/>
      <c r="L130" s="16"/>
      <c r="M130" s="1"/>
      <c r="N130" s="1"/>
      <c r="O130" s="1"/>
      <c r="P130" s="1"/>
      <c r="Q130" s="1"/>
      <c r="R130" s="1"/>
      <c r="S130" s="1"/>
      <c r="T130" s="1"/>
      <c r="U130" s="1"/>
      <c r="V130" s="1"/>
    </row>
    <row r="131" spans="1:22" ht="12.75" customHeight="1" x14ac:dyDescent="0.2">
      <c r="A131" s="16"/>
      <c r="B131" s="16"/>
      <c r="C131" s="16"/>
      <c r="D131" s="16"/>
      <c r="E131" s="16"/>
      <c r="F131" s="16"/>
      <c r="G131" s="16"/>
      <c r="H131" s="16"/>
      <c r="I131" s="16"/>
      <c r="J131" s="16"/>
      <c r="K131" s="16"/>
      <c r="L131" s="16"/>
      <c r="M131" s="1"/>
      <c r="N131" s="1"/>
      <c r="O131" s="1"/>
      <c r="P131" s="1"/>
      <c r="Q131" s="1"/>
      <c r="R131" s="1"/>
      <c r="S131" s="1"/>
      <c r="T131" s="1"/>
      <c r="U131" s="1"/>
      <c r="V131" s="1"/>
    </row>
    <row r="132" spans="1:22" ht="12.75" customHeight="1" x14ac:dyDescent="0.2">
      <c r="A132" s="16"/>
      <c r="B132" s="16"/>
      <c r="C132" s="16"/>
      <c r="D132" s="16"/>
      <c r="E132" s="16"/>
      <c r="F132" s="16"/>
      <c r="G132" s="16"/>
      <c r="H132" s="16"/>
      <c r="I132" s="16"/>
      <c r="J132" s="16"/>
      <c r="K132" s="16"/>
      <c r="L132" s="16"/>
      <c r="M132" s="1"/>
      <c r="N132" s="1"/>
      <c r="O132" s="1"/>
      <c r="P132" s="1"/>
      <c r="Q132" s="1"/>
      <c r="R132" s="1"/>
      <c r="S132" s="1"/>
      <c r="T132" s="1"/>
      <c r="U132" s="1"/>
      <c r="V132" s="1"/>
    </row>
    <row r="133" spans="1:22" ht="12.75" customHeight="1" x14ac:dyDescent="0.2">
      <c r="A133" s="16"/>
      <c r="B133" s="16"/>
      <c r="C133" s="16"/>
      <c r="D133" s="16"/>
      <c r="E133" s="16"/>
      <c r="F133" s="16"/>
      <c r="G133" s="16"/>
      <c r="H133" s="16"/>
      <c r="I133" s="16"/>
      <c r="J133" s="16"/>
      <c r="K133" s="16"/>
      <c r="L133" s="16"/>
      <c r="M133" s="1"/>
      <c r="N133" s="1"/>
      <c r="O133" s="1"/>
      <c r="P133" s="1"/>
      <c r="Q133" s="1"/>
      <c r="R133" s="1"/>
      <c r="S133" s="1"/>
      <c r="T133" s="1"/>
      <c r="U133" s="1"/>
      <c r="V133" s="1"/>
    </row>
    <row r="134" spans="1:22" ht="12.75" customHeight="1" x14ac:dyDescent="0.2">
      <c r="A134" s="16"/>
      <c r="B134" s="16"/>
      <c r="C134" s="16"/>
      <c r="D134" s="16"/>
      <c r="E134" s="16"/>
      <c r="F134" s="16"/>
      <c r="G134" s="16"/>
      <c r="H134" s="16"/>
      <c r="I134" s="16"/>
      <c r="J134" s="16"/>
      <c r="K134" s="16"/>
      <c r="L134" s="16"/>
      <c r="M134" s="1"/>
      <c r="N134" s="1"/>
      <c r="O134" s="1"/>
      <c r="P134" s="1"/>
      <c r="Q134" s="1"/>
      <c r="R134" s="1"/>
      <c r="S134" s="1"/>
      <c r="T134" s="1"/>
      <c r="U134" s="1"/>
      <c r="V134" s="1"/>
    </row>
    <row r="135" spans="1:22" ht="12.75" customHeight="1" x14ac:dyDescent="0.2">
      <c r="A135" s="16"/>
      <c r="B135" s="16"/>
      <c r="C135" s="16"/>
      <c r="D135" s="16"/>
      <c r="E135" s="16"/>
      <c r="F135" s="16"/>
      <c r="G135" s="16"/>
      <c r="H135" s="16"/>
      <c r="I135" s="16"/>
      <c r="J135" s="16"/>
      <c r="K135" s="16"/>
      <c r="L135" s="16"/>
      <c r="M135" s="1"/>
      <c r="N135" s="1"/>
      <c r="O135" s="1"/>
      <c r="P135" s="1"/>
      <c r="Q135" s="1"/>
      <c r="R135" s="1"/>
      <c r="S135" s="1"/>
      <c r="T135" s="1"/>
      <c r="U135" s="1"/>
      <c r="V135" s="1"/>
    </row>
    <row r="136" spans="1:22" ht="12.75" customHeight="1" x14ac:dyDescent="0.2">
      <c r="A136" s="16"/>
      <c r="B136" s="16"/>
      <c r="C136" s="16"/>
      <c r="D136" s="16"/>
      <c r="E136" s="16"/>
      <c r="F136" s="16"/>
      <c r="G136" s="16"/>
      <c r="H136" s="16"/>
      <c r="I136" s="16"/>
      <c r="J136" s="16"/>
      <c r="K136" s="16"/>
      <c r="L136" s="16"/>
      <c r="M136" s="1"/>
      <c r="N136" s="1"/>
      <c r="O136" s="1"/>
      <c r="P136" s="1"/>
      <c r="Q136" s="1"/>
      <c r="R136" s="1"/>
      <c r="S136" s="1"/>
      <c r="T136" s="1"/>
      <c r="U136" s="1"/>
      <c r="V136" s="1"/>
    </row>
    <row r="137" spans="1:22" ht="12.75" customHeight="1" x14ac:dyDescent="0.2">
      <c r="A137" s="16"/>
      <c r="B137" s="16"/>
      <c r="C137" s="16"/>
      <c r="D137" s="16"/>
      <c r="E137" s="16"/>
      <c r="F137" s="16"/>
      <c r="G137" s="16"/>
      <c r="H137" s="16"/>
      <c r="I137" s="16"/>
      <c r="J137" s="16"/>
      <c r="K137" s="16"/>
      <c r="L137" s="16"/>
      <c r="M137" s="1"/>
      <c r="N137" s="1"/>
      <c r="O137" s="1"/>
      <c r="P137" s="1"/>
      <c r="Q137" s="1"/>
      <c r="R137" s="1"/>
      <c r="S137" s="1"/>
      <c r="T137" s="1"/>
      <c r="U137" s="1"/>
      <c r="V137" s="1"/>
    </row>
    <row r="138" spans="1:22" ht="12.75" customHeight="1" x14ac:dyDescent="0.2">
      <c r="A138" s="16"/>
      <c r="B138" s="16"/>
      <c r="C138" s="16"/>
      <c r="D138" s="16"/>
      <c r="E138" s="16"/>
      <c r="F138" s="16"/>
      <c r="G138" s="16"/>
      <c r="H138" s="16"/>
      <c r="I138" s="16"/>
      <c r="J138" s="16"/>
      <c r="K138" s="16"/>
      <c r="L138" s="16"/>
      <c r="M138" s="1"/>
      <c r="N138" s="1"/>
      <c r="O138" s="1"/>
      <c r="P138" s="1"/>
      <c r="Q138" s="1"/>
      <c r="R138" s="1"/>
      <c r="S138" s="1"/>
      <c r="T138" s="1"/>
      <c r="U138" s="1"/>
      <c r="V138" s="1"/>
    </row>
    <row r="139" spans="1:22" ht="12.75" customHeight="1" x14ac:dyDescent="0.2">
      <c r="A139" s="16"/>
      <c r="B139" s="16"/>
      <c r="C139" s="16"/>
      <c r="D139" s="16"/>
      <c r="E139" s="16"/>
      <c r="F139" s="16"/>
      <c r="G139" s="16"/>
      <c r="H139" s="16"/>
      <c r="I139" s="16"/>
      <c r="J139" s="16"/>
      <c r="K139" s="16"/>
      <c r="L139" s="16"/>
      <c r="M139" s="1"/>
      <c r="N139" s="1"/>
      <c r="O139" s="1"/>
      <c r="P139" s="1"/>
      <c r="Q139" s="1"/>
      <c r="R139" s="1"/>
      <c r="S139" s="1"/>
      <c r="T139" s="1"/>
      <c r="U139" s="1"/>
      <c r="V139" s="1"/>
    </row>
    <row r="140" spans="1:22" ht="12.75" customHeight="1" x14ac:dyDescent="0.2">
      <c r="A140" s="16"/>
      <c r="B140" s="16"/>
      <c r="C140" s="16"/>
      <c r="D140" s="16"/>
      <c r="E140" s="16"/>
      <c r="F140" s="16"/>
      <c r="G140" s="16"/>
      <c r="H140" s="16"/>
      <c r="I140" s="16"/>
      <c r="J140" s="16"/>
      <c r="K140" s="16"/>
      <c r="L140" s="16"/>
      <c r="M140" s="1"/>
      <c r="N140" s="1"/>
      <c r="O140" s="1"/>
      <c r="P140" s="1"/>
      <c r="Q140" s="1"/>
      <c r="R140" s="1"/>
      <c r="S140" s="1"/>
      <c r="T140" s="1"/>
      <c r="U140" s="1"/>
      <c r="V140" s="1"/>
    </row>
    <row r="141" spans="1:22" ht="12.75" customHeight="1" x14ac:dyDescent="0.2">
      <c r="A141" s="16"/>
      <c r="B141" s="16"/>
      <c r="C141" s="16"/>
      <c r="D141" s="16"/>
      <c r="E141" s="16"/>
      <c r="F141" s="16"/>
      <c r="G141" s="16"/>
      <c r="H141" s="16"/>
      <c r="I141" s="16"/>
      <c r="J141" s="16"/>
      <c r="K141" s="16"/>
      <c r="L141" s="16"/>
      <c r="M141" s="1"/>
      <c r="N141" s="1"/>
      <c r="O141" s="1"/>
      <c r="P141" s="1"/>
      <c r="Q141" s="1"/>
      <c r="R141" s="1"/>
      <c r="S141" s="1"/>
      <c r="T141" s="1"/>
      <c r="U141" s="1"/>
      <c r="V141" s="1"/>
    </row>
    <row r="142" spans="1:22" ht="12.75" customHeight="1" x14ac:dyDescent="0.2">
      <c r="A142" s="16"/>
      <c r="B142" s="16"/>
      <c r="C142" s="16"/>
      <c r="D142" s="16"/>
      <c r="E142" s="16"/>
      <c r="F142" s="16"/>
      <c r="G142" s="16"/>
      <c r="H142" s="16"/>
      <c r="I142" s="16"/>
      <c r="J142" s="16"/>
      <c r="K142" s="16"/>
      <c r="L142" s="16"/>
      <c r="M142" s="1"/>
      <c r="N142" s="1"/>
      <c r="O142" s="1"/>
      <c r="P142" s="1"/>
      <c r="Q142" s="1"/>
      <c r="R142" s="1"/>
      <c r="S142" s="1"/>
      <c r="T142" s="1"/>
      <c r="U142" s="1"/>
      <c r="V142" s="1"/>
    </row>
    <row r="143" spans="1:22" ht="12.75" customHeight="1" x14ac:dyDescent="0.2">
      <c r="A143" s="16"/>
      <c r="B143" s="16"/>
      <c r="C143" s="16"/>
      <c r="D143" s="16"/>
      <c r="E143" s="16"/>
      <c r="F143" s="16"/>
      <c r="G143" s="16"/>
      <c r="H143" s="16"/>
      <c r="I143" s="16"/>
      <c r="J143" s="16"/>
      <c r="K143" s="16"/>
      <c r="L143" s="16"/>
      <c r="M143" s="1"/>
      <c r="N143" s="1"/>
      <c r="O143" s="1"/>
      <c r="P143" s="1"/>
      <c r="Q143" s="1"/>
      <c r="R143" s="1"/>
      <c r="S143" s="1"/>
      <c r="T143" s="1"/>
      <c r="U143" s="1"/>
      <c r="V143" s="1"/>
    </row>
    <row r="144" spans="1:22" ht="12.75" customHeight="1" x14ac:dyDescent="0.2">
      <c r="A144" s="16"/>
      <c r="B144" s="16"/>
      <c r="C144" s="16"/>
      <c r="D144" s="16"/>
      <c r="E144" s="16"/>
      <c r="F144" s="16"/>
      <c r="G144" s="16"/>
      <c r="H144" s="16"/>
      <c r="I144" s="16"/>
      <c r="J144" s="16"/>
      <c r="K144" s="16"/>
      <c r="L144" s="16"/>
      <c r="M144" s="1"/>
      <c r="N144" s="1"/>
      <c r="O144" s="1"/>
      <c r="P144" s="1"/>
      <c r="Q144" s="1"/>
      <c r="R144" s="1"/>
      <c r="S144" s="1"/>
      <c r="T144" s="1"/>
      <c r="U144" s="1"/>
      <c r="V144" s="1"/>
    </row>
    <row r="145" spans="1:22" ht="12.75" customHeight="1" x14ac:dyDescent="0.2">
      <c r="A145" s="16"/>
      <c r="B145" s="16"/>
      <c r="C145" s="16"/>
      <c r="D145" s="16"/>
      <c r="E145" s="16"/>
      <c r="F145" s="16"/>
      <c r="G145" s="16"/>
      <c r="H145" s="16"/>
      <c r="I145" s="16"/>
      <c r="J145" s="16"/>
      <c r="K145" s="16"/>
      <c r="L145" s="16"/>
      <c r="M145" s="1"/>
      <c r="N145" s="1"/>
      <c r="O145" s="1"/>
      <c r="P145" s="1"/>
      <c r="Q145" s="1"/>
      <c r="R145" s="1"/>
      <c r="S145" s="1"/>
      <c r="T145" s="1"/>
      <c r="U145" s="1"/>
      <c r="V145" s="1"/>
    </row>
    <row r="146" spans="1:22" ht="12.75" customHeight="1" x14ac:dyDescent="0.2">
      <c r="A146" s="16"/>
      <c r="B146" s="16"/>
      <c r="C146" s="16"/>
      <c r="D146" s="16"/>
      <c r="E146" s="16"/>
      <c r="F146" s="16"/>
      <c r="G146" s="16"/>
      <c r="H146" s="16"/>
      <c r="I146" s="16"/>
      <c r="J146" s="16"/>
      <c r="K146" s="16"/>
      <c r="L146" s="16"/>
      <c r="M146" s="1"/>
      <c r="N146" s="1"/>
      <c r="O146" s="1"/>
      <c r="P146" s="1"/>
      <c r="Q146" s="1"/>
      <c r="R146" s="1"/>
      <c r="S146" s="1"/>
      <c r="T146" s="1"/>
      <c r="U146" s="1"/>
      <c r="V146" s="1"/>
    </row>
    <row r="147" spans="1:22" ht="12.75" customHeight="1" x14ac:dyDescent="0.2">
      <c r="A147" s="16"/>
      <c r="B147" s="16"/>
      <c r="C147" s="16"/>
      <c r="D147" s="16"/>
      <c r="E147" s="16"/>
      <c r="F147" s="16"/>
      <c r="G147" s="16"/>
      <c r="H147" s="16"/>
      <c r="I147" s="16"/>
      <c r="J147" s="16"/>
      <c r="K147" s="16"/>
      <c r="L147" s="16"/>
      <c r="M147" s="1"/>
      <c r="N147" s="1"/>
      <c r="O147" s="1"/>
      <c r="P147" s="1"/>
      <c r="Q147" s="1"/>
      <c r="R147" s="1"/>
      <c r="S147" s="1"/>
      <c r="T147" s="1"/>
      <c r="U147" s="1"/>
      <c r="V147" s="1"/>
    </row>
    <row r="148" spans="1:22" ht="12.75" customHeight="1" x14ac:dyDescent="0.2">
      <c r="A148" s="16"/>
      <c r="B148" s="16"/>
      <c r="C148" s="16"/>
      <c r="D148" s="16"/>
      <c r="E148" s="16"/>
      <c r="F148" s="16"/>
      <c r="G148" s="16"/>
      <c r="H148" s="16"/>
      <c r="I148" s="16"/>
      <c r="J148" s="16"/>
      <c r="K148" s="16"/>
      <c r="L148" s="16"/>
      <c r="M148" s="1"/>
      <c r="N148" s="1"/>
      <c r="O148" s="1"/>
      <c r="P148" s="1"/>
      <c r="Q148" s="1"/>
      <c r="R148" s="1"/>
      <c r="S148" s="1"/>
      <c r="T148" s="1"/>
      <c r="U148" s="1"/>
      <c r="V148" s="1"/>
    </row>
    <row r="149" spans="1:22" ht="12.75" customHeight="1" x14ac:dyDescent="0.2">
      <c r="A149" s="16"/>
      <c r="B149" s="16"/>
      <c r="C149" s="16"/>
      <c r="D149" s="16"/>
      <c r="E149" s="16"/>
      <c r="F149" s="16"/>
      <c r="G149" s="16"/>
      <c r="H149" s="16"/>
      <c r="I149" s="16"/>
      <c r="J149" s="16"/>
      <c r="K149" s="16"/>
      <c r="L149" s="16"/>
      <c r="M149" s="1"/>
      <c r="N149" s="1"/>
      <c r="O149" s="1"/>
      <c r="P149" s="1"/>
      <c r="Q149" s="1"/>
      <c r="R149" s="1"/>
      <c r="S149" s="1"/>
      <c r="T149" s="1"/>
      <c r="U149" s="1"/>
      <c r="V149" s="1"/>
    </row>
    <row r="150" spans="1:22" ht="12.75" customHeight="1" x14ac:dyDescent="0.2">
      <c r="A150" s="16"/>
      <c r="B150" s="16"/>
      <c r="C150" s="16"/>
      <c r="D150" s="16"/>
      <c r="E150" s="16"/>
      <c r="F150" s="16"/>
      <c r="G150" s="16"/>
      <c r="H150" s="16"/>
      <c r="I150" s="16"/>
      <c r="J150" s="16"/>
      <c r="K150" s="16"/>
      <c r="L150" s="16"/>
      <c r="M150" s="1"/>
      <c r="N150" s="1"/>
      <c r="O150" s="1"/>
      <c r="P150" s="1"/>
      <c r="Q150" s="1"/>
      <c r="R150" s="1"/>
      <c r="S150" s="1"/>
      <c r="T150" s="1"/>
      <c r="U150" s="1"/>
      <c r="V150" s="1"/>
    </row>
    <row r="151" spans="1:22" ht="12.75" customHeight="1" x14ac:dyDescent="0.2">
      <c r="A151" s="16"/>
      <c r="B151" s="16"/>
      <c r="C151" s="16"/>
      <c r="D151" s="16"/>
      <c r="E151" s="16"/>
      <c r="F151" s="16"/>
      <c r="G151" s="16"/>
      <c r="H151" s="16"/>
      <c r="I151" s="16"/>
      <c r="J151" s="16"/>
      <c r="K151" s="16"/>
      <c r="L151" s="16"/>
      <c r="M151" s="1"/>
      <c r="N151" s="1"/>
      <c r="O151" s="1"/>
      <c r="P151" s="1"/>
      <c r="Q151" s="1"/>
      <c r="R151" s="1"/>
      <c r="S151" s="1"/>
      <c r="T151" s="1"/>
      <c r="U151" s="1"/>
      <c r="V151" s="1"/>
    </row>
    <row r="152" spans="1:22" ht="12.75" customHeight="1" x14ac:dyDescent="0.2">
      <c r="A152" s="16"/>
      <c r="B152" s="16"/>
      <c r="C152" s="16"/>
      <c r="D152" s="16"/>
      <c r="E152" s="16"/>
      <c r="F152" s="16"/>
      <c r="G152" s="16"/>
      <c r="H152" s="16"/>
      <c r="I152" s="16"/>
      <c r="J152" s="16"/>
      <c r="K152" s="16"/>
      <c r="L152" s="16"/>
      <c r="M152" s="1"/>
      <c r="N152" s="1"/>
      <c r="O152" s="1"/>
      <c r="P152" s="1"/>
      <c r="Q152" s="1"/>
      <c r="R152" s="1"/>
      <c r="S152" s="1"/>
      <c r="T152" s="1"/>
      <c r="U152" s="1"/>
      <c r="V152" s="1"/>
    </row>
    <row r="153" spans="1:22" ht="12.75" customHeight="1" x14ac:dyDescent="0.2">
      <c r="A153" s="16"/>
      <c r="B153" s="16"/>
      <c r="C153" s="16"/>
      <c r="D153" s="16"/>
      <c r="E153" s="16"/>
      <c r="F153" s="16"/>
      <c r="G153" s="16"/>
      <c r="H153" s="16"/>
      <c r="I153" s="16"/>
      <c r="J153" s="16"/>
      <c r="K153" s="16"/>
      <c r="L153" s="16"/>
      <c r="M153" s="1"/>
      <c r="N153" s="1"/>
      <c r="O153" s="1"/>
      <c r="P153" s="1"/>
      <c r="Q153" s="1"/>
      <c r="R153" s="1"/>
      <c r="S153" s="1"/>
      <c r="T153" s="1"/>
      <c r="U153" s="1"/>
      <c r="V153" s="1"/>
    </row>
    <row r="154" spans="1:22" ht="12.75" customHeight="1" x14ac:dyDescent="0.2">
      <c r="A154" s="16"/>
      <c r="B154" s="16"/>
      <c r="C154" s="16"/>
      <c r="D154" s="16"/>
      <c r="E154" s="16"/>
      <c r="F154" s="16"/>
      <c r="G154" s="16"/>
      <c r="H154" s="16"/>
      <c r="I154" s="16"/>
      <c r="J154" s="16"/>
      <c r="K154" s="16"/>
      <c r="L154" s="16"/>
      <c r="M154" s="1"/>
      <c r="N154" s="1"/>
      <c r="O154" s="1"/>
      <c r="P154" s="1"/>
      <c r="Q154" s="1"/>
      <c r="R154" s="1"/>
      <c r="S154" s="1"/>
      <c r="T154" s="1"/>
      <c r="U154" s="1"/>
      <c r="V154" s="1"/>
    </row>
    <row r="155" spans="1:22" ht="12.75" customHeight="1" x14ac:dyDescent="0.2">
      <c r="A155" s="16"/>
      <c r="B155" s="16"/>
      <c r="C155" s="16"/>
      <c r="D155" s="16"/>
      <c r="E155" s="16"/>
      <c r="F155" s="16"/>
      <c r="G155" s="16"/>
      <c r="H155" s="16"/>
      <c r="I155" s="16"/>
      <c r="J155" s="16"/>
      <c r="K155" s="16"/>
      <c r="L155" s="16"/>
      <c r="M155" s="1"/>
      <c r="N155" s="1"/>
      <c r="O155" s="1"/>
      <c r="P155" s="1"/>
      <c r="Q155" s="1"/>
      <c r="R155" s="1"/>
      <c r="S155" s="1"/>
      <c r="T155" s="1"/>
      <c r="U155" s="1"/>
      <c r="V155" s="1"/>
    </row>
    <row r="156" spans="1:22" ht="12.75" customHeight="1" x14ac:dyDescent="0.2">
      <c r="A156" s="16"/>
      <c r="B156" s="16"/>
      <c r="C156" s="16"/>
      <c r="D156" s="16"/>
      <c r="E156" s="16"/>
      <c r="F156" s="16"/>
      <c r="G156" s="16"/>
      <c r="H156" s="16"/>
      <c r="I156" s="16"/>
      <c r="J156" s="16"/>
      <c r="K156" s="16"/>
      <c r="L156" s="16"/>
      <c r="M156" s="1"/>
      <c r="N156" s="1"/>
      <c r="O156" s="1"/>
      <c r="P156" s="1"/>
      <c r="Q156" s="1"/>
      <c r="R156" s="1"/>
      <c r="S156" s="1"/>
      <c r="T156" s="1"/>
      <c r="U156" s="1"/>
      <c r="V156" s="1"/>
    </row>
    <row r="157" spans="1:22" ht="12.75" customHeight="1" x14ac:dyDescent="0.2">
      <c r="A157" s="16"/>
      <c r="B157" s="16"/>
      <c r="C157" s="16"/>
      <c r="D157" s="16"/>
      <c r="E157" s="16"/>
      <c r="F157" s="16"/>
      <c r="G157" s="16"/>
      <c r="H157" s="16"/>
      <c r="I157" s="16"/>
      <c r="J157" s="16"/>
      <c r="K157" s="16"/>
      <c r="L157" s="16"/>
      <c r="M157" s="1"/>
      <c r="N157" s="1"/>
      <c r="O157" s="1"/>
      <c r="P157" s="1"/>
      <c r="Q157" s="1"/>
      <c r="R157" s="1"/>
      <c r="S157" s="1"/>
      <c r="T157" s="1"/>
      <c r="U157" s="1"/>
      <c r="V157" s="1"/>
    </row>
    <row r="158" spans="1:22" ht="12.75" customHeight="1" x14ac:dyDescent="0.2">
      <c r="A158" s="16"/>
      <c r="B158" s="16"/>
      <c r="C158" s="16"/>
      <c r="D158" s="16"/>
      <c r="E158" s="16"/>
      <c r="F158" s="16"/>
      <c r="G158" s="16"/>
      <c r="H158" s="16"/>
      <c r="I158" s="16"/>
      <c r="J158" s="16"/>
      <c r="K158" s="16"/>
      <c r="L158" s="16"/>
      <c r="M158" s="1"/>
      <c r="N158" s="1"/>
      <c r="O158" s="1"/>
      <c r="P158" s="1"/>
      <c r="Q158" s="1"/>
      <c r="R158" s="1"/>
      <c r="S158" s="1"/>
      <c r="T158" s="1"/>
      <c r="U158" s="1"/>
      <c r="V158" s="1"/>
    </row>
    <row r="159" spans="1:22" ht="12.75" customHeight="1" x14ac:dyDescent="0.2">
      <c r="A159" s="16"/>
      <c r="B159" s="16"/>
      <c r="C159" s="16"/>
      <c r="D159" s="16"/>
      <c r="E159" s="16"/>
      <c r="F159" s="16"/>
      <c r="G159" s="16"/>
      <c r="H159" s="16"/>
      <c r="I159" s="16"/>
      <c r="J159" s="16"/>
      <c r="K159" s="16"/>
      <c r="L159" s="16"/>
      <c r="M159" s="1"/>
      <c r="N159" s="1"/>
      <c r="O159" s="1"/>
      <c r="P159" s="1"/>
      <c r="Q159" s="1"/>
      <c r="R159" s="1"/>
      <c r="S159" s="1"/>
      <c r="T159" s="1"/>
      <c r="U159" s="1"/>
      <c r="V159" s="1"/>
    </row>
    <row r="160" spans="1:22" ht="12.75" customHeight="1" x14ac:dyDescent="0.2">
      <c r="A160" s="16"/>
      <c r="B160" s="16"/>
      <c r="C160" s="16"/>
      <c r="D160" s="16"/>
      <c r="E160" s="16"/>
      <c r="F160" s="16"/>
      <c r="G160" s="16"/>
      <c r="H160" s="16"/>
      <c r="I160" s="16"/>
      <c r="J160" s="16"/>
      <c r="K160" s="16"/>
      <c r="L160" s="16"/>
      <c r="M160" s="1"/>
      <c r="N160" s="1"/>
      <c r="O160" s="1"/>
      <c r="P160" s="1"/>
      <c r="Q160" s="1"/>
      <c r="R160" s="1"/>
      <c r="S160" s="1"/>
      <c r="T160" s="1"/>
      <c r="U160" s="1"/>
      <c r="V160" s="1"/>
    </row>
    <row r="161" spans="1:22" ht="12.75" customHeight="1" x14ac:dyDescent="0.2">
      <c r="A161" s="16"/>
      <c r="B161" s="16"/>
      <c r="C161" s="16"/>
      <c r="D161" s="16"/>
      <c r="E161" s="16"/>
      <c r="F161" s="16"/>
      <c r="G161" s="16"/>
      <c r="H161" s="16"/>
      <c r="I161" s="16"/>
      <c r="J161" s="16"/>
      <c r="K161" s="16"/>
      <c r="L161" s="16"/>
      <c r="M161" s="1"/>
      <c r="N161" s="1"/>
      <c r="O161" s="1"/>
      <c r="P161" s="1"/>
      <c r="Q161" s="1"/>
      <c r="R161" s="1"/>
      <c r="S161" s="1"/>
      <c r="T161" s="1"/>
      <c r="U161" s="1"/>
      <c r="V161" s="1"/>
    </row>
    <row r="162" spans="1:22" ht="12.75" customHeight="1" x14ac:dyDescent="0.2">
      <c r="A162" s="16"/>
      <c r="B162" s="16"/>
      <c r="C162" s="16"/>
      <c r="D162" s="16"/>
      <c r="E162" s="16"/>
      <c r="F162" s="16"/>
      <c r="G162" s="16"/>
      <c r="H162" s="16"/>
      <c r="I162" s="16"/>
      <c r="J162" s="16"/>
      <c r="K162" s="16"/>
      <c r="L162" s="16"/>
      <c r="M162" s="1"/>
      <c r="N162" s="1"/>
      <c r="O162" s="1"/>
      <c r="P162" s="1"/>
      <c r="Q162" s="1"/>
      <c r="R162" s="1"/>
      <c r="S162" s="1"/>
      <c r="T162" s="1"/>
      <c r="U162" s="1"/>
      <c r="V162" s="1"/>
    </row>
    <row r="163" spans="1:22" ht="12.75" customHeight="1" x14ac:dyDescent="0.2">
      <c r="A163" s="16"/>
      <c r="B163" s="16"/>
      <c r="C163" s="16"/>
      <c r="D163" s="16"/>
      <c r="E163" s="16"/>
      <c r="F163" s="16"/>
      <c r="G163" s="16"/>
      <c r="H163" s="16"/>
      <c r="I163" s="16"/>
      <c r="J163" s="16"/>
      <c r="K163" s="16"/>
      <c r="L163" s="16"/>
      <c r="M163" s="1"/>
      <c r="N163" s="1"/>
      <c r="O163" s="1"/>
      <c r="P163" s="1"/>
      <c r="Q163" s="1"/>
      <c r="R163" s="1"/>
      <c r="S163" s="1"/>
      <c r="T163" s="1"/>
      <c r="U163" s="1"/>
      <c r="V163" s="1"/>
    </row>
    <row r="164" spans="1:22" ht="12.75" customHeight="1" x14ac:dyDescent="0.2">
      <c r="A164" s="16"/>
      <c r="B164" s="16"/>
      <c r="C164" s="16"/>
      <c r="D164" s="16"/>
      <c r="E164" s="16"/>
      <c r="F164" s="16"/>
      <c r="G164" s="16"/>
      <c r="H164" s="16"/>
      <c r="I164" s="16"/>
      <c r="J164" s="16"/>
      <c r="K164" s="16"/>
      <c r="L164" s="16"/>
      <c r="M164" s="1"/>
      <c r="N164" s="1"/>
      <c r="O164" s="1"/>
      <c r="P164" s="1"/>
      <c r="Q164" s="1"/>
      <c r="R164" s="1"/>
      <c r="S164" s="1"/>
      <c r="T164" s="1"/>
      <c r="U164" s="1"/>
      <c r="V164" s="1"/>
    </row>
    <row r="165" spans="1:22" ht="12.75" customHeight="1" x14ac:dyDescent="0.2">
      <c r="A165" s="16"/>
      <c r="B165" s="16"/>
      <c r="C165" s="16"/>
      <c r="D165" s="16"/>
      <c r="E165" s="16"/>
      <c r="F165" s="16"/>
      <c r="G165" s="16"/>
      <c r="H165" s="16"/>
      <c r="I165" s="16"/>
      <c r="J165" s="16"/>
      <c r="K165" s="16"/>
      <c r="L165" s="16"/>
      <c r="M165" s="1"/>
      <c r="N165" s="1"/>
      <c r="O165" s="1"/>
      <c r="P165" s="1"/>
      <c r="Q165" s="1"/>
      <c r="R165" s="1"/>
      <c r="S165" s="1"/>
      <c r="T165" s="1"/>
      <c r="U165" s="1"/>
      <c r="V165" s="1"/>
    </row>
    <row r="166" spans="1:22" ht="12.75" customHeight="1" x14ac:dyDescent="0.2">
      <c r="A166" s="16"/>
      <c r="B166" s="16"/>
      <c r="C166" s="16"/>
      <c r="D166" s="16"/>
      <c r="E166" s="16"/>
      <c r="F166" s="16"/>
      <c r="G166" s="16"/>
      <c r="H166" s="16"/>
      <c r="I166" s="16"/>
      <c r="J166" s="16"/>
      <c r="K166" s="16"/>
      <c r="L166" s="16"/>
      <c r="M166" s="1"/>
      <c r="N166" s="1"/>
      <c r="O166" s="1"/>
      <c r="P166" s="1"/>
      <c r="Q166" s="1"/>
      <c r="R166" s="1"/>
      <c r="S166" s="1"/>
      <c r="T166" s="1"/>
      <c r="U166" s="1"/>
      <c r="V166" s="1"/>
    </row>
    <row r="167" spans="1:22" ht="12.75" customHeight="1" x14ac:dyDescent="0.2">
      <c r="A167" s="16"/>
      <c r="B167" s="16"/>
      <c r="C167" s="16"/>
      <c r="D167" s="16"/>
      <c r="E167" s="16"/>
      <c r="F167" s="16"/>
      <c r="G167" s="16"/>
      <c r="H167" s="16"/>
      <c r="I167" s="16"/>
      <c r="J167" s="16"/>
      <c r="K167" s="16"/>
      <c r="L167" s="16"/>
      <c r="M167" s="1"/>
      <c r="N167" s="1"/>
      <c r="O167" s="1"/>
      <c r="P167" s="1"/>
      <c r="Q167" s="1"/>
      <c r="R167" s="1"/>
      <c r="S167" s="1"/>
      <c r="T167" s="1"/>
      <c r="U167" s="1"/>
      <c r="V167" s="1"/>
    </row>
    <row r="168" spans="1:22" ht="12.75" customHeight="1" x14ac:dyDescent="0.2">
      <c r="A168" s="16"/>
      <c r="B168" s="16"/>
      <c r="C168" s="16"/>
      <c r="D168" s="16"/>
      <c r="E168" s="16"/>
      <c r="F168" s="16"/>
      <c r="G168" s="16"/>
      <c r="H168" s="16"/>
      <c r="I168" s="16"/>
      <c r="J168" s="16"/>
      <c r="K168" s="16"/>
      <c r="L168" s="16"/>
      <c r="M168" s="1"/>
      <c r="N168" s="1"/>
      <c r="O168" s="1"/>
      <c r="P168" s="1"/>
      <c r="Q168" s="1"/>
      <c r="R168" s="1"/>
      <c r="S168" s="1"/>
      <c r="T168" s="1"/>
      <c r="U168" s="1"/>
      <c r="V168" s="1"/>
    </row>
    <row r="169" spans="1:22" ht="12.75" customHeight="1" x14ac:dyDescent="0.2">
      <c r="A169" s="16"/>
      <c r="B169" s="16"/>
      <c r="C169" s="16"/>
      <c r="D169" s="16"/>
      <c r="E169" s="16"/>
      <c r="F169" s="16"/>
      <c r="G169" s="16"/>
      <c r="H169" s="16"/>
      <c r="I169" s="16"/>
      <c r="J169" s="16"/>
      <c r="K169" s="16"/>
      <c r="L169" s="16"/>
      <c r="M169" s="1"/>
      <c r="N169" s="1"/>
      <c r="O169" s="1"/>
      <c r="P169" s="1"/>
      <c r="Q169" s="1"/>
      <c r="R169" s="1"/>
      <c r="S169" s="1"/>
      <c r="T169" s="1"/>
      <c r="U169" s="1"/>
      <c r="V169" s="1"/>
    </row>
    <row r="170" spans="1:22" ht="12.75" customHeight="1" x14ac:dyDescent="0.2">
      <c r="A170" s="16"/>
      <c r="B170" s="16"/>
      <c r="C170" s="16"/>
      <c r="D170" s="16"/>
      <c r="E170" s="16"/>
      <c r="F170" s="16"/>
      <c r="G170" s="16"/>
      <c r="H170" s="16"/>
      <c r="I170" s="16"/>
      <c r="J170" s="16"/>
      <c r="K170" s="16"/>
      <c r="L170" s="16"/>
      <c r="M170" s="1"/>
      <c r="N170" s="1"/>
      <c r="O170" s="1"/>
      <c r="P170" s="1"/>
      <c r="Q170" s="1"/>
      <c r="R170" s="1"/>
      <c r="S170" s="1"/>
      <c r="T170" s="1"/>
      <c r="U170" s="1"/>
      <c r="V170" s="1"/>
    </row>
    <row r="171" spans="1:22" ht="12.75" customHeight="1" x14ac:dyDescent="0.2">
      <c r="A171" s="16"/>
      <c r="B171" s="16"/>
      <c r="C171" s="16"/>
      <c r="D171" s="16"/>
      <c r="E171" s="16"/>
      <c r="F171" s="16"/>
      <c r="G171" s="16"/>
      <c r="H171" s="16"/>
      <c r="I171" s="16"/>
      <c r="J171" s="16"/>
      <c r="K171" s="16"/>
      <c r="L171" s="16"/>
      <c r="M171" s="1"/>
      <c r="N171" s="1"/>
      <c r="O171" s="1"/>
      <c r="P171" s="1"/>
      <c r="Q171" s="1"/>
      <c r="R171" s="1"/>
      <c r="S171" s="1"/>
      <c r="T171" s="1"/>
      <c r="U171" s="1"/>
      <c r="V171" s="1"/>
    </row>
    <row r="172" spans="1:22" ht="12.75" customHeight="1" x14ac:dyDescent="0.2">
      <c r="A172" s="16"/>
      <c r="B172" s="16"/>
      <c r="C172" s="16"/>
      <c r="D172" s="16"/>
      <c r="E172" s="16"/>
      <c r="F172" s="16"/>
      <c r="G172" s="16"/>
      <c r="H172" s="16"/>
      <c r="I172" s="16"/>
      <c r="J172" s="16"/>
      <c r="K172" s="16"/>
      <c r="L172" s="16"/>
      <c r="M172" s="1"/>
      <c r="N172" s="1"/>
      <c r="O172" s="1"/>
      <c r="P172" s="1"/>
      <c r="Q172" s="1"/>
      <c r="R172" s="1"/>
      <c r="S172" s="1"/>
      <c r="T172" s="1"/>
      <c r="U172" s="1"/>
      <c r="V172" s="1"/>
    </row>
    <row r="173" spans="1:22" ht="12.75" customHeight="1" x14ac:dyDescent="0.2">
      <c r="A173" s="16"/>
      <c r="B173" s="16"/>
      <c r="C173" s="16"/>
      <c r="D173" s="16"/>
      <c r="E173" s="16"/>
      <c r="F173" s="16"/>
      <c r="G173" s="16"/>
      <c r="H173" s="16"/>
      <c r="I173" s="16"/>
      <c r="J173" s="16"/>
      <c r="K173" s="16"/>
      <c r="L173" s="16"/>
      <c r="M173" s="1"/>
      <c r="N173" s="1"/>
      <c r="O173" s="1"/>
      <c r="P173" s="1"/>
      <c r="Q173" s="1"/>
      <c r="R173" s="1"/>
      <c r="S173" s="1"/>
      <c r="T173" s="1"/>
      <c r="U173" s="1"/>
      <c r="V173" s="1"/>
    </row>
    <row r="174" spans="1:22" ht="12.75" customHeight="1" x14ac:dyDescent="0.2">
      <c r="A174" s="16"/>
      <c r="B174" s="16"/>
      <c r="C174" s="16"/>
      <c r="D174" s="16"/>
      <c r="E174" s="16"/>
      <c r="F174" s="16"/>
      <c r="G174" s="16"/>
      <c r="H174" s="16"/>
      <c r="I174" s="16"/>
      <c r="J174" s="16"/>
      <c r="K174" s="16"/>
      <c r="L174" s="16"/>
      <c r="M174" s="1"/>
      <c r="N174" s="1"/>
      <c r="O174" s="1"/>
      <c r="P174" s="1"/>
      <c r="Q174" s="1"/>
      <c r="R174" s="1"/>
      <c r="S174" s="1"/>
      <c r="T174" s="1"/>
      <c r="U174" s="1"/>
      <c r="V174" s="1"/>
    </row>
    <row r="175" spans="1:22" ht="12.75" customHeight="1" x14ac:dyDescent="0.2">
      <c r="A175" s="16"/>
      <c r="B175" s="16"/>
      <c r="C175" s="16"/>
      <c r="D175" s="16"/>
      <c r="E175" s="16"/>
      <c r="F175" s="16"/>
      <c r="G175" s="16"/>
      <c r="H175" s="16"/>
      <c r="I175" s="16"/>
      <c r="J175" s="16"/>
      <c r="K175" s="16"/>
      <c r="L175" s="16"/>
      <c r="M175" s="1"/>
      <c r="N175" s="1"/>
      <c r="O175" s="1"/>
      <c r="P175" s="1"/>
      <c r="Q175" s="1"/>
      <c r="R175" s="1"/>
      <c r="S175" s="1"/>
      <c r="T175" s="1"/>
      <c r="U175" s="1"/>
      <c r="V175" s="1"/>
    </row>
    <row r="176" spans="1:22" ht="12.75" customHeight="1" x14ac:dyDescent="0.2">
      <c r="A176" s="16"/>
      <c r="B176" s="16"/>
      <c r="C176" s="16"/>
      <c r="D176" s="16"/>
      <c r="E176" s="16"/>
      <c r="F176" s="16"/>
      <c r="G176" s="16"/>
      <c r="H176" s="16"/>
      <c r="I176" s="16"/>
      <c r="J176" s="16"/>
      <c r="K176" s="16"/>
      <c r="L176" s="16"/>
      <c r="M176" s="1"/>
      <c r="N176" s="1"/>
      <c r="O176" s="1"/>
      <c r="P176" s="1"/>
      <c r="Q176" s="1"/>
      <c r="R176" s="1"/>
      <c r="S176" s="1"/>
      <c r="T176" s="1"/>
      <c r="U176" s="1"/>
      <c r="V176" s="1"/>
    </row>
    <row r="177" spans="1:22" ht="12.75" customHeight="1" x14ac:dyDescent="0.2">
      <c r="A177" s="16"/>
      <c r="B177" s="16"/>
      <c r="C177" s="16"/>
      <c r="D177" s="16"/>
      <c r="E177" s="16"/>
      <c r="F177" s="16"/>
      <c r="G177" s="16"/>
      <c r="H177" s="16"/>
      <c r="I177" s="16"/>
      <c r="J177" s="16"/>
      <c r="K177" s="16"/>
      <c r="L177" s="16"/>
      <c r="M177" s="1"/>
      <c r="N177" s="1"/>
      <c r="O177" s="1"/>
      <c r="P177" s="1"/>
      <c r="Q177" s="1"/>
      <c r="R177" s="1"/>
      <c r="S177" s="1"/>
      <c r="T177" s="1"/>
      <c r="U177" s="1"/>
      <c r="V177" s="1"/>
    </row>
    <row r="178" spans="1:22" ht="12.75" customHeight="1" x14ac:dyDescent="0.2">
      <c r="A178" s="16"/>
      <c r="B178" s="16"/>
      <c r="C178" s="16"/>
      <c r="D178" s="16"/>
      <c r="E178" s="16"/>
      <c r="F178" s="16"/>
      <c r="G178" s="16"/>
      <c r="H178" s="16"/>
      <c r="I178" s="16"/>
      <c r="J178" s="16"/>
      <c r="K178" s="16"/>
      <c r="L178" s="16"/>
      <c r="M178" s="1"/>
      <c r="N178" s="1"/>
      <c r="O178" s="1"/>
      <c r="P178" s="1"/>
      <c r="Q178" s="1"/>
      <c r="R178" s="1"/>
      <c r="S178" s="1"/>
      <c r="T178" s="1"/>
      <c r="U178" s="1"/>
      <c r="V178" s="1"/>
    </row>
    <row r="179" spans="1:22" ht="12.75" customHeight="1" x14ac:dyDescent="0.2">
      <c r="A179" s="16"/>
      <c r="B179" s="16"/>
      <c r="C179" s="16"/>
      <c r="D179" s="16"/>
      <c r="E179" s="16"/>
      <c r="F179" s="16"/>
      <c r="G179" s="16"/>
      <c r="H179" s="16"/>
      <c r="I179" s="16"/>
      <c r="J179" s="16"/>
      <c r="K179" s="16"/>
      <c r="L179" s="16"/>
      <c r="M179" s="1"/>
      <c r="N179" s="1"/>
      <c r="O179" s="1"/>
      <c r="P179" s="1"/>
      <c r="Q179" s="1"/>
      <c r="R179" s="1"/>
      <c r="S179" s="1"/>
      <c r="T179" s="1"/>
      <c r="U179" s="1"/>
      <c r="V179" s="1"/>
    </row>
    <row r="180" spans="1:22" ht="12.75" customHeight="1" x14ac:dyDescent="0.2">
      <c r="A180" s="16"/>
      <c r="B180" s="16"/>
      <c r="C180" s="16"/>
      <c r="D180" s="16"/>
      <c r="E180" s="16"/>
      <c r="F180" s="16"/>
      <c r="G180" s="16"/>
      <c r="H180" s="16"/>
      <c r="I180" s="16"/>
      <c r="J180" s="16"/>
      <c r="K180" s="16"/>
      <c r="L180" s="16"/>
      <c r="M180" s="1"/>
      <c r="N180" s="1"/>
      <c r="O180" s="1"/>
      <c r="P180" s="1"/>
      <c r="Q180" s="1"/>
      <c r="R180" s="1"/>
      <c r="S180" s="1"/>
      <c r="T180" s="1"/>
      <c r="U180" s="1"/>
      <c r="V180" s="1"/>
    </row>
    <row r="181" spans="1:22" ht="12.75" customHeight="1" x14ac:dyDescent="0.2">
      <c r="A181" s="16"/>
      <c r="B181" s="16"/>
      <c r="C181" s="16"/>
      <c r="D181" s="16"/>
      <c r="E181" s="16"/>
      <c r="F181" s="16"/>
      <c r="G181" s="16"/>
      <c r="H181" s="16"/>
      <c r="I181" s="16"/>
      <c r="J181" s="16"/>
      <c r="K181" s="16"/>
      <c r="L181" s="16"/>
      <c r="M181" s="1"/>
      <c r="N181" s="1"/>
      <c r="O181" s="1"/>
      <c r="P181" s="1"/>
      <c r="Q181" s="1"/>
      <c r="R181" s="1"/>
      <c r="S181" s="1"/>
      <c r="T181" s="1"/>
      <c r="U181" s="1"/>
      <c r="V181" s="1"/>
    </row>
    <row r="182" spans="1:22" ht="12.75" customHeight="1" x14ac:dyDescent="0.2">
      <c r="A182" s="16"/>
      <c r="B182" s="16"/>
      <c r="C182" s="16"/>
      <c r="D182" s="16"/>
      <c r="E182" s="16"/>
      <c r="F182" s="16"/>
      <c r="G182" s="16"/>
      <c r="H182" s="16"/>
      <c r="I182" s="16"/>
      <c r="J182" s="16"/>
      <c r="K182" s="16"/>
      <c r="L182" s="16"/>
      <c r="M182" s="1"/>
      <c r="N182" s="1"/>
      <c r="O182" s="1"/>
      <c r="P182" s="1"/>
      <c r="Q182" s="1"/>
      <c r="R182" s="1"/>
      <c r="S182" s="1"/>
      <c r="T182" s="1"/>
      <c r="U182" s="1"/>
      <c r="V182" s="1"/>
    </row>
    <row r="183" spans="1:22" ht="12.75" customHeight="1" x14ac:dyDescent="0.2">
      <c r="A183" s="16"/>
      <c r="B183" s="16"/>
      <c r="C183" s="16"/>
      <c r="D183" s="16"/>
      <c r="E183" s="16"/>
      <c r="F183" s="16"/>
      <c r="G183" s="16"/>
      <c r="H183" s="16"/>
      <c r="I183" s="16"/>
      <c r="J183" s="16"/>
      <c r="K183" s="16"/>
      <c r="L183" s="16"/>
      <c r="M183" s="1"/>
      <c r="N183" s="1"/>
      <c r="O183" s="1"/>
      <c r="P183" s="1"/>
      <c r="Q183" s="1"/>
      <c r="R183" s="1"/>
      <c r="S183" s="1"/>
      <c r="T183" s="1"/>
      <c r="U183" s="1"/>
      <c r="V183" s="1"/>
    </row>
    <row r="184" spans="1:22" ht="12.75" customHeight="1" x14ac:dyDescent="0.2">
      <c r="A184" s="16"/>
      <c r="B184" s="16"/>
      <c r="C184" s="16"/>
      <c r="D184" s="16"/>
      <c r="E184" s="16"/>
      <c r="F184" s="16"/>
      <c r="G184" s="16"/>
      <c r="H184" s="16"/>
      <c r="I184" s="16"/>
      <c r="J184" s="16"/>
      <c r="K184" s="16"/>
      <c r="L184" s="16"/>
      <c r="M184" s="1"/>
      <c r="N184" s="1"/>
      <c r="O184" s="1"/>
      <c r="P184" s="1"/>
      <c r="Q184" s="1"/>
      <c r="R184" s="1"/>
      <c r="S184" s="1"/>
      <c r="T184" s="1"/>
      <c r="U184" s="1"/>
      <c r="V184" s="1"/>
    </row>
    <row r="185" spans="1:22" ht="12.75" customHeight="1" x14ac:dyDescent="0.2">
      <c r="A185" s="16"/>
      <c r="B185" s="16"/>
      <c r="C185" s="16"/>
      <c r="D185" s="16"/>
      <c r="E185" s="16"/>
      <c r="F185" s="16"/>
      <c r="G185" s="16"/>
      <c r="H185" s="16"/>
      <c r="I185" s="16"/>
      <c r="J185" s="16"/>
      <c r="K185" s="16"/>
      <c r="L185" s="16"/>
      <c r="M185" s="1"/>
      <c r="N185" s="1"/>
      <c r="O185" s="1"/>
      <c r="P185" s="1"/>
      <c r="Q185" s="1"/>
      <c r="R185" s="1"/>
      <c r="S185" s="1"/>
      <c r="T185" s="1"/>
      <c r="U185" s="1"/>
      <c r="V185" s="1"/>
    </row>
    <row r="186" spans="1:22" ht="12.75" customHeight="1" x14ac:dyDescent="0.2">
      <c r="A186" s="16"/>
      <c r="B186" s="16"/>
      <c r="C186" s="16"/>
      <c r="D186" s="16"/>
      <c r="E186" s="16"/>
      <c r="F186" s="16"/>
      <c r="G186" s="16"/>
      <c r="H186" s="16"/>
      <c r="I186" s="16"/>
      <c r="J186" s="16"/>
      <c r="K186" s="16"/>
      <c r="L186" s="16"/>
      <c r="M186" s="1"/>
      <c r="N186" s="1"/>
      <c r="O186" s="1"/>
      <c r="P186" s="1"/>
      <c r="Q186" s="1"/>
      <c r="R186" s="1"/>
      <c r="S186" s="1"/>
      <c r="T186" s="1"/>
      <c r="U186" s="1"/>
      <c r="V186" s="1"/>
    </row>
    <row r="187" spans="1:22" ht="12.75" customHeight="1" x14ac:dyDescent="0.2">
      <c r="A187" s="16"/>
      <c r="B187" s="16"/>
      <c r="C187" s="16"/>
      <c r="D187" s="16"/>
      <c r="E187" s="16"/>
      <c r="F187" s="16"/>
      <c r="G187" s="16"/>
      <c r="H187" s="16"/>
      <c r="I187" s="16"/>
      <c r="J187" s="16"/>
      <c r="K187" s="16"/>
      <c r="L187" s="16"/>
      <c r="M187" s="1"/>
      <c r="N187" s="1"/>
      <c r="O187" s="1"/>
      <c r="P187" s="1"/>
      <c r="Q187" s="1"/>
      <c r="R187" s="1"/>
      <c r="S187" s="1"/>
      <c r="T187" s="1"/>
      <c r="U187" s="1"/>
      <c r="V187" s="1"/>
    </row>
    <row r="188" spans="1:22" ht="12.75" customHeight="1" x14ac:dyDescent="0.2">
      <c r="A188" s="16"/>
      <c r="B188" s="16"/>
      <c r="C188" s="16"/>
      <c r="D188" s="16"/>
      <c r="E188" s="16"/>
      <c r="F188" s="16"/>
      <c r="G188" s="16"/>
      <c r="H188" s="16"/>
      <c r="I188" s="16"/>
      <c r="J188" s="16"/>
      <c r="K188" s="16"/>
      <c r="L188" s="16"/>
      <c r="M188" s="1"/>
      <c r="N188" s="1"/>
      <c r="O188" s="1"/>
      <c r="P188" s="1"/>
      <c r="Q188" s="1"/>
      <c r="R188" s="1"/>
      <c r="S188" s="1"/>
      <c r="T188" s="1"/>
      <c r="U188" s="1"/>
      <c r="V188" s="1"/>
    </row>
    <row r="189" spans="1:22" ht="12.75" customHeight="1" x14ac:dyDescent="0.2">
      <c r="A189" s="16"/>
      <c r="B189" s="16"/>
      <c r="C189" s="16"/>
      <c r="D189" s="16"/>
      <c r="E189" s="16"/>
      <c r="F189" s="16"/>
      <c r="G189" s="16"/>
      <c r="H189" s="16"/>
      <c r="I189" s="16"/>
      <c r="J189" s="16"/>
      <c r="K189" s="16"/>
      <c r="L189" s="16"/>
      <c r="M189" s="1"/>
      <c r="N189" s="1"/>
      <c r="O189" s="1"/>
      <c r="P189" s="1"/>
      <c r="Q189" s="1"/>
      <c r="R189" s="1"/>
      <c r="S189" s="1"/>
      <c r="T189" s="1"/>
      <c r="U189" s="1"/>
      <c r="V189" s="1"/>
    </row>
    <row r="190" spans="1:22" ht="12.75" customHeight="1" x14ac:dyDescent="0.2">
      <c r="A190" s="16"/>
      <c r="B190" s="16"/>
      <c r="C190" s="16"/>
      <c r="D190" s="16"/>
      <c r="E190" s="16"/>
      <c r="F190" s="16"/>
      <c r="G190" s="16"/>
      <c r="H190" s="16"/>
      <c r="I190" s="16"/>
      <c r="J190" s="16"/>
      <c r="K190" s="16"/>
      <c r="L190" s="16"/>
      <c r="M190" s="1"/>
      <c r="N190" s="1"/>
      <c r="O190" s="1"/>
      <c r="P190" s="1"/>
      <c r="Q190" s="1"/>
      <c r="R190" s="1"/>
      <c r="S190" s="1"/>
      <c r="T190" s="1"/>
      <c r="U190" s="1"/>
      <c r="V190" s="1"/>
    </row>
    <row r="191" spans="1:22" ht="12.75" customHeight="1" x14ac:dyDescent="0.2">
      <c r="A191" s="16"/>
      <c r="B191" s="16"/>
      <c r="C191" s="16"/>
      <c r="D191" s="16"/>
      <c r="E191" s="16"/>
      <c r="F191" s="16"/>
      <c r="G191" s="16"/>
      <c r="H191" s="16"/>
      <c r="I191" s="16"/>
      <c r="J191" s="16"/>
      <c r="K191" s="16"/>
      <c r="L191" s="16"/>
      <c r="M191" s="1"/>
      <c r="N191" s="1"/>
      <c r="O191" s="1"/>
      <c r="P191" s="1"/>
      <c r="Q191" s="1"/>
      <c r="R191" s="1"/>
      <c r="S191" s="1"/>
      <c r="T191" s="1"/>
      <c r="U191" s="1"/>
      <c r="V191" s="1"/>
    </row>
    <row r="192" spans="1:22" ht="12.75" customHeight="1" x14ac:dyDescent="0.2">
      <c r="A192" s="16"/>
      <c r="B192" s="16"/>
      <c r="C192" s="16"/>
      <c r="D192" s="16"/>
      <c r="E192" s="16"/>
      <c r="F192" s="16"/>
      <c r="G192" s="16"/>
      <c r="H192" s="16"/>
      <c r="I192" s="16"/>
      <c r="J192" s="16"/>
      <c r="K192" s="16"/>
      <c r="L192" s="16"/>
      <c r="M192" s="1"/>
      <c r="N192" s="1"/>
      <c r="O192" s="1"/>
      <c r="P192" s="1"/>
      <c r="Q192" s="1"/>
      <c r="R192" s="1"/>
      <c r="S192" s="1"/>
      <c r="T192" s="1"/>
      <c r="U192" s="1"/>
      <c r="V192" s="1"/>
    </row>
    <row r="193" spans="1:22" ht="12.75" customHeight="1" x14ac:dyDescent="0.2">
      <c r="A193" s="16"/>
      <c r="B193" s="16"/>
      <c r="C193" s="16"/>
      <c r="D193" s="16"/>
      <c r="E193" s="16"/>
      <c r="F193" s="16"/>
      <c r="G193" s="16"/>
      <c r="H193" s="16"/>
      <c r="I193" s="16"/>
      <c r="J193" s="16"/>
      <c r="K193" s="16"/>
      <c r="L193" s="16"/>
      <c r="M193" s="1"/>
      <c r="N193" s="1"/>
      <c r="O193" s="1"/>
      <c r="P193" s="1"/>
      <c r="Q193" s="1"/>
      <c r="R193" s="1"/>
      <c r="S193" s="1"/>
      <c r="T193" s="1"/>
      <c r="U193" s="1"/>
      <c r="V193" s="1"/>
    </row>
    <row r="194" spans="1:22" ht="12.75" customHeight="1" x14ac:dyDescent="0.2">
      <c r="A194" s="16"/>
      <c r="B194" s="16"/>
      <c r="C194" s="16"/>
      <c r="D194" s="16"/>
      <c r="E194" s="16"/>
      <c r="F194" s="16"/>
      <c r="G194" s="16"/>
      <c r="H194" s="16"/>
      <c r="I194" s="16"/>
      <c r="J194" s="16"/>
      <c r="K194" s="16"/>
      <c r="L194" s="16"/>
      <c r="M194" s="1"/>
      <c r="N194" s="1"/>
      <c r="O194" s="1"/>
      <c r="P194" s="1"/>
      <c r="Q194" s="1"/>
      <c r="R194" s="1"/>
      <c r="S194" s="1"/>
      <c r="T194" s="1"/>
      <c r="U194" s="1"/>
      <c r="V194" s="1"/>
    </row>
    <row r="195" spans="1:22" ht="12.75" customHeight="1" x14ac:dyDescent="0.2">
      <c r="A195" s="16"/>
      <c r="B195" s="16"/>
      <c r="C195" s="16"/>
      <c r="D195" s="16"/>
      <c r="E195" s="16"/>
      <c r="F195" s="16"/>
      <c r="G195" s="16"/>
      <c r="H195" s="16"/>
      <c r="I195" s="16"/>
      <c r="J195" s="16"/>
      <c r="K195" s="16"/>
      <c r="L195" s="16"/>
      <c r="M195" s="1"/>
      <c r="N195" s="1"/>
      <c r="O195" s="1"/>
      <c r="P195" s="1"/>
      <c r="Q195" s="1"/>
      <c r="R195" s="1"/>
      <c r="S195" s="1"/>
      <c r="T195" s="1"/>
      <c r="U195" s="1"/>
      <c r="V195" s="1"/>
    </row>
    <row r="196" spans="1:22" ht="12.75" customHeight="1" x14ac:dyDescent="0.2">
      <c r="A196" s="16"/>
      <c r="B196" s="16"/>
      <c r="C196" s="16"/>
      <c r="D196" s="16"/>
      <c r="E196" s="16"/>
      <c r="F196" s="16"/>
      <c r="G196" s="16"/>
      <c r="H196" s="16"/>
      <c r="I196" s="16"/>
      <c r="J196" s="16"/>
      <c r="K196" s="16"/>
      <c r="L196" s="16"/>
      <c r="M196" s="1"/>
      <c r="N196" s="1"/>
      <c r="O196" s="1"/>
      <c r="P196" s="1"/>
      <c r="Q196" s="1"/>
      <c r="R196" s="1"/>
      <c r="S196" s="1"/>
      <c r="T196" s="1"/>
      <c r="U196" s="1"/>
      <c r="V196" s="1"/>
    </row>
    <row r="197" spans="1:22" ht="12.75" customHeight="1" x14ac:dyDescent="0.2">
      <c r="A197" s="16"/>
      <c r="B197" s="16"/>
      <c r="C197" s="16"/>
      <c r="D197" s="16"/>
      <c r="E197" s="16"/>
      <c r="F197" s="16"/>
      <c r="G197" s="16"/>
      <c r="H197" s="16"/>
      <c r="I197" s="16"/>
      <c r="J197" s="16"/>
      <c r="K197" s="16"/>
      <c r="L197" s="16"/>
      <c r="M197" s="1"/>
      <c r="N197" s="1"/>
      <c r="O197" s="1"/>
      <c r="P197" s="1"/>
      <c r="Q197" s="1"/>
      <c r="R197" s="1"/>
      <c r="S197" s="1"/>
      <c r="T197" s="1"/>
      <c r="U197" s="1"/>
      <c r="V197" s="1"/>
    </row>
    <row r="198" spans="1:22" ht="12.75" customHeight="1" x14ac:dyDescent="0.2">
      <c r="A198" s="16"/>
      <c r="B198" s="16"/>
      <c r="C198" s="16"/>
      <c r="D198" s="16"/>
      <c r="E198" s="16"/>
      <c r="F198" s="16"/>
      <c r="G198" s="16"/>
      <c r="H198" s="16"/>
      <c r="I198" s="16"/>
      <c r="J198" s="16"/>
      <c r="K198" s="16"/>
      <c r="L198" s="16"/>
      <c r="M198" s="1"/>
      <c r="N198" s="1"/>
      <c r="O198" s="1"/>
      <c r="P198" s="1"/>
      <c r="Q198" s="1"/>
      <c r="R198" s="1"/>
      <c r="S198" s="1"/>
      <c r="T198" s="1"/>
      <c r="U198" s="1"/>
      <c r="V198" s="1"/>
    </row>
    <row r="199" spans="1:22" ht="12.75" customHeight="1" x14ac:dyDescent="0.2">
      <c r="A199" s="16"/>
      <c r="B199" s="16"/>
      <c r="C199" s="16"/>
      <c r="D199" s="16"/>
      <c r="E199" s="16"/>
      <c r="F199" s="16"/>
      <c r="G199" s="16"/>
      <c r="H199" s="16"/>
      <c r="I199" s="16"/>
      <c r="J199" s="16"/>
      <c r="K199" s="16"/>
      <c r="L199" s="16"/>
      <c r="M199" s="1"/>
      <c r="N199" s="1"/>
      <c r="O199" s="1"/>
      <c r="P199" s="1"/>
      <c r="Q199" s="1"/>
      <c r="R199" s="1"/>
      <c r="S199" s="1"/>
      <c r="T199" s="1"/>
      <c r="U199" s="1"/>
      <c r="V199" s="1"/>
    </row>
    <row r="200" spans="1:22" ht="12.75" customHeight="1" x14ac:dyDescent="0.2">
      <c r="A200" s="16"/>
      <c r="B200" s="16"/>
      <c r="C200" s="16"/>
      <c r="D200" s="16"/>
      <c r="E200" s="16"/>
      <c r="F200" s="16"/>
      <c r="G200" s="16"/>
      <c r="H200" s="16"/>
      <c r="I200" s="16"/>
      <c r="J200" s="16"/>
      <c r="K200" s="16"/>
      <c r="L200" s="16"/>
      <c r="M200" s="1"/>
      <c r="N200" s="1"/>
      <c r="O200" s="1"/>
      <c r="P200" s="1"/>
      <c r="Q200" s="1"/>
      <c r="R200" s="1"/>
      <c r="S200" s="1"/>
      <c r="T200" s="1"/>
      <c r="U200" s="1"/>
      <c r="V200" s="1"/>
    </row>
    <row r="201" spans="1:22" ht="12.75" customHeight="1" x14ac:dyDescent="0.2">
      <c r="A201" s="16"/>
      <c r="B201" s="16"/>
      <c r="C201" s="16"/>
      <c r="D201" s="16"/>
      <c r="E201" s="16"/>
      <c r="F201" s="16"/>
      <c r="G201" s="16"/>
      <c r="H201" s="16"/>
      <c r="I201" s="16"/>
      <c r="J201" s="16"/>
      <c r="K201" s="16"/>
      <c r="L201" s="16"/>
      <c r="M201" s="1"/>
      <c r="N201" s="1"/>
      <c r="O201" s="1"/>
      <c r="P201" s="1"/>
      <c r="Q201" s="1"/>
      <c r="R201" s="1"/>
      <c r="S201" s="1"/>
      <c r="T201" s="1"/>
      <c r="U201" s="1"/>
      <c r="V201" s="1"/>
    </row>
    <row r="202" spans="1:22" ht="12.75" customHeight="1" x14ac:dyDescent="0.2">
      <c r="A202" s="16"/>
      <c r="B202" s="16"/>
      <c r="C202" s="16"/>
      <c r="D202" s="16"/>
      <c r="E202" s="16"/>
      <c r="F202" s="16"/>
      <c r="G202" s="16"/>
      <c r="H202" s="16"/>
      <c r="I202" s="16"/>
      <c r="J202" s="16"/>
      <c r="K202" s="16"/>
      <c r="L202" s="16"/>
      <c r="M202" s="1"/>
      <c r="N202" s="1"/>
      <c r="O202" s="1"/>
      <c r="P202" s="1"/>
      <c r="Q202" s="1"/>
      <c r="R202" s="1"/>
      <c r="S202" s="1"/>
      <c r="T202" s="1"/>
      <c r="U202" s="1"/>
      <c r="V202" s="1"/>
    </row>
    <row r="203" spans="1:22" ht="12.75" customHeight="1" x14ac:dyDescent="0.2">
      <c r="A203" s="16"/>
      <c r="B203" s="16"/>
      <c r="C203" s="16"/>
      <c r="D203" s="16"/>
      <c r="E203" s="16"/>
      <c r="F203" s="16"/>
      <c r="G203" s="16"/>
      <c r="H203" s="16"/>
      <c r="I203" s="16"/>
      <c r="J203" s="16"/>
      <c r="K203" s="16"/>
      <c r="L203" s="16"/>
      <c r="M203" s="1"/>
      <c r="N203" s="1"/>
      <c r="O203" s="1"/>
      <c r="P203" s="1"/>
      <c r="Q203" s="1"/>
      <c r="R203" s="1"/>
      <c r="S203" s="1"/>
      <c r="T203" s="1"/>
      <c r="U203" s="1"/>
      <c r="V203" s="1"/>
    </row>
    <row r="204" spans="1:22" ht="12.75" customHeight="1" x14ac:dyDescent="0.2">
      <c r="A204" s="16"/>
      <c r="B204" s="16"/>
      <c r="C204" s="16"/>
      <c r="D204" s="16"/>
      <c r="E204" s="16"/>
      <c r="F204" s="16"/>
      <c r="G204" s="16"/>
      <c r="H204" s="16"/>
      <c r="I204" s="16"/>
      <c r="J204" s="16"/>
      <c r="K204" s="16"/>
      <c r="L204" s="16"/>
      <c r="M204" s="1"/>
      <c r="N204" s="1"/>
      <c r="O204" s="1"/>
      <c r="P204" s="1"/>
      <c r="Q204" s="1"/>
      <c r="R204" s="1"/>
      <c r="S204" s="1"/>
      <c r="T204" s="1"/>
      <c r="U204" s="1"/>
      <c r="V204" s="1"/>
    </row>
    <row r="205" spans="1:22" ht="12.75" customHeight="1" x14ac:dyDescent="0.2">
      <c r="A205" s="16"/>
      <c r="B205" s="16"/>
      <c r="C205" s="16"/>
      <c r="D205" s="16"/>
      <c r="E205" s="16"/>
      <c r="F205" s="16"/>
      <c r="G205" s="16"/>
      <c r="H205" s="16"/>
      <c r="I205" s="16"/>
      <c r="J205" s="16"/>
      <c r="K205" s="16"/>
      <c r="L205" s="16"/>
      <c r="M205" s="1"/>
      <c r="N205" s="1"/>
      <c r="O205" s="1"/>
      <c r="P205" s="1"/>
      <c r="Q205" s="1"/>
      <c r="R205" s="1"/>
      <c r="S205" s="1"/>
      <c r="T205" s="1"/>
      <c r="U205" s="1"/>
      <c r="V205" s="1"/>
    </row>
    <row r="206" spans="1:22" ht="12.75" customHeight="1" x14ac:dyDescent="0.2">
      <c r="A206" s="16"/>
      <c r="B206" s="16"/>
      <c r="C206" s="16"/>
      <c r="D206" s="16"/>
      <c r="E206" s="16"/>
      <c r="F206" s="16"/>
      <c r="G206" s="16"/>
      <c r="H206" s="16"/>
      <c r="I206" s="16"/>
      <c r="J206" s="16"/>
      <c r="K206" s="16"/>
      <c r="L206" s="16"/>
      <c r="M206" s="1"/>
      <c r="N206" s="1"/>
      <c r="O206" s="1"/>
      <c r="P206" s="1"/>
      <c r="Q206" s="1"/>
      <c r="R206" s="1"/>
      <c r="S206" s="1"/>
      <c r="T206" s="1"/>
      <c r="U206" s="1"/>
      <c r="V206" s="1"/>
    </row>
    <row r="207" spans="1:22" ht="12.75" customHeight="1" x14ac:dyDescent="0.2">
      <c r="A207" s="16"/>
      <c r="B207" s="16"/>
      <c r="C207" s="16"/>
      <c r="D207" s="16"/>
      <c r="E207" s="16"/>
      <c r="F207" s="16"/>
      <c r="G207" s="16"/>
      <c r="H207" s="16"/>
      <c r="I207" s="16"/>
      <c r="J207" s="16"/>
      <c r="K207" s="16"/>
      <c r="L207" s="16"/>
      <c r="M207" s="1"/>
      <c r="N207" s="1"/>
      <c r="O207" s="1"/>
      <c r="P207" s="1"/>
      <c r="Q207" s="1"/>
      <c r="R207" s="1"/>
      <c r="S207" s="1"/>
      <c r="T207" s="1"/>
      <c r="U207" s="1"/>
      <c r="V207" s="1"/>
    </row>
    <row r="208" spans="1:22" ht="12.75" customHeight="1" x14ac:dyDescent="0.2">
      <c r="A208" s="16"/>
      <c r="B208" s="16"/>
      <c r="C208" s="16"/>
      <c r="D208" s="16"/>
      <c r="E208" s="16"/>
      <c r="F208" s="16"/>
      <c r="G208" s="16"/>
      <c r="H208" s="16"/>
      <c r="I208" s="16"/>
      <c r="J208" s="16"/>
      <c r="K208" s="16"/>
      <c r="L208" s="16"/>
      <c r="M208" s="1"/>
      <c r="N208" s="1"/>
      <c r="O208" s="1"/>
      <c r="P208" s="1"/>
      <c r="Q208" s="1"/>
      <c r="R208" s="1"/>
      <c r="S208" s="1"/>
      <c r="T208" s="1"/>
      <c r="U208" s="1"/>
      <c r="V208" s="1"/>
    </row>
    <row r="209" spans="1:22" ht="12.75" customHeight="1" x14ac:dyDescent="0.2">
      <c r="A209" s="16"/>
      <c r="B209" s="16"/>
      <c r="C209" s="16"/>
      <c r="D209" s="16"/>
      <c r="E209" s="16"/>
      <c r="F209" s="16"/>
      <c r="G209" s="16"/>
      <c r="H209" s="16"/>
      <c r="I209" s="16"/>
      <c r="J209" s="16"/>
      <c r="K209" s="16"/>
      <c r="L209" s="16"/>
      <c r="M209" s="1"/>
      <c r="N209" s="1"/>
      <c r="O209" s="1"/>
      <c r="P209" s="1"/>
      <c r="Q209" s="1"/>
      <c r="R209" s="1"/>
      <c r="S209" s="1"/>
      <c r="T209" s="1"/>
      <c r="U209" s="1"/>
      <c r="V209" s="1"/>
    </row>
    <row r="210" spans="1:22" ht="12.75" customHeight="1" x14ac:dyDescent="0.2">
      <c r="A210" s="16"/>
      <c r="B210" s="16"/>
      <c r="C210" s="16"/>
      <c r="D210" s="16"/>
      <c r="E210" s="16"/>
      <c r="F210" s="16"/>
      <c r="G210" s="16"/>
      <c r="H210" s="16"/>
      <c r="I210" s="16"/>
      <c r="J210" s="16"/>
      <c r="K210" s="16"/>
      <c r="L210" s="16"/>
      <c r="M210" s="1"/>
      <c r="N210" s="1"/>
      <c r="O210" s="1"/>
      <c r="P210" s="1"/>
      <c r="Q210" s="1"/>
      <c r="R210" s="1"/>
      <c r="S210" s="1"/>
      <c r="T210" s="1"/>
      <c r="U210" s="1"/>
      <c r="V210" s="1"/>
    </row>
    <row r="211" spans="1:22" ht="12.75" customHeight="1" x14ac:dyDescent="0.2">
      <c r="A211" s="16"/>
      <c r="B211" s="16"/>
      <c r="C211" s="16"/>
      <c r="D211" s="16"/>
      <c r="E211" s="16"/>
      <c r="F211" s="16"/>
      <c r="G211" s="16"/>
      <c r="H211" s="16"/>
      <c r="I211" s="16"/>
      <c r="J211" s="16"/>
      <c r="K211" s="16"/>
      <c r="L211" s="16"/>
      <c r="M211" s="1"/>
      <c r="N211" s="1"/>
      <c r="O211" s="1"/>
      <c r="P211" s="1"/>
      <c r="Q211" s="1"/>
      <c r="R211" s="1"/>
      <c r="S211" s="1"/>
      <c r="T211" s="1"/>
      <c r="U211" s="1"/>
      <c r="V211" s="1"/>
    </row>
    <row r="212" spans="1:22" ht="12.75" customHeight="1" x14ac:dyDescent="0.2">
      <c r="A212" s="16"/>
      <c r="B212" s="16"/>
      <c r="C212" s="16"/>
      <c r="D212" s="16"/>
      <c r="E212" s="16"/>
      <c r="F212" s="16"/>
      <c r="G212" s="16"/>
      <c r="H212" s="16"/>
      <c r="I212" s="16"/>
      <c r="J212" s="16"/>
      <c r="K212" s="16"/>
      <c r="L212" s="16"/>
      <c r="M212" s="1"/>
      <c r="N212" s="1"/>
      <c r="O212" s="1"/>
      <c r="P212" s="1"/>
      <c r="Q212" s="1"/>
      <c r="R212" s="1"/>
      <c r="S212" s="1"/>
      <c r="T212" s="1"/>
      <c r="U212" s="1"/>
      <c r="V212" s="1"/>
    </row>
    <row r="213" spans="1:22" ht="12.75" customHeight="1" x14ac:dyDescent="0.2">
      <c r="A213" s="16"/>
      <c r="B213" s="16"/>
      <c r="C213" s="16"/>
      <c r="D213" s="16"/>
      <c r="E213" s="16"/>
      <c r="F213" s="16"/>
      <c r="G213" s="16"/>
      <c r="H213" s="16"/>
      <c r="I213" s="16"/>
      <c r="J213" s="16"/>
      <c r="K213" s="16"/>
      <c r="L213" s="16"/>
      <c r="M213" s="1"/>
      <c r="N213" s="1"/>
      <c r="O213" s="1"/>
      <c r="P213" s="1"/>
      <c r="Q213" s="1"/>
      <c r="R213" s="1"/>
      <c r="S213" s="1"/>
      <c r="T213" s="1"/>
      <c r="U213" s="1"/>
      <c r="V213" s="1"/>
    </row>
    <row r="214" spans="1:22" ht="12.75" customHeight="1" x14ac:dyDescent="0.2">
      <c r="A214" s="16"/>
      <c r="B214" s="16"/>
      <c r="C214" s="16"/>
      <c r="D214" s="16"/>
      <c r="E214" s="16"/>
      <c r="F214" s="16"/>
      <c r="G214" s="16"/>
      <c r="H214" s="16"/>
      <c r="I214" s="16"/>
      <c r="J214" s="16"/>
      <c r="K214" s="16"/>
      <c r="L214" s="16"/>
      <c r="M214" s="1"/>
      <c r="N214" s="1"/>
      <c r="O214" s="1"/>
      <c r="P214" s="1"/>
      <c r="Q214" s="1"/>
      <c r="R214" s="1"/>
      <c r="S214" s="1"/>
      <c r="T214" s="1"/>
      <c r="U214" s="1"/>
      <c r="V214" s="1"/>
    </row>
    <row r="215" spans="1:22" ht="12.75" customHeight="1" x14ac:dyDescent="0.2">
      <c r="A215" s="16"/>
      <c r="B215" s="16"/>
      <c r="C215" s="16"/>
      <c r="D215" s="16"/>
      <c r="E215" s="16"/>
      <c r="F215" s="16"/>
      <c r="G215" s="16"/>
      <c r="H215" s="16"/>
      <c r="I215" s="16"/>
      <c r="J215" s="16"/>
      <c r="K215" s="16"/>
      <c r="L215" s="16"/>
      <c r="M215" s="1"/>
      <c r="N215" s="1"/>
      <c r="O215" s="1"/>
      <c r="P215" s="1"/>
      <c r="Q215" s="1"/>
      <c r="R215" s="1"/>
      <c r="S215" s="1"/>
      <c r="T215" s="1"/>
      <c r="U215" s="1"/>
      <c r="V215" s="1"/>
    </row>
    <row r="216" spans="1:22" ht="12.75" customHeight="1" x14ac:dyDescent="0.2">
      <c r="A216" s="16"/>
      <c r="B216" s="16"/>
      <c r="C216" s="16"/>
      <c r="D216" s="16"/>
      <c r="E216" s="16"/>
      <c r="F216" s="16"/>
      <c r="G216" s="16"/>
      <c r="H216" s="16"/>
      <c r="I216" s="16"/>
      <c r="J216" s="16"/>
      <c r="K216" s="16"/>
      <c r="L216" s="16"/>
      <c r="M216" s="1"/>
      <c r="N216" s="1"/>
      <c r="O216" s="1"/>
      <c r="P216" s="1"/>
      <c r="Q216" s="1"/>
      <c r="R216" s="1"/>
      <c r="S216" s="1"/>
      <c r="T216" s="1"/>
      <c r="U216" s="1"/>
      <c r="V216" s="1"/>
    </row>
    <row r="217" spans="1:22" ht="12.75" customHeight="1" x14ac:dyDescent="0.2">
      <c r="A217" s="16"/>
      <c r="B217" s="16"/>
      <c r="C217" s="16"/>
      <c r="D217" s="16"/>
      <c r="E217" s="16"/>
      <c r="F217" s="16"/>
      <c r="G217" s="16"/>
      <c r="H217" s="16"/>
      <c r="I217" s="16"/>
      <c r="J217" s="16"/>
      <c r="K217" s="16"/>
      <c r="L217" s="16"/>
      <c r="M217" s="1"/>
      <c r="N217" s="1"/>
      <c r="O217" s="1"/>
      <c r="P217" s="1"/>
      <c r="Q217" s="1"/>
      <c r="R217" s="1"/>
      <c r="S217" s="1"/>
      <c r="T217" s="1"/>
      <c r="U217" s="1"/>
      <c r="V217" s="1"/>
    </row>
    <row r="218" spans="1:22" ht="12.75" customHeight="1" x14ac:dyDescent="0.2">
      <c r="A218" s="16"/>
      <c r="B218" s="16"/>
      <c r="C218" s="16"/>
      <c r="D218" s="16"/>
      <c r="E218" s="16"/>
      <c r="F218" s="16"/>
      <c r="G218" s="16"/>
      <c r="H218" s="16"/>
      <c r="I218" s="16"/>
      <c r="J218" s="16"/>
      <c r="K218" s="16"/>
      <c r="L218" s="16"/>
      <c r="M218" s="1"/>
      <c r="N218" s="1"/>
      <c r="O218" s="1"/>
      <c r="P218" s="1"/>
      <c r="Q218" s="1"/>
      <c r="R218" s="1"/>
      <c r="S218" s="1"/>
      <c r="T218" s="1"/>
      <c r="U218" s="1"/>
      <c r="V218" s="1"/>
    </row>
    <row r="219" spans="1:22" ht="12.75" customHeight="1" x14ac:dyDescent="0.2">
      <c r="A219" s="16"/>
      <c r="B219" s="16"/>
      <c r="C219" s="16"/>
      <c r="D219" s="16"/>
      <c r="E219" s="16"/>
      <c r="F219" s="16"/>
      <c r="G219" s="16"/>
      <c r="H219" s="16"/>
      <c r="I219" s="16"/>
      <c r="J219" s="16"/>
      <c r="K219" s="16"/>
      <c r="L219" s="16"/>
      <c r="M219" s="1"/>
      <c r="N219" s="1"/>
      <c r="O219" s="1"/>
      <c r="P219" s="1"/>
      <c r="Q219" s="1"/>
      <c r="R219" s="1"/>
      <c r="S219" s="1"/>
      <c r="T219" s="1"/>
      <c r="U219" s="1"/>
      <c r="V219" s="1"/>
    </row>
    <row r="220" spans="1:22" ht="12.75" customHeight="1" x14ac:dyDescent="0.2">
      <c r="A220" s="16"/>
      <c r="B220" s="16"/>
      <c r="C220" s="16"/>
      <c r="D220" s="16"/>
      <c r="E220" s="16"/>
      <c r="F220" s="16"/>
      <c r="G220" s="16"/>
      <c r="H220" s="16"/>
      <c r="I220" s="16"/>
      <c r="J220" s="16"/>
      <c r="K220" s="16"/>
      <c r="L220" s="16"/>
      <c r="M220" s="1"/>
      <c r="N220" s="1"/>
      <c r="O220" s="1"/>
      <c r="P220" s="1"/>
      <c r="Q220" s="1"/>
      <c r="R220" s="1"/>
      <c r="S220" s="1"/>
      <c r="T220" s="1"/>
      <c r="U220" s="1"/>
      <c r="V220" s="1"/>
    </row>
    <row r="221" spans="1:22" ht="12.75" customHeight="1" x14ac:dyDescent="0.2">
      <c r="A221" s="16"/>
      <c r="B221" s="16"/>
      <c r="C221" s="16"/>
      <c r="D221" s="16"/>
      <c r="E221" s="16"/>
      <c r="F221" s="16"/>
      <c r="G221" s="16"/>
      <c r="H221" s="16"/>
      <c r="I221" s="16"/>
      <c r="J221" s="16"/>
      <c r="K221" s="16"/>
      <c r="L221" s="16"/>
      <c r="M221" s="1"/>
      <c r="N221" s="1"/>
      <c r="O221" s="1"/>
      <c r="P221" s="1"/>
      <c r="Q221" s="1"/>
      <c r="R221" s="1"/>
      <c r="S221" s="1"/>
      <c r="T221" s="1"/>
      <c r="U221" s="1"/>
      <c r="V221" s="1"/>
    </row>
    <row r="222" spans="1:22" ht="12.75" customHeight="1" x14ac:dyDescent="0.2">
      <c r="A222" s="16"/>
      <c r="B222" s="16"/>
      <c r="C222" s="16"/>
      <c r="D222" s="16"/>
      <c r="E222" s="16"/>
      <c r="F222" s="16"/>
      <c r="G222" s="16"/>
      <c r="H222" s="16"/>
      <c r="I222" s="16"/>
      <c r="J222" s="16"/>
      <c r="K222" s="16"/>
      <c r="L222" s="16"/>
      <c r="M222" s="1"/>
      <c r="N222" s="1"/>
      <c r="O222" s="1"/>
      <c r="P222" s="1"/>
      <c r="Q222" s="1"/>
      <c r="R222" s="1"/>
      <c r="S222" s="1"/>
      <c r="T222" s="1"/>
      <c r="U222" s="1"/>
      <c r="V222" s="1"/>
    </row>
    <row r="223" spans="1:22" ht="12.75" customHeight="1" x14ac:dyDescent="0.2">
      <c r="A223" s="16"/>
      <c r="B223" s="16"/>
      <c r="C223" s="16"/>
      <c r="D223" s="16"/>
      <c r="E223" s="16"/>
      <c r="F223" s="16"/>
      <c r="G223" s="16"/>
      <c r="H223" s="16"/>
      <c r="I223" s="16"/>
      <c r="J223" s="16"/>
      <c r="K223" s="16"/>
      <c r="L223" s="16"/>
      <c r="M223" s="1"/>
      <c r="N223" s="1"/>
      <c r="O223" s="1"/>
      <c r="P223" s="1"/>
      <c r="Q223" s="1"/>
      <c r="R223" s="1"/>
      <c r="S223" s="1"/>
      <c r="T223" s="1"/>
      <c r="U223" s="1"/>
      <c r="V223" s="1"/>
    </row>
    <row r="224" spans="1:22" ht="12.75" customHeight="1" x14ac:dyDescent="0.2">
      <c r="A224" s="16"/>
      <c r="B224" s="16"/>
      <c r="C224" s="16"/>
      <c r="D224" s="16"/>
      <c r="E224" s="16"/>
      <c r="F224" s="16"/>
      <c r="G224" s="16"/>
      <c r="H224" s="16"/>
      <c r="I224" s="16"/>
      <c r="J224" s="16"/>
      <c r="K224" s="16"/>
      <c r="L224" s="16"/>
      <c r="M224" s="1"/>
      <c r="N224" s="1"/>
      <c r="O224" s="1"/>
      <c r="P224" s="1"/>
      <c r="Q224" s="1"/>
      <c r="R224" s="1"/>
      <c r="S224" s="1"/>
      <c r="T224" s="1"/>
      <c r="U224" s="1"/>
      <c r="V224" s="1"/>
    </row>
    <row r="225" spans="1:22" ht="12.75" customHeight="1" x14ac:dyDescent="0.2">
      <c r="A225" s="16"/>
      <c r="B225" s="16"/>
      <c r="C225" s="16"/>
      <c r="D225" s="16"/>
      <c r="E225" s="16"/>
      <c r="F225" s="16"/>
      <c r="G225" s="16"/>
      <c r="H225" s="16"/>
      <c r="I225" s="16"/>
      <c r="J225" s="16"/>
      <c r="K225" s="16"/>
      <c r="L225" s="16"/>
      <c r="M225" s="1"/>
      <c r="N225" s="1"/>
      <c r="O225" s="1"/>
      <c r="P225" s="1"/>
      <c r="Q225" s="1"/>
      <c r="R225" s="1"/>
      <c r="S225" s="1"/>
      <c r="T225" s="1"/>
      <c r="U225" s="1"/>
      <c r="V225" s="1"/>
    </row>
    <row r="226" spans="1:22" ht="12.75" customHeight="1" x14ac:dyDescent="0.2">
      <c r="A226" s="16"/>
      <c r="B226" s="16"/>
      <c r="C226" s="16"/>
      <c r="D226" s="16"/>
      <c r="E226" s="16"/>
      <c r="F226" s="16"/>
      <c r="G226" s="16"/>
      <c r="H226" s="16"/>
      <c r="I226" s="16"/>
      <c r="J226" s="16"/>
      <c r="K226" s="16"/>
      <c r="L226" s="16"/>
      <c r="M226" s="1"/>
      <c r="N226" s="1"/>
      <c r="O226" s="1"/>
      <c r="P226" s="1"/>
      <c r="Q226" s="1"/>
      <c r="R226" s="1"/>
      <c r="S226" s="1"/>
      <c r="T226" s="1"/>
      <c r="U226" s="1"/>
      <c r="V226" s="1"/>
    </row>
    <row r="227" spans="1:22" ht="12.75" customHeight="1" x14ac:dyDescent="0.2">
      <c r="A227" s="16"/>
      <c r="B227" s="16"/>
      <c r="C227" s="16"/>
      <c r="D227" s="16"/>
      <c r="E227" s="16"/>
      <c r="F227" s="16"/>
      <c r="G227" s="16"/>
      <c r="H227" s="16"/>
      <c r="I227" s="16"/>
      <c r="J227" s="16"/>
      <c r="K227" s="16"/>
      <c r="L227" s="16"/>
      <c r="M227" s="1"/>
      <c r="N227" s="1"/>
      <c r="O227" s="1"/>
      <c r="P227" s="1"/>
      <c r="Q227" s="1"/>
      <c r="R227" s="1"/>
      <c r="S227" s="1"/>
      <c r="T227" s="1"/>
      <c r="U227" s="1"/>
      <c r="V227" s="1"/>
    </row>
    <row r="228" spans="1:22" ht="12.75" customHeight="1" x14ac:dyDescent="0.2">
      <c r="A228" s="16"/>
      <c r="B228" s="16"/>
      <c r="C228" s="16"/>
      <c r="D228" s="16"/>
      <c r="E228" s="16"/>
      <c r="F228" s="16"/>
      <c r="G228" s="16"/>
      <c r="H228" s="16"/>
      <c r="I228" s="16"/>
      <c r="J228" s="16"/>
      <c r="K228" s="16"/>
      <c r="L228" s="16"/>
      <c r="M228" s="1"/>
      <c r="N228" s="1"/>
      <c r="O228" s="1"/>
      <c r="P228" s="1"/>
      <c r="Q228" s="1"/>
      <c r="R228" s="1"/>
      <c r="S228" s="1"/>
      <c r="T228" s="1"/>
      <c r="U228" s="1"/>
      <c r="V228" s="1"/>
    </row>
    <row r="229" spans="1:22" ht="12.75" customHeight="1" x14ac:dyDescent="0.2">
      <c r="A229" s="16"/>
      <c r="B229" s="16"/>
      <c r="C229" s="16"/>
      <c r="D229" s="16"/>
      <c r="E229" s="16"/>
      <c r="F229" s="16"/>
      <c r="G229" s="16"/>
      <c r="H229" s="16"/>
      <c r="I229" s="16"/>
      <c r="J229" s="16"/>
      <c r="K229" s="16"/>
      <c r="L229" s="16"/>
      <c r="M229" s="1"/>
      <c r="N229" s="1"/>
      <c r="O229" s="1"/>
      <c r="P229" s="1"/>
      <c r="Q229" s="1"/>
      <c r="R229" s="1"/>
      <c r="S229" s="1"/>
      <c r="T229" s="1"/>
      <c r="U229" s="1"/>
      <c r="V229" s="1"/>
    </row>
    <row r="230" spans="1:22" ht="12.75" customHeight="1" x14ac:dyDescent="0.2">
      <c r="A230" s="16"/>
      <c r="B230" s="16"/>
      <c r="C230" s="16"/>
      <c r="D230" s="16"/>
      <c r="E230" s="16"/>
      <c r="F230" s="16"/>
      <c r="G230" s="16"/>
      <c r="H230" s="16"/>
      <c r="I230" s="16"/>
      <c r="J230" s="16"/>
      <c r="K230" s="16"/>
      <c r="L230" s="16"/>
      <c r="M230" s="1"/>
      <c r="N230" s="1"/>
      <c r="O230" s="1"/>
      <c r="P230" s="1"/>
      <c r="Q230" s="1"/>
      <c r="R230" s="1"/>
      <c r="S230" s="1"/>
      <c r="T230" s="1"/>
      <c r="U230" s="1"/>
      <c r="V230" s="1"/>
    </row>
    <row r="231" spans="1:22" ht="12.75" customHeight="1" x14ac:dyDescent="0.2">
      <c r="A231" s="16"/>
      <c r="B231" s="16"/>
      <c r="C231" s="16"/>
      <c r="D231" s="16"/>
      <c r="E231" s="16"/>
      <c r="F231" s="16"/>
      <c r="G231" s="16"/>
      <c r="H231" s="16"/>
      <c r="I231" s="16"/>
      <c r="J231" s="16"/>
      <c r="K231" s="16"/>
      <c r="L231" s="16"/>
      <c r="M231" s="1"/>
      <c r="N231" s="1"/>
      <c r="O231" s="1"/>
      <c r="P231" s="1"/>
      <c r="Q231" s="1"/>
      <c r="R231" s="1"/>
      <c r="S231" s="1"/>
      <c r="T231" s="1"/>
      <c r="U231" s="1"/>
      <c r="V231" s="1"/>
    </row>
    <row r="232" spans="1:22" ht="12.75" customHeight="1" x14ac:dyDescent="0.2">
      <c r="A232" s="16"/>
      <c r="B232" s="16"/>
      <c r="C232" s="16"/>
      <c r="D232" s="16"/>
      <c r="E232" s="16"/>
      <c r="F232" s="16"/>
      <c r="G232" s="16"/>
      <c r="H232" s="16"/>
      <c r="I232" s="16"/>
      <c r="J232" s="16"/>
      <c r="K232" s="16"/>
      <c r="L232" s="16"/>
      <c r="M232" s="1"/>
      <c r="N232" s="1"/>
      <c r="O232" s="1"/>
      <c r="P232" s="1"/>
      <c r="Q232" s="1"/>
      <c r="R232" s="1"/>
      <c r="S232" s="1"/>
      <c r="T232" s="1"/>
      <c r="U232" s="1"/>
      <c r="V232" s="1"/>
    </row>
    <row r="233" spans="1:22" ht="12.75" customHeight="1" x14ac:dyDescent="0.2">
      <c r="A233" s="16"/>
      <c r="B233" s="16"/>
      <c r="C233" s="16"/>
      <c r="D233" s="16"/>
      <c r="E233" s="16"/>
      <c r="F233" s="16"/>
      <c r="G233" s="16"/>
      <c r="H233" s="16"/>
      <c r="I233" s="16"/>
      <c r="J233" s="16"/>
      <c r="K233" s="16"/>
      <c r="L233" s="16"/>
      <c r="M233" s="1"/>
      <c r="N233" s="1"/>
      <c r="O233" s="1"/>
      <c r="P233" s="1"/>
      <c r="Q233" s="1"/>
      <c r="R233" s="1"/>
      <c r="S233" s="1"/>
      <c r="T233" s="1"/>
      <c r="U233" s="1"/>
      <c r="V233" s="1"/>
    </row>
    <row r="234" spans="1:22" ht="12.75" customHeight="1" x14ac:dyDescent="0.2">
      <c r="A234" s="16"/>
      <c r="B234" s="16"/>
      <c r="C234" s="16"/>
      <c r="D234" s="16"/>
      <c r="E234" s="16"/>
      <c r="F234" s="16"/>
      <c r="G234" s="16"/>
      <c r="H234" s="16"/>
      <c r="I234" s="16"/>
      <c r="J234" s="16"/>
      <c r="K234" s="16"/>
      <c r="L234" s="16"/>
      <c r="M234" s="1"/>
      <c r="N234" s="1"/>
      <c r="O234" s="1"/>
      <c r="P234" s="1"/>
      <c r="Q234" s="1"/>
      <c r="R234" s="1"/>
      <c r="S234" s="1"/>
      <c r="T234" s="1"/>
      <c r="U234" s="1"/>
      <c r="V234" s="1"/>
    </row>
    <row r="235" spans="1:22" ht="12.75" customHeight="1" x14ac:dyDescent="0.2">
      <c r="A235" s="16"/>
      <c r="B235" s="16"/>
      <c r="C235" s="16"/>
      <c r="D235" s="16"/>
      <c r="E235" s="16"/>
      <c r="F235" s="16"/>
      <c r="G235" s="16"/>
      <c r="H235" s="16"/>
      <c r="I235" s="16"/>
      <c r="J235" s="16"/>
      <c r="K235" s="16"/>
      <c r="L235" s="16"/>
      <c r="M235" s="1"/>
      <c r="N235" s="1"/>
      <c r="O235" s="1"/>
      <c r="P235" s="1"/>
      <c r="Q235" s="1"/>
      <c r="R235" s="1"/>
      <c r="S235" s="1"/>
      <c r="T235" s="1"/>
      <c r="U235" s="1"/>
      <c r="V235" s="1"/>
    </row>
    <row r="236" spans="1:22" ht="12.75" customHeight="1" x14ac:dyDescent="0.2">
      <c r="A236" s="16"/>
      <c r="B236" s="16"/>
      <c r="C236" s="16"/>
      <c r="D236" s="16"/>
      <c r="E236" s="16"/>
      <c r="F236" s="16"/>
      <c r="G236" s="16"/>
      <c r="H236" s="16"/>
      <c r="I236" s="16"/>
      <c r="J236" s="16"/>
      <c r="K236" s="16"/>
      <c r="L236" s="16"/>
      <c r="M236" s="1"/>
      <c r="N236" s="1"/>
      <c r="O236" s="1"/>
      <c r="P236" s="1"/>
      <c r="Q236" s="1"/>
      <c r="R236" s="1"/>
      <c r="S236" s="1"/>
      <c r="T236" s="1"/>
      <c r="U236" s="1"/>
      <c r="V236" s="1"/>
    </row>
    <row r="237" spans="1:22" ht="12.75" customHeight="1" x14ac:dyDescent="0.2">
      <c r="A237" s="16"/>
      <c r="B237" s="16"/>
      <c r="C237" s="16"/>
      <c r="D237" s="16"/>
      <c r="E237" s="16"/>
      <c r="F237" s="16"/>
      <c r="G237" s="16"/>
      <c r="H237" s="16"/>
      <c r="I237" s="16"/>
      <c r="J237" s="16"/>
      <c r="K237" s="16"/>
      <c r="L237" s="16"/>
      <c r="M237" s="1"/>
      <c r="N237" s="1"/>
      <c r="O237" s="1"/>
      <c r="P237" s="1"/>
      <c r="Q237" s="1"/>
      <c r="R237" s="1"/>
      <c r="S237" s="1"/>
      <c r="T237" s="1"/>
      <c r="U237" s="1"/>
      <c r="V237" s="1"/>
    </row>
    <row r="238" spans="1:22" ht="12.75" customHeight="1" x14ac:dyDescent="0.2">
      <c r="A238" s="16"/>
      <c r="B238" s="16"/>
      <c r="C238" s="16"/>
      <c r="D238" s="16"/>
      <c r="E238" s="16"/>
      <c r="F238" s="16"/>
      <c r="G238" s="16"/>
      <c r="H238" s="16"/>
      <c r="I238" s="16"/>
      <c r="J238" s="16"/>
      <c r="K238" s="16"/>
      <c r="L238" s="16"/>
      <c r="M238" s="1"/>
      <c r="N238" s="1"/>
      <c r="O238" s="1"/>
      <c r="P238" s="1"/>
      <c r="Q238" s="1"/>
      <c r="R238" s="1"/>
      <c r="S238" s="1"/>
      <c r="T238" s="1"/>
      <c r="U238" s="1"/>
      <c r="V238" s="1"/>
    </row>
    <row r="239" spans="1:22" ht="12.75" customHeight="1" x14ac:dyDescent="0.2">
      <c r="A239" s="16"/>
      <c r="B239" s="16"/>
      <c r="C239" s="16"/>
      <c r="D239" s="16"/>
      <c r="E239" s="16"/>
      <c r="F239" s="16"/>
      <c r="G239" s="16"/>
      <c r="H239" s="16"/>
      <c r="I239" s="16"/>
      <c r="J239" s="16"/>
      <c r="K239" s="16"/>
      <c r="L239" s="16"/>
      <c r="M239" s="1"/>
      <c r="N239" s="1"/>
      <c r="O239" s="1"/>
      <c r="P239" s="1"/>
      <c r="Q239" s="1"/>
      <c r="R239" s="1"/>
      <c r="S239" s="1"/>
      <c r="T239" s="1"/>
      <c r="U239" s="1"/>
      <c r="V239" s="1"/>
    </row>
    <row r="240" spans="1:22" ht="12.75" customHeight="1" x14ac:dyDescent="0.2">
      <c r="A240" s="16"/>
      <c r="B240" s="16"/>
      <c r="C240" s="16"/>
      <c r="D240" s="16"/>
      <c r="E240" s="16"/>
      <c r="F240" s="16"/>
      <c r="G240" s="16"/>
      <c r="H240" s="16"/>
      <c r="I240" s="16"/>
      <c r="J240" s="16"/>
      <c r="K240" s="16"/>
      <c r="L240" s="16"/>
      <c r="M240" s="1"/>
      <c r="N240" s="1"/>
      <c r="O240" s="1"/>
      <c r="P240" s="1"/>
      <c r="Q240" s="1"/>
      <c r="R240" s="1"/>
      <c r="S240" s="1"/>
      <c r="T240" s="1"/>
      <c r="U240" s="1"/>
      <c r="V240" s="1"/>
    </row>
    <row r="241" spans="1:22" ht="12.75" customHeight="1" x14ac:dyDescent="0.2">
      <c r="A241" s="16"/>
      <c r="B241" s="16"/>
      <c r="C241" s="16"/>
      <c r="D241" s="16"/>
      <c r="E241" s="16"/>
      <c r="F241" s="16"/>
      <c r="G241" s="16"/>
      <c r="H241" s="16"/>
      <c r="I241" s="16"/>
      <c r="J241" s="16"/>
      <c r="K241" s="16"/>
      <c r="L241" s="16"/>
      <c r="M241" s="1"/>
      <c r="N241" s="1"/>
      <c r="O241" s="1"/>
      <c r="P241" s="1"/>
      <c r="Q241" s="1"/>
      <c r="R241" s="1"/>
      <c r="S241" s="1"/>
      <c r="T241" s="1"/>
      <c r="U241" s="1"/>
      <c r="V241" s="1"/>
    </row>
    <row r="242" spans="1:22" ht="12.75" customHeight="1" x14ac:dyDescent="0.2">
      <c r="A242" s="16"/>
      <c r="B242" s="16"/>
      <c r="C242" s="16"/>
      <c r="D242" s="16"/>
      <c r="E242" s="16"/>
      <c r="F242" s="16"/>
      <c r="G242" s="16"/>
      <c r="H242" s="16"/>
      <c r="I242" s="16"/>
      <c r="J242" s="16"/>
      <c r="K242" s="16"/>
      <c r="L242" s="16"/>
      <c r="M242" s="1"/>
      <c r="N242" s="1"/>
      <c r="O242" s="1"/>
      <c r="P242" s="1"/>
      <c r="Q242" s="1"/>
      <c r="R242" s="1"/>
      <c r="S242" s="1"/>
      <c r="T242" s="1"/>
      <c r="U242" s="1"/>
      <c r="V242" s="1"/>
    </row>
    <row r="243" spans="1:22" ht="12.75" customHeight="1" x14ac:dyDescent="0.2">
      <c r="A243" s="16"/>
      <c r="B243" s="16"/>
      <c r="C243" s="16"/>
      <c r="D243" s="16"/>
      <c r="E243" s="16"/>
      <c r="F243" s="16"/>
      <c r="G243" s="16"/>
      <c r="H243" s="16"/>
      <c r="I243" s="16"/>
      <c r="J243" s="16"/>
      <c r="K243" s="16"/>
      <c r="L243" s="16"/>
      <c r="M243" s="1"/>
      <c r="N243" s="1"/>
      <c r="O243" s="1"/>
      <c r="P243" s="1"/>
      <c r="Q243" s="1"/>
      <c r="R243" s="1"/>
      <c r="S243" s="1"/>
      <c r="T243" s="1"/>
      <c r="U243" s="1"/>
      <c r="V243" s="1"/>
    </row>
    <row r="244" spans="1:22" ht="12.75" customHeight="1" x14ac:dyDescent="0.2">
      <c r="A244" s="16"/>
      <c r="B244" s="16"/>
      <c r="C244" s="16"/>
      <c r="D244" s="16"/>
      <c r="E244" s="16"/>
      <c r="F244" s="16"/>
      <c r="G244" s="16"/>
      <c r="H244" s="16"/>
      <c r="I244" s="16"/>
      <c r="J244" s="16"/>
      <c r="K244" s="16"/>
      <c r="L244" s="16"/>
      <c r="M244" s="1"/>
      <c r="N244" s="1"/>
      <c r="O244" s="1"/>
      <c r="P244" s="1"/>
      <c r="Q244" s="1"/>
      <c r="R244" s="1"/>
      <c r="S244" s="1"/>
      <c r="T244" s="1"/>
      <c r="U244" s="1"/>
      <c r="V244" s="1"/>
    </row>
    <row r="245" spans="1:22" ht="12.75" customHeight="1" x14ac:dyDescent="0.2">
      <c r="A245" s="16"/>
      <c r="B245" s="16"/>
      <c r="C245" s="16"/>
      <c r="D245" s="16"/>
      <c r="E245" s="16"/>
      <c r="F245" s="16"/>
      <c r="G245" s="16"/>
      <c r="H245" s="16"/>
      <c r="I245" s="16"/>
      <c r="J245" s="16"/>
      <c r="K245" s="16"/>
      <c r="L245" s="16"/>
      <c r="M245" s="1"/>
      <c r="N245" s="1"/>
      <c r="O245" s="1"/>
      <c r="P245" s="1"/>
      <c r="Q245" s="1"/>
      <c r="R245" s="1"/>
      <c r="S245" s="1"/>
      <c r="T245" s="1"/>
      <c r="U245" s="1"/>
      <c r="V245" s="1"/>
    </row>
    <row r="246" spans="1:22" ht="12.75" customHeight="1" x14ac:dyDescent="0.2">
      <c r="A246" s="16"/>
      <c r="B246" s="16"/>
      <c r="C246" s="16"/>
      <c r="D246" s="16"/>
      <c r="E246" s="16"/>
      <c r="F246" s="16"/>
      <c r="G246" s="16"/>
      <c r="H246" s="16"/>
      <c r="I246" s="16"/>
      <c r="J246" s="16"/>
      <c r="K246" s="16"/>
      <c r="L246" s="16"/>
      <c r="M246" s="1"/>
      <c r="N246" s="1"/>
      <c r="O246" s="1"/>
      <c r="P246" s="1"/>
      <c r="Q246" s="1"/>
      <c r="R246" s="1"/>
      <c r="S246" s="1"/>
      <c r="T246" s="1"/>
      <c r="U246" s="1"/>
      <c r="V246" s="1"/>
    </row>
    <row r="247" spans="1:22" ht="12.75" customHeight="1" x14ac:dyDescent="0.2">
      <c r="A247" s="16"/>
      <c r="B247" s="16"/>
      <c r="C247" s="16"/>
      <c r="D247" s="16"/>
      <c r="E247" s="16"/>
      <c r="F247" s="16"/>
      <c r="G247" s="16"/>
      <c r="H247" s="16"/>
      <c r="I247" s="16"/>
      <c r="J247" s="16"/>
      <c r="K247" s="16"/>
      <c r="L247" s="16"/>
      <c r="M247" s="1"/>
      <c r="N247" s="1"/>
      <c r="O247" s="1"/>
      <c r="P247" s="1"/>
      <c r="Q247" s="1"/>
      <c r="R247" s="1"/>
      <c r="S247" s="1"/>
      <c r="T247" s="1"/>
      <c r="U247" s="1"/>
      <c r="V247" s="1"/>
    </row>
    <row r="248" spans="1:22" ht="12.75" customHeight="1" x14ac:dyDescent="0.2">
      <c r="A248" s="16"/>
      <c r="B248" s="16"/>
      <c r="C248" s="16"/>
      <c r="D248" s="16"/>
      <c r="E248" s="16"/>
      <c r="F248" s="16"/>
      <c r="G248" s="16"/>
      <c r="H248" s="16"/>
      <c r="I248" s="16"/>
      <c r="J248" s="16"/>
      <c r="K248" s="16"/>
      <c r="L248" s="16"/>
      <c r="M248" s="1"/>
      <c r="N248" s="1"/>
      <c r="O248" s="1"/>
      <c r="P248" s="1"/>
      <c r="Q248" s="1"/>
      <c r="R248" s="1"/>
      <c r="S248" s="1"/>
      <c r="T248" s="1"/>
      <c r="U248" s="1"/>
      <c r="V248" s="1"/>
    </row>
    <row r="249" spans="1:22" ht="12.75" customHeight="1" x14ac:dyDescent="0.2">
      <c r="A249" s="16"/>
      <c r="B249" s="16"/>
      <c r="C249" s="16"/>
      <c r="D249" s="16"/>
      <c r="E249" s="16"/>
      <c r="F249" s="16"/>
      <c r="G249" s="16"/>
      <c r="H249" s="16"/>
      <c r="I249" s="16"/>
      <c r="J249" s="16"/>
      <c r="K249" s="16"/>
      <c r="L249" s="16"/>
      <c r="M249" s="1"/>
      <c r="N249" s="1"/>
      <c r="O249" s="1"/>
      <c r="P249" s="1"/>
      <c r="Q249" s="1"/>
      <c r="R249" s="1"/>
      <c r="S249" s="1"/>
      <c r="T249" s="1"/>
      <c r="U249" s="1"/>
      <c r="V249" s="1"/>
    </row>
    <row r="250" spans="1:22" ht="12.75" customHeight="1" x14ac:dyDescent="0.2">
      <c r="A250" s="16"/>
      <c r="B250" s="16"/>
      <c r="C250" s="16"/>
      <c r="D250" s="16"/>
      <c r="E250" s="16"/>
      <c r="F250" s="16"/>
      <c r="G250" s="16"/>
      <c r="H250" s="16"/>
      <c r="I250" s="16"/>
      <c r="J250" s="16"/>
      <c r="K250" s="16"/>
      <c r="L250" s="16"/>
      <c r="M250" s="1"/>
      <c r="N250" s="1"/>
      <c r="O250" s="1"/>
      <c r="P250" s="1"/>
      <c r="Q250" s="1"/>
      <c r="R250" s="1"/>
      <c r="S250" s="1"/>
      <c r="T250" s="1"/>
      <c r="U250" s="1"/>
      <c r="V250" s="1"/>
    </row>
    <row r="251" spans="1:22" ht="12.75" customHeight="1" x14ac:dyDescent="0.2">
      <c r="A251" s="16"/>
      <c r="B251" s="16"/>
      <c r="C251" s="16"/>
      <c r="D251" s="16"/>
      <c r="E251" s="16"/>
      <c r="F251" s="16"/>
      <c r="G251" s="16"/>
      <c r="H251" s="16"/>
      <c r="I251" s="16"/>
      <c r="J251" s="16"/>
      <c r="K251" s="16"/>
      <c r="L251" s="16"/>
      <c r="M251" s="1"/>
      <c r="N251" s="1"/>
      <c r="O251" s="1"/>
      <c r="P251" s="1"/>
      <c r="Q251" s="1"/>
      <c r="R251" s="1"/>
      <c r="S251" s="1"/>
      <c r="T251" s="1"/>
      <c r="U251" s="1"/>
      <c r="V251" s="1"/>
    </row>
    <row r="252" spans="1:22" ht="12.75" customHeight="1" x14ac:dyDescent="0.2">
      <c r="A252" s="16"/>
      <c r="B252" s="16"/>
      <c r="C252" s="16"/>
      <c r="D252" s="16"/>
      <c r="E252" s="16"/>
      <c r="F252" s="16"/>
      <c r="G252" s="16"/>
      <c r="H252" s="16"/>
      <c r="I252" s="16"/>
      <c r="J252" s="16"/>
      <c r="K252" s="16"/>
      <c r="L252" s="16"/>
      <c r="M252" s="1"/>
      <c r="N252" s="1"/>
      <c r="O252" s="1"/>
      <c r="P252" s="1"/>
      <c r="Q252" s="1"/>
      <c r="R252" s="1"/>
      <c r="S252" s="1"/>
      <c r="T252" s="1"/>
      <c r="U252" s="1"/>
      <c r="V252" s="1"/>
    </row>
    <row r="253" spans="1:22" ht="12.75" customHeight="1" x14ac:dyDescent="0.2">
      <c r="A253" s="16"/>
      <c r="B253" s="16"/>
      <c r="C253" s="16"/>
      <c r="D253" s="16"/>
      <c r="E253" s="16"/>
      <c r="F253" s="16"/>
      <c r="G253" s="16"/>
      <c r="H253" s="16"/>
      <c r="I253" s="16"/>
      <c r="J253" s="16"/>
      <c r="K253" s="16"/>
      <c r="L253" s="16"/>
      <c r="M253" s="1"/>
      <c r="N253" s="1"/>
      <c r="O253" s="1"/>
      <c r="P253" s="1"/>
      <c r="Q253" s="1"/>
      <c r="R253" s="1"/>
      <c r="S253" s="1"/>
      <c r="T253" s="1"/>
      <c r="U253" s="1"/>
      <c r="V253" s="1"/>
    </row>
    <row r="254" spans="1:22" ht="12.75" customHeight="1" x14ac:dyDescent="0.2">
      <c r="A254" s="16"/>
      <c r="B254" s="16"/>
      <c r="C254" s="16"/>
      <c r="D254" s="16"/>
      <c r="E254" s="16"/>
      <c r="F254" s="16"/>
      <c r="G254" s="16"/>
      <c r="H254" s="16"/>
      <c r="I254" s="16"/>
      <c r="J254" s="16"/>
      <c r="K254" s="16"/>
      <c r="L254" s="16"/>
      <c r="M254" s="1"/>
      <c r="N254" s="1"/>
      <c r="O254" s="1"/>
      <c r="P254" s="1"/>
      <c r="Q254" s="1"/>
      <c r="R254" s="1"/>
      <c r="S254" s="1"/>
      <c r="T254" s="1"/>
      <c r="U254" s="1"/>
      <c r="V254" s="1"/>
    </row>
    <row r="255" spans="1:22" ht="12.75" customHeight="1" x14ac:dyDescent="0.2">
      <c r="A255" s="16"/>
      <c r="B255" s="16"/>
      <c r="C255" s="16"/>
      <c r="D255" s="16"/>
      <c r="E255" s="16"/>
      <c r="F255" s="16"/>
      <c r="G255" s="16"/>
      <c r="H255" s="16"/>
      <c r="I255" s="16"/>
      <c r="J255" s="16"/>
      <c r="K255" s="16"/>
      <c r="L255" s="16"/>
      <c r="M255" s="1"/>
      <c r="N255" s="1"/>
      <c r="O255" s="1"/>
      <c r="P255" s="1"/>
      <c r="Q255" s="1"/>
      <c r="R255" s="1"/>
      <c r="S255" s="1"/>
      <c r="T255" s="1"/>
      <c r="U255" s="1"/>
      <c r="V255" s="1"/>
    </row>
    <row r="256" spans="1:22" ht="12.75" customHeight="1" x14ac:dyDescent="0.2">
      <c r="A256" s="16"/>
      <c r="B256" s="16"/>
      <c r="C256" s="16"/>
      <c r="D256" s="16"/>
      <c r="E256" s="16"/>
      <c r="F256" s="16"/>
      <c r="G256" s="16"/>
      <c r="H256" s="16"/>
      <c r="I256" s="16"/>
      <c r="J256" s="16"/>
      <c r="K256" s="16"/>
      <c r="L256" s="16"/>
      <c r="M256" s="1"/>
      <c r="N256" s="1"/>
      <c r="O256" s="1"/>
      <c r="P256" s="1"/>
      <c r="Q256" s="1"/>
      <c r="R256" s="1"/>
      <c r="S256" s="1"/>
      <c r="T256" s="1"/>
      <c r="U256" s="1"/>
      <c r="V256" s="1"/>
    </row>
    <row r="257" spans="1:22" ht="12.75" customHeight="1" x14ac:dyDescent="0.2">
      <c r="A257" s="16"/>
      <c r="B257" s="16"/>
      <c r="C257" s="16"/>
      <c r="D257" s="16"/>
      <c r="E257" s="16"/>
      <c r="F257" s="16"/>
      <c r="G257" s="16"/>
      <c r="H257" s="16"/>
      <c r="I257" s="16"/>
      <c r="J257" s="16"/>
      <c r="K257" s="16"/>
      <c r="L257" s="16"/>
      <c r="M257" s="1"/>
      <c r="N257" s="1"/>
      <c r="O257" s="1"/>
      <c r="P257" s="1"/>
      <c r="Q257" s="1"/>
      <c r="R257" s="1"/>
      <c r="S257" s="1"/>
      <c r="T257" s="1"/>
      <c r="U257" s="1"/>
      <c r="V257" s="1"/>
    </row>
    <row r="258" spans="1:22" ht="12.75" customHeight="1" x14ac:dyDescent="0.2">
      <c r="A258" s="16"/>
      <c r="B258" s="16"/>
      <c r="C258" s="16"/>
      <c r="D258" s="16"/>
      <c r="E258" s="16"/>
      <c r="F258" s="16"/>
      <c r="G258" s="16"/>
      <c r="H258" s="16"/>
      <c r="I258" s="16"/>
      <c r="J258" s="16"/>
      <c r="K258" s="16"/>
      <c r="L258" s="16"/>
      <c r="M258" s="1"/>
      <c r="N258" s="1"/>
      <c r="O258" s="1"/>
      <c r="P258" s="1"/>
      <c r="Q258" s="1"/>
      <c r="R258" s="1"/>
      <c r="S258" s="1"/>
      <c r="T258" s="1"/>
      <c r="U258" s="1"/>
      <c r="V258" s="1"/>
    </row>
    <row r="259" spans="1:22" ht="12.75" customHeight="1" x14ac:dyDescent="0.2">
      <c r="A259" s="16"/>
      <c r="B259" s="16"/>
      <c r="C259" s="16"/>
      <c r="D259" s="16"/>
      <c r="E259" s="16"/>
      <c r="F259" s="16"/>
      <c r="G259" s="16"/>
      <c r="H259" s="16"/>
      <c r="I259" s="16"/>
      <c r="J259" s="16"/>
      <c r="K259" s="16"/>
      <c r="L259" s="16"/>
      <c r="M259" s="1"/>
      <c r="N259" s="1"/>
      <c r="O259" s="1"/>
      <c r="P259" s="1"/>
      <c r="Q259" s="1"/>
      <c r="R259" s="1"/>
      <c r="S259" s="1"/>
      <c r="T259" s="1"/>
      <c r="U259" s="1"/>
      <c r="V259" s="1"/>
    </row>
    <row r="260" spans="1:22" ht="12.75" customHeight="1" x14ac:dyDescent="0.2">
      <c r="A260" s="16"/>
      <c r="B260" s="16"/>
      <c r="C260" s="16"/>
      <c r="D260" s="16"/>
      <c r="E260" s="16"/>
      <c r="F260" s="16"/>
      <c r="G260" s="16"/>
      <c r="H260" s="16"/>
      <c r="I260" s="16"/>
      <c r="J260" s="16"/>
      <c r="K260" s="16"/>
      <c r="L260" s="16"/>
      <c r="M260" s="1"/>
      <c r="N260" s="1"/>
      <c r="O260" s="1"/>
      <c r="P260" s="1"/>
      <c r="Q260" s="1"/>
      <c r="R260" s="1"/>
      <c r="S260" s="1"/>
      <c r="T260" s="1"/>
      <c r="U260" s="1"/>
      <c r="V260" s="1"/>
    </row>
    <row r="261" spans="1:22" ht="12.75" customHeight="1" x14ac:dyDescent="0.2">
      <c r="A261" s="16"/>
      <c r="B261" s="16"/>
      <c r="C261" s="16"/>
      <c r="D261" s="16"/>
      <c r="E261" s="16"/>
      <c r="F261" s="16"/>
      <c r="G261" s="16"/>
      <c r="H261" s="16"/>
      <c r="I261" s="16"/>
      <c r="J261" s="16"/>
      <c r="K261" s="16"/>
      <c r="L261" s="16"/>
      <c r="M261" s="1"/>
      <c r="N261" s="1"/>
      <c r="O261" s="1"/>
      <c r="P261" s="1"/>
      <c r="Q261" s="1"/>
      <c r="R261" s="1"/>
      <c r="S261" s="1"/>
      <c r="T261" s="1"/>
      <c r="U261" s="1"/>
      <c r="V261" s="1"/>
    </row>
    <row r="262" spans="1:22" ht="12.75" customHeight="1" x14ac:dyDescent="0.2">
      <c r="A262" s="16"/>
      <c r="B262" s="16"/>
      <c r="C262" s="16"/>
      <c r="D262" s="16"/>
      <c r="E262" s="16"/>
      <c r="F262" s="16"/>
      <c r="G262" s="16"/>
      <c r="H262" s="16"/>
      <c r="I262" s="16"/>
      <c r="J262" s="16"/>
      <c r="K262" s="16"/>
      <c r="L262" s="16"/>
      <c r="M262" s="1"/>
      <c r="N262" s="1"/>
      <c r="O262" s="1"/>
      <c r="P262" s="1"/>
      <c r="Q262" s="1"/>
      <c r="R262" s="1"/>
      <c r="S262" s="1"/>
      <c r="T262" s="1"/>
      <c r="U262" s="1"/>
      <c r="V262" s="1"/>
    </row>
    <row r="263" spans="1:22" ht="12.75" customHeight="1" x14ac:dyDescent="0.2">
      <c r="A263" s="16"/>
      <c r="B263" s="16"/>
      <c r="C263" s="16"/>
      <c r="D263" s="16"/>
      <c r="E263" s="16"/>
      <c r="F263" s="16"/>
      <c r="G263" s="16"/>
      <c r="H263" s="16"/>
      <c r="I263" s="16"/>
      <c r="J263" s="16"/>
      <c r="K263" s="16"/>
      <c r="L263" s="16"/>
      <c r="M263" s="1"/>
      <c r="N263" s="1"/>
      <c r="O263" s="1"/>
      <c r="P263" s="1"/>
      <c r="Q263" s="1"/>
      <c r="R263" s="1"/>
      <c r="S263" s="1"/>
      <c r="T263" s="1"/>
      <c r="U263" s="1"/>
      <c r="V263" s="1"/>
    </row>
    <row r="264" spans="1:22" ht="12.75" customHeight="1" x14ac:dyDescent="0.2">
      <c r="A264" s="16"/>
      <c r="B264" s="16"/>
      <c r="C264" s="16"/>
      <c r="D264" s="16"/>
      <c r="E264" s="16"/>
      <c r="F264" s="16"/>
      <c r="G264" s="16"/>
      <c r="H264" s="16"/>
      <c r="I264" s="16"/>
      <c r="J264" s="16"/>
      <c r="K264" s="16"/>
      <c r="L264" s="16"/>
      <c r="M264" s="1"/>
      <c r="N264" s="1"/>
      <c r="O264" s="1"/>
      <c r="P264" s="1"/>
      <c r="Q264" s="1"/>
      <c r="R264" s="1"/>
      <c r="S264" s="1"/>
      <c r="T264" s="1"/>
      <c r="U264" s="1"/>
      <c r="V264" s="1"/>
    </row>
    <row r="265" spans="1:22" ht="12.75" customHeight="1" x14ac:dyDescent="0.2">
      <c r="A265" s="16"/>
      <c r="B265" s="16"/>
      <c r="C265" s="16"/>
      <c r="D265" s="16"/>
      <c r="E265" s="16"/>
      <c r="F265" s="16"/>
      <c r="G265" s="16"/>
      <c r="H265" s="16"/>
      <c r="I265" s="16"/>
      <c r="J265" s="16"/>
      <c r="K265" s="16"/>
      <c r="L265" s="16"/>
      <c r="M265" s="1"/>
      <c r="N265" s="1"/>
      <c r="O265" s="1"/>
      <c r="P265" s="1"/>
      <c r="Q265" s="1"/>
      <c r="R265" s="1"/>
      <c r="S265" s="1"/>
      <c r="T265" s="1"/>
      <c r="U265" s="1"/>
      <c r="V265" s="1"/>
    </row>
    <row r="266" spans="1:22" ht="12.75" customHeight="1" x14ac:dyDescent="0.2">
      <c r="A266" s="16"/>
      <c r="B266" s="16"/>
      <c r="C266" s="16"/>
      <c r="D266" s="16"/>
      <c r="E266" s="16"/>
      <c r="F266" s="16"/>
      <c r="G266" s="16"/>
      <c r="H266" s="16"/>
      <c r="I266" s="16"/>
      <c r="J266" s="16"/>
      <c r="K266" s="16"/>
      <c r="L266" s="16"/>
      <c r="M266" s="1"/>
      <c r="N266" s="1"/>
      <c r="O266" s="1"/>
      <c r="P266" s="1"/>
      <c r="Q266" s="1"/>
      <c r="R266" s="1"/>
      <c r="S266" s="1"/>
      <c r="T266" s="1"/>
      <c r="U266" s="1"/>
      <c r="V266" s="1"/>
    </row>
    <row r="267" spans="1:22" ht="12.75" customHeight="1" x14ac:dyDescent="0.2">
      <c r="A267" s="16"/>
      <c r="B267" s="16"/>
      <c r="C267" s="16"/>
      <c r="D267" s="16"/>
      <c r="E267" s="16"/>
      <c r="F267" s="16"/>
      <c r="G267" s="16"/>
      <c r="H267" s="16"/>
      <c r="I267" s="16"/>
      <c r="J267" s="16"/>
      <c r="K267" s="16"/>
      <c r="L267" s="16"/>
      <c r="M267" s="1"/>
      <c r="N267" s="1"/>
      <c r="O267" s="1"/>
      <c r="P267" s="1"/>
      <c r="Q267" s="1"/>
      <c r="R267" s="1"/>
      <c r="S267" s="1"/>
      <c r="T267" s="1"/>
      <c r="U267" s="1"/>
      <c r="V267" s="1"/>
    </row>
    <row r="268" spans="1:22" ht="12.75" customHeight="1" x14ac:dyDescent="0.2">
      <c r="A268" s="16"/>
      <c r="B268" s="16"/>
      <c r="C268" s="16"/>
      <c r="D268" s="16"/>
      <c r="E268" s="16"/>
      <c r="F268" s="16"/>
      <c r="G268" s="16"/>
      <c r="H268" s="16"/>
      <c r="I268" s="16"/>
      <c r="J268" s="16"/>
      <c r="K268" s="16"/>
      <c r="L268" s="16"/>
      <c r="M268" s="1"/>
      <c r="N268" s="1"/>
      <c r="O268" s="1"/>
      <c r="P268" s="1"/>
      <c r="Q268" s="1"/>
      <c r="R268" s="1"/>
      <c r="S268" s="1"/>
      <c r="T268" s="1"/>
      <c r="U268" s="1"/>
      <c r="V268" s="1"/>
    </row>
    <row r="269" spans="1:22" ht="12.75" customHeight="1" x14ac:dyDescent="0.2">
      <c r="A269" s="16"/>
      <c r="B269" s="16"/>
      <c r="C269" s="16"/>
      <c r="D269" s="16"/>
      <c r="E269" s="16"/>
      <c r="F269" s="16"/>
      <c r="G269" s="16"/>
      <c r="H269" s="16"/>
      <c r="I269" s="16"/>
      <c r="J269" s="16"/>
      <c r="K269" s="16"/>
      <c r="L269" s="16"/>
      <c r="M269" s="1"/>
      <c r="N269" s="1"/>
      <c r="O269" s="1"/>
      <c r="P269" s="1"/>
      <c r="Q269" s="1"/>
      <c r="R269" s="1"/>
      <c r="S269" s="1"/>
      <c r="T269" s="1"/>
      <c r="U269" s="1"/>
      <c r="V269" s="1"/>
    </row>
    <row r="270" spans="1:22" ht="12.75" customHeight="1" x14ac:dyDescent="0.2">
      <c r="A270" s="16"/>
      <c r="B270" s="16"/>
      <c r="C270" s="16"/>
      <c r="D270" s="16"/>
      <c r="E270" s="16"/>
      <c r="F270" s="16"/>
      <c r="G270" s="16"/>
      <c r="H270" s="16"/>
      <c r="I270" s="16"/>
      <c r="J270" s="16"/>
      <c r="K270" s="16"/>
      <c r="L270" s="16"/>
      <c r="M270" s="1"/>
      <c r="N270" s="1"/>
      <c r="O270" s="1"/>
      <c r="P270" s="1"/>
      <c r="Q270" s="1"/>
      <c r="R270" s="1"/>
      <c r="S270" s="1"/>
      <c r="T270" s="1"/>
      <c r="U270" s="1"/>
      <c r="V270" s="1"/>
    </row>
    <row r="271" spans="1:22" ht="12.75" customHeight="1" x14ac:dyDescent="0.2">
      <c r="A271" s="16"/>
      <c r="B271" s="16"/>
      <c r="C271" s="16"/>
      <c r="D271" s="16"/>
      <c r="E271" s="16"/>
      <c r="F271" s="16"/>
      <c r="G271" s="16"/>
      <c r="H271" s="16"/>
      <c r="I271" s="16"/>
      <c r="J271" s="16"/>
      <c r="K271" s="16"/>
      <c r="L271" s="16"/>
      <c r="M271" s="1"/>
      <c r="N271" s="1"/>
      <c r="O271" s="1"/>
      <c r="P271" s="1"/>
      <c r="Q271" s="1"/>
      <c r="R271" s="1"/>
      <c r="S271" s="1"/>
      <c r="T271" s="1"/>
      <c r="U271" s="1"/>
      <c r="V271" s="1"/>
    </row>
    <row r="272" spans="1:22" ht="12.75" customHeight="1" x14ac:dyDescent="0.2">
      <c r="A272" s="16"/>
      <c r="B272" s="16"/>
      <c r="C272" s="16"/>
      <c r="D272" s="16"/>
      <c r="E272" s="16"/>
      <c r="F272" s="16"/>
      <c r="G272" s="16"/>
      <c r="H272" s="16"/>
      <c r="I272" s="16"/>
      <c r="J272" s="16"/>
      <c r="K272" s="16"/>
      <c r="L272" s="16"/>
      <c r="M272" s="1"/>
      <c r="N272" s="1"/>
      <c r="O272" s="1"/>
      <c r="P272" s="1"/>
      <c r="Q272" s="1"/>
      <c r="R272" s="1"/>
      <c r="S272" s="1"/>
      <c r="T272" s="1"/>
      <c r="U272" s="1"/>
      <c r="V272" s="1"/>
    </row>
    <row r="273" spans="1:22" ht="12.75" customHeight="1" x14ac:dyDescent="0.2">
      <c r="A273" s="16"/>
      <c r="B273" s="16"/>
      <c r="C273" s="16"/>
      <c r="D273" s="16"/>
      <c r="E273" s="16"/>
      <c r="F273" s="16"/>
      <c r="G273" s="16"/>
      <c r="H273" s="16"/>
      <c r="I273" s="16"/>
      <c r="J273" s="16"/>
      <c r="K273" s="16"/>
      <c r="L273" s="16"/>
      <c r="M273" s="1"/>
      <c r="N273" s="1"/>
      <c r="O273" s="1"/>
      <c r="P273" s="1"/>
      <c r="Q273" s="1"/>
      <c r="R273" s="1"/>
      <c r="S273" s="1"/>
      <c r="T273" s="1"/>
      <c r="U273" s="1"/>
      <c r="V273" s="1"/>
    </row>
    <row r="274" spans="1:22" ht="12.75" customHeight="1" x14ac:dyDescent="0.2">
      <c r="A274" s="16"/>
      <c r="B274" s="16"/>
      <c r="C274" s="16"/>
      <c r="D274" s="16"/>
      <c r="E274" s="16"/>
      <c r="F274" s="16"/>
      <c r="G274" s="16"/>
      <c r="H274" s="16"/>
      <c r="I274" s="16"/>
      <c r="J274" s="16"/>
      <c r="K274" s="16"/>
      <c r="L274" s="16"/>
      <c r="M274" s="1"/>
      <c r="N274" s="1"/>
      <c r="O274" s="1"/>
      <c r="P274" s="1"/>
      <c r="Q274" s="1"/>
      <c r="R274" s="1"/>
      <c r="S274" s="1"/>
      <c r="T274" s="1"/>
      <c r="U274" s="1"/>
      <c r="V274" s="1"/>
    </row>
    <row r="275" spans="1:22" ht="12.75" customHeight="1" x14ac:dyDescent="0.2">
      <c r="A275" s="16"/>
      <c r="B275" s="16"/>
      <c r="C275" s="16"/>
      <c r="D275" s="16"/>
      <c r="E275" s="16"/>
      <c r="F275" s="16"/>
      <c r="G275" s="16"/>
      <c r="H275" s="16"/>
      <c r="I275" s="16"/>
      <c r="J275" s="16"/>
      <c r="K275" s="16"/>
      <c r="L275" s="16"/>
      <c r="M275" s="1"/>
      <c r="N275" s="1"/>
      <c r="O275" s="1"/>
      <c r="P275" s="1"/>
      <c r="Q275" s="1"/>
      <c r="R275" s="1"/>
      <c r="S275" s="1"/>
      <c r="T275" s="1"/>
      <c r="U275" s="1"/>
      <c r="V275" s="1"/>
    </row>
    <row r="276" spans="1:22" ht="12.75" customHeight="1" x14ac:dyDescent="0.2">
      <c r="A276" s="16"/>
      <c r="B276" s="16"/>
      <c r="C276" s="16"/>
      <c r="D276" s="16"/>
      <c r="E276" s="16"/>
      <c r="F276" s="16"/>
      <c r="G276" s="16"/>
      <c r="H276" s="16"/>
      <c r="I276" s="16"/>
      <c r="J276" s="16"/>
      <c r="K276" s="16"/>
      <c r="L276" s="16"/>
      <c r="M276" s="1"/>
      <c r="N276" s="1"/>
      <c r="O276" s="1"/>
      <c r="P276" s="1"/>
      <c r="Q276" s="1"/>
      <c r="R276" s="1"/>
      <c r="S276" s="1"/>
      <c r="T276" s="1"/>
      <c r="U276" s="1"/>
      <c r="V276" s="1"/>
    </row>
    <row r="277" spans="1:22" ht="12.75" customHeight="1" x14ac:dyDescent="0.2">
      <c r="A277" s="16"/>
      <c r="B277" s="16"/>
      <c r="C277" s="16"/>
      <c r="D277" s="16"/>
      <c r="E277" s="16"/>
      <c r="F277" s="16"/>
      <c r="G277" s="16"/>
      <c r="H277" s="16"/>
      <c r="I277" s="16"/>
      <c r="J277" s="16"/>
      <c r="K277" s="16"/>
      <c r="L277" s="16"/>
      <c r="M277" s="1"/>
      <c r="N277" s="1"/>
      <c r="O277" s="1"/>
      <c r="P277" s="1"/>
      <c r="Q277" s="1"/>
      <c r="R277" s="1"/>
      <c r="S277" s="1"/>
      <c r="T277" s="1"/>
      <c r="U277" s="1"/>
      <c r="V277" s="1"/>
    </row>
    <row r="278" spans="1:22" ht="12.75" customHeight="1" x14ac:dyDescent="0.2">
      <c r="A278" s="16"/>
      <c r="B278" s="16"/>
      <c r="C278" s="16"/>
      <c r="D278" s="16"/>
      <c r="E278" s="16"/>
      <c r="F278" s="16"/>
      <c r="G278" s="16"/>
      <c r="H278" s="16"/>
      <c r="I278" s="16"/>
      <c r="J278" s="16"/>
      <c r="K278" s="16"/>
      <c r="L278" s="16"/>
      <c r="M278" s="1"/>
      <c r="N278" s="1"/>
      <c r="O278" s="1"/>
      <c r="P278" s="1"/>
      <c r="Q278" s="1"/>
      <c r="R278" s="1"/>
      <c r="S278" s="1"/>
      <c r="T278" s="1"/>
      <c r="U278" s="1"/>
      <c r="V278" s="1"/>
    </row>
    <row r="279" spans="1:22" ht="12.75" customHeight="1" x14ac:dyDescent="0.2">
      <c r="A279" s="16"/>
      <c r="B279" s="16"/>
      <c r="C279" s="16"/>
      <c r="D279" s="16"/>
      <c r="E279" s="16"/>
      <c r="F279" s="16"/>
      <c r="G279" s="16"/>
      <c r="H279" s="16"/>
      <c r="I279" s="16"/>
      <c r="J279" s="16"/>
      <c r="K279" s="16"/>
      <c r="L279" s="16"/>
      <c r="M279" s="1"/>
      <c r="N279" s="1"/>
      <c r="O279" s="1"/>
      <c r="P279" s="1"/>
      <c r="Q279" s="1"/>
      <c r="R279" s="1"/>
      <c r="S279" s="1"/>
      <c r="T279" s="1"/>
      <c r="U279" s="1"/>
      <c r="V279" s="1"/>
    </row>
    <row r="280" spans="1:22" ht="12.75" customHeight="1" x14ac:dyDescent="0.2">
      <c r="A280" s="16"/>
      <c r="B280" s="16"/>
      <c r="C280" s="16"/>
      <c r="D280" s="16"/>
      <c r="E280" s="16"/>
      <c r="F280" s="16"/>
      <c r="G280" s="16"/>
      <c r="H280" s="16"/>
      <c r="I280" s="16"/>
      <c r="J280" s="16"/>
      <c r="K280" s="16"/>
      <c r="L280" s="16"/>
      <c r="M280" s="1"/>
      <c r="N280" s="1"/>
      <c r="O280" s="1"/>
      <c r="P280" s="1"/>
      <c r="Q280" s="1"/>
      <c r="R280" s="1"/>
      <c r="S280" s="1"/>
      <c r="T280" s="1"/>
      <c r="U280" s="1"/>
      <c r="V280" s="1"/>
    </row>
    <row r="281" spans="1:22" ht="12.75" customHeight="1" x14ac:dyDescent="0.2">
      <c r="A281" s="16"/>
      <c r="B281" s="16"/>
      <c r="C281" s="16"/>
      <c r="D281" s="16"/>
      <c r="E281" s="16"/>
      <c r="F281" s="16"/>
      <c r="G281" s="16"/>
      <c r="H281" s="16"/>
      <c r="I281" s="16"/>
      <c r="J281" s="16"/>
      <c r="K281" s="16"/>
      <c r="L281" s="16"/>
      <c r="M281" s="1"/>
      <c r="N281" s="1"/>
      <c r="O281" s="1"/>
      <c r="P281" s="1"/>
      <c r="Q281" s="1"/>
      <c r="R281" s="1"/>
      <c r="S281" s="1"/>
      <c r="T281" s="1"/>
      <c r="U281" s="1"/>
      <c r="V281" s="1"/>
    </row>
    <row r="282" spans="1:22" ht="12.75" customHeight="1" x14ac:dyDescent="0.2">
      <c r="A282" s="16"/>
      <c r="B282" s="16"/>
      <c r="C282" s="16"/>
      <c r="D282" s="16"/>
      <c r="E282" s="16"/>
      <c r="F282" s="16"/>
      <c r="G282" s="16"/>
      <c r="H282" s="16"/>
      <c r="I282" s="16"/>
      <c r="J282" s="16"/>
      <c r="K282" s="16"/>
      <c r="L282" s="16"/>
      <c r="M282" s="1"/>
      <c r="N282" s="1"/>
      <c r="O282" s="1"/>
      <c r="P282" s="1"/>
      <c r="Q282" s="1"/>
      <c r="R282" s="1"/>
      <c r="S282" s="1"/>
      <c r="T282" s="1"/>
      <c r="U282" s="1"/>
      <c r="V282" s="1"/>
    </row>
    <row r="283" spans="1:22" ht="12.75" customHeight="1" x14ac:dyDescent="0.2">
      <c r="A283" s="16"/>
      <c r="B283" s="16"/>
      <c r="C283" s="16"/>
      <c r="D283" s="16"/>
      <c r="E283" s="16"/>
      <c r="F283" s="16"/>
      <c r="G283" s="16"/>
      <c r="H283" s="16"/>
      <c r="I283" s="16"/>
      <c r="J283" s="16"/>
      <c r="K283" s="16"/>
      <c r="L283" s="16"/>
      <c r="M283" s="1"/>
      <c r="N283" s="1"/>
      <c r="O283" s="1"/>
      <c r="P283" s="1"/>
      <c r="Q283" s="1"/>
      <c r="R283" s="1"/>
      <c r="S283" s="1"/>
      <c r="T283" s="1"/>
      <c r="U283" s="1"/>
      <c r="V283" s="1"/>
    </row>
    <row r="284" spans="1:22" ht="12.75" customHeight="1" x14ac:dyDescent="0.2">
      <c r="A284" s="16"/>
      <c r="B284" s="16"/>
      <c r="C284" s="16"/>
      <c r="D284" s="16"/>
      <c r="E284" s="16"/>
      <c r="F284" s="16"/>
      <c r="G284" s="16"/>
      <c r="H284" s="16"/>
      <c r="I284" s="16"/>
      <c r="J284" s="16"/>
      <c r="K284" s="16"/>
      <c r="L284" s="16"/>
      <c r="M284" s="1"/>
      <c r="N284" s="1"/>
      <c r="O284" s="1"/>
      <c r="P284" s="1"/>
      <c r="Q284" s="1"/>
      <c r="R284" s="1"/>
      <c r="S284" s="1"/>
      <c r="T284" s="1"/>
      <c r="U284" s="1"/>
      <c r="V284" s="1"/>
    </row>
    <row r="285" spans="1:22" ht="12.75" customHeight="1" x14ac:dyDescent="0.2">
      <c r="A285" s="16"/>
      <c r="B285" s="16"/>
      <c r="C285" s="16"/>
      <c r="D285" s="16"/>
      <c r="E285" s="16"/>
      <c r="F285" s="16"/>
      <c r="G285" s="16"/>
      <c r="H285" s="16"/>
      <c r="I285" s="16"/>
      <c r="J285" s="16"/>
      <c r="K285" s="16"/>
      <c r="L285" s="16"/>
      <c r="M285" s="1"/>
      <c r="N285" s="1"/>
      <c r="O285" s="1"/>
      <c r="P285" s="1"/>
      <c r="Q285" s="1"/>
      <c r="R285" s="1"/>
      <c r="S285" s="1"/>
      <c r="T285" s="1"/>
      <c r="U285" s="1"/>
      <c r="V285" s="1"/>
    </row>
    <row r="286" spans="1:22" ht="12.75" customHeight="1" x14ac:dyDescent="0.2">
      <c r="A286" s="16"/>
      <c r="B286" s="16"/>
      <c r="C286" s="16"/>
      <c r="D286" s="16"/>
      <c r="E286" s="16"/>
      <c r="F286" s="16"/>
      <c r="G286" s="16"/>
      <c r="H286" s="16"/>
      <c r="I286" s="16"/>
      <c r="J286" s="16"/>
      <c r="K286" s="16"/>
      <c r="L286" s="16"/>
      <c r="M286" s="1"/>
      <c r="N286" s="1"/>
      <c r="O286" s="1"/>
      <c r="P286" s="1"/>
      <c r="Q286" s="1"/>
      <c r="R286" s="1"/>
      <c r="S286" s="1"/>
      <c r="T286" s="1"/>
      <c r="U286" s="1"/>
      <c r="V286" s="1"/>
    </row>
    <row r="287" spans="1:22" ht="12.75" customHeight="1" x14ac:dyDescent="0.2">
      <c r="A287" s="16"/>
      <c r="B287" s="16"/>
      <c r="C287" s="16"/>
      <c r="D287" s="16"/>
      <c r="E287" s="16"/>
      <c r="F287" s="16"/>
      <c r="G287" s="16"/>
      <c r="H287" s="16"/>
      <c r="I287" s="16"/>
      <c r="J287" s="16"/>
      <c r="K287" s="16"/>
      <c r="L287" s="16"/>
      <c r="M287" s="1"/>
      <c r="N287" s="1"/>
      <c r="O287" s="1"/>
      <c r="P287" s="1"/>
      <c r="Q287" s="1"/>
      <c r="R287" s="1"/>
      <c r="S287" s="1"/>
      <c r="T287" s="1"/>
      <c r="U287" s="1"/>
      <c r="V287" s="1"/>
    </row>
    <row r="288" spans="1:22" ht="12.75" customHeight="1" x14ac:dyDescent="0.2">
      <c r="A288" s="16"/>
      <c r="B288" s="16"/>
      <c r="C288" s="16"/>
      <c r="D288" s="16"/>
      <c r="E288" s="16"/>
      <c r="F288" s="16"/>
      <c r="G288" s="16"/>
      <c r="H288" s="16"/>
      <c r="I288" s="16"/>
      <c r="J288" s="16"/>
      <c r="K288" s="16"/>
      <c r="L288" s="16"/>
      <c r="M288" s="1"/>
      <c r="N288" s="1"/>
      <c r="O288" s="1"/>
      <c r="P288" s="1"/>
      <c r="Q288" s="1"/>
      <c r="R288" s="1"/>
      <c r="S288" s="1"/>
      <c r="T288" s="1"/>
      <c r="U288" s="1"/>
      <c r="V288" s="1"/>
    </row>
    <row r="289" spans="1:22" ht="12.75" customHeight="1" x14ac:dyDescent="0.2">
      <c r="A289" s="16"/>
      <c r="B289" s="16"/>
      <c r="C289" s="16"/>
      <c r="D289" s="16"/>
      <c r="E289" s="16"/>
      <c r="F289" s="16"/>
      <c r="G289" s="16"/>
      <c r="H289" s="16"/>
      <c r="I289" s="16"/>
      <c r="J289" s="16"/>
      <c r="K289" s="16"/>
      <c r="L289" s="16"/>
      <c r="M289" s="1"/>
      <c r="N289" s="1"/>
      <c r="O289" s="1"/>
      <c r="P289" s="1"/>
      <c r="Q289" s="1"/>
      <c r="R289" s="1"/>
      <c r="S289" s="1"/>
      <c r="T289" s="1"/>
      <c r="U289" s="1"/>
      <c r="V289" s="1"/>
    </row>
    <row r="290" spans="1:22" ht="12.75" customHeight="1" x14ac:dyDescent="0.2">
      <c r="A290" s="16"/>
      <c r="B290" s="16"/>
      <c r="C290" s="16"/>
      <c r="D290" s="16"/>
      <c r="E290" s="16"/>
      <c r="F290" s="16"/>
      <c r="G290" s="16"/>
      <c r="H290" s="16"/>
      <c r="I290" s="16"/>
      <c r="J290" s="16"/>
      <c r="K290" s="16"/>
      <c r="L290" s="16"/>
      <c r="M290" s="1"/>
      <c r="N290" s="1"/>
      <c r="O290" s="1"/>
      <c r="P290" s="1"/>
      <c r="Q290" s="1"/>
      <c r="R290" s="1"/>
      <c r="S290" s="1"/>
      <c r="T290" s="1"/>
      <c r="U290" s="1"/>
      <c r="V290" s="1"/>
    </row>
    <row r="291" spans="1:22" ht="12.75" customHeight="1" x14ac:dyDescent="0.2">
      <c r="A291" s="16"/>
      <c r="B291" s="16"/>
      <c r="C291" s="16"/>
      <c r="D291" s="16"/>
      <c r="E291" s="16"/>
      <c r="F291" s="16"/>
      <c r="G291" s="16"/>
      <c r="H291" s="16"/>
      <c r="I291" s="16"/>
      <c r="J291" s="16"/>
      <c r="K291" s="16"/>
      <c r="L291" s="16"/>
      <c r="M291" s="1"/>
      <c r="N291" s="1"/>
      <c r="O291" s="1"/>
      <c r="P291" s="1"/>
      <c r="Q291" s="1"/>
      <c r="R291" s="1"/>
      <c r="S291" s="1"/>
      <c r="T291" s="1"/>
      <c r="U291" s="1"/>
      <c r="V291" s="1"/>
    </row>
    <row r="292" spans="1:22" ht="12.75" customHeight="1" x14ac:dyDescent="0.2">
      <c r="A292" s="16"/>
      <c r="B292" s="16"/>
      <c r="C292" s="16"/>
      <c r="D292" s="16"/>
      <c r="E292" s="16"/>
      <c r="F292" s="16"/>
      <c r="G292" s="16"/>
      <c r="H292" s="16"/>
      <c r="I292" s="16"/>
      <c r="J292" s="16"/>
      <c r="K292" s="16"/>
      <c r="L292" s="16"/>
      <c r="M292" s="1"/>
      <c r="N292" s="1"/>
      <c r="O292" s="1"/>
      <c r="P292" s="1"/>
      <c r="Q292" s="1"/>
      <c r="R292" s="1"/>
      <c r="S292" s="1"/>
      <c r="T292" s="1"/>
      <c r="U292" s="1"/>
      <c r="V292" s="1"/>
    </row>
    <row r="293" spans="1:22" ht="12.75" customHeight="1" x14ac:dyDescent="0.2">
      <c r="A293" s="16"/>
      <c r="B293" s="16"/>
      <c r="C293" s="16"/>
      <c r="D293" s="16"/>
      <c r="E293" s="16"/>
      <c r="F293" s="16"/>
      <c r="G293" s="16"/>
      <c r="H293" s="16"/>
      <c r="I293" s="16"/>
      <c r="J293" s="16"/>
      <c r="K293" s="16"/>
      <c r="L293" s="16"/>
      <c r="M293" s="1"/>
      <c r="N293" s="1"/>
      <c r="O293" s="1"/>
      <c r="P293" s="1"/>
      <c r="Q293" s="1"/>
      <c r="R293" s="1"/>
      <c r="S293" s="1"/>
      <c r="T293" s="1"/>
      <c r="U293" s="1"/>
      <c r="V293" s="1"/>
    </row>
    <row r="294" spans="1:22" ht="12.75" customHeight="1" x14ac:dyDescent="0.2">
      <c r="A294" s="16"/>
      <c r="B294" s="16"/>
      <c r="C294" s="16"/>
      <c r="D294" s="16"/>
      <c r="E294" s="16"/>
      <c r="F294" s="16"/>
      <c r="G294" s="16"/>
      <c r="H294" s="16"/>
      <c r="I294" s="16"/>
      <c r="J294" s="16"/>
      <c r="K294" s="16"/>
      <c r="L294" s="16"/>
      <c r="M294" s="1"/>
      <c r="N294" s="1"/>
      <c r="O294" s="1"/>
      <c r="P294" s="1"/>
      <c r="Q294" s="1"/>
      <c r="R294" s="1"/>
      <c r="S294" s="1"/>
      <c r="T294" s="1"/>
      <c r="U294" s="1"/>
      <c r="V294" s="1"/>
    </row>
    <row r="295" spans="1:22" ht="12.75" customHeight="1" x14ac:dyDescent="0.2">
      <c r="A295" s="16"/>
      <c r="B295" s="16"/>
      <c r="C295" s="16"/>
      <c r="D295" s="16"/>
      <c r="E295" s="16"/>
      <c r="F295" s="16"/>
      <c r="G295" s="16"/>
      <c r="H295" s="16"/>
      <c r="I295" s="16"/>
      <c r="J295" s="16"/>
      <c r="K295" s="16"/>
      <c r="L295" s="16"/>
      <c r="M295" s="1"/>
      <c r="N295" s="1"/>
      <c r="O295" s="1"/>
      <c r="P295" s="1"/>
      <c r="Q295" s="1"/>
      <c r="R295" s="1"/>
      <c r="S295" s="1"/>
      <c r="T295" s="1"/>
      <c r="U295" s="1"/>
      <c r="V295" s="1"/>
    </row>
    <row r="296" spans="1:22" ht="12.75" customHeight="1" x14ac:dyDescent="0.2">
      <c r="A296" s="16"/>
      <c r="B296" s="16"/>
      <c r="C296" s="16"/>
      <c r="D296" s="16"/>
      <c r="E296" s="16"/>
      <c r="F296" s="16"/>
      <c r="G296" s="16"/>
      <c r="H296" s="16"/>
      <c r="I296" s="16"/>
      <c r="J296" s="16"/>
      <c r="K296" s="16"/>
      <c r="L296" s="16"/>
      <c r="M296" s="1"/>
      <c r="N296" s="1"/>
      <c r="O296" s="1"/>
      <c r="P296" s="1"/>
      <c r="Q296" s="1"/>
      <c r="R296" s="1"/>
      <c r="S296" s="1"/>
      <c r="T296" s="1"/>
      <c r="U296" s="1"/>
      <c r="V296" s="1"/>
    </row>
    <row r="297" spans="1:22" ht="12.75" customHeight="1" x14ac:dyDescent="0.2">
      <c r="A297" s="16"/>
      <c r="B297" s="16"/>
      <c r="C297" s="16"/>
      <c r="D297" s="16"/>
      <c r="E297" s="16"/>
      <c r="F297" s="16"/>
      <c r="G297" s="16"/>
      <c r="H297" s="16"/>
      <c r="I297" s="16"/>
      <c r="J297" s="16"/>
      <c r="K297" s="16"/>
      <c r="L297" s="16"/>
      <c r="M297" s="1"/>
      <c r="N297" s="1"/>
      <c r="O297" s="1"/>
      <c r="P297" s="1"/>
      <c r="Q297" s="1"/>
      <c r="R297" s="1"/>
      <c r="S297" s="1"/>
      <c r="T297" s="1"/>
      <c r="U297" s="1"/>
      <c r="V297" s="1"/>
    </row>
    <row r="298" spans="1:22" ht="12.75" customHeight="1" x14ac:dyDescent="0.2">
      <c r="A298" s="16"/>
      <c r="B298" s="16"/>
      <c r="C298" s="16"/>
      <c r="D298" s="16"/>
      <c r="E298" s="16"/>
      <c r="F298" s="16"/>
      <c r="G298" s="16"/>
      <c r="H298" s="16"/>
      <c r="I298" s="16"/>
      <c r="J298" s="16"/>
      <c r="K298" s="16"/>
      <c r="L298" s="16"/>
      <c r="M298" s="1"/>
      <c r="N298" s="1"/>
      <c r="O298" s="1"/>
      <c r="P298" s="1"/>
      <c r="Q298" s="1"/>
      <c r="R298" s="1"/>
      <c r="S298" s="1"/>
      <c r="T298" s="1"/>
      <c r="U298" s="1"/>
      <c r="V298" s="1"/>
    </row>
    <row r="299" spans="1:22" ht="12.75" customHeight="1" x14ac:dyDescent="0.2">
      <c r="A299" s="16"/>
      <c r="B299" s="16"/>
      <c r="C299" s="16"/>
      <c r="D299" s="16"/>
      <c r="E299" s="16"/>
      <c r="F299" s="16"/>
      <c r="G299" s="16"/>
      <c r="H299" s="16"/>
      <c r="I299" s="16"/>
      <c r="J299" s="16"/>
      <c r="K299" s="16"/>
      <c r="L299" s="16"/>
      <c r="M299" s="1"/>
      <c r="N299" s="1"/>
      <c r="O299" s="1"/>
      <c r="P299" s="1"/>
      <c r="Q299" s="1"/>
      <c r="R299" s="1"/>
      <c r="S299" s="1"/>
      <c r="T299" s="1"/>
      <c r="U299" s="1"/>
      <c r="V299" s="1"/>
    </row>
    <row r="300" spans="1:22" ht="12.75" customHeight="1" x14ac:dyDescent="0.2">
      <c r="A300" s="16"/>
      <c r="B300" s="16"/>
      <c r="C300" s="16"/>
      <c r="D300" s="16"/>
      <c r="E300" s="16"/>
      <c r="F300" s="16"/>
      <c r="G300" s="16"/>
      <c r="H300" s="16"/>
      <c r="I300" s="16"/>
      <c r="J300" s="16"/>
      <c r="K300" s="16"/>
      <c r="L300" s="16"/>
      <c r="M300" s="1"/>
      <c r="N300" s="1"/>
      <c r="O300" s="1"/>
      <c r="P300" s="1"/>
      <c r="Q300" s="1"/>
      <c r="R300" s="1"/>
      <c r="S300" s="1"/>
      <c r="T300" s="1"/>
      <c r="U300" s="1"/>
      <c r="V300" s="1"/>
    </row>
    <row r="301" spans="1:22" ht="12.75" customHeight="1" x14ac:dyDescent="0.2">
      <c r="A301" s="16"/>
      <c r="B301" s="16"/>
      <c r="C301" s="16"/>
      <c r="D301" s="16"/>
      <c r="E301" s="16"/>
      <c r="F301" s="16"/>
      <c r="G301" s="16"/>
      <c r="H301" s="16"/>
      <c r="I301" s="16"/>
      <c r="J301" s="16"/>
      <c r="K301" s="16"/>
      <c r="L301" s="16"/>
      <c r="M301" s="1"/>
      <c r="N301" s="1"/>
      <c r="O301" s="1"/>
      <c r="P301" s="1"/>
      <c r="Q301" s="1"/>
      <c r="R301" s="1"/>
      <c r="S301" s="1"/>
      <c r="T301" s="1"/>
      <c r="U301" s="1"/>
      <c r="V301" s="1"/>
    </row>
    <row r="302" spans="1:22" ht="12.75" customHeight="1" x14ac:dyDescent="0.2">
      <c r="A302" s="16"/>
      <c r="B302" s="16"/>
      <c r="C302" s="16"/>
      <c r="D302" s="16"/>
      <c r="E302" s="16"/>
      <c r="F302" s="16"/>
      <c r="G302" s="16"/>
      <c r="H302" s="16"/>
      <c r="I302" s="16"/>
      <c r="J302" s="16"/>
      <c r="K302" s="16"/>
      <c r="L302" s="16"/>
      <c r="M302" s="1"/>
      <c r="N302" s="1"/>
      <c r="O302" s="1"/>
      <c r="P302" s="1"/>
      <c r="Q302" s="1"/>
      <c r="R302" s="1"/>
      <c r="S302" s="1"/>
      <c r="T302" s="1"/>
      <c r="U302" s="1"/>
      <c r="V302" s="1"/>
    </row>
    <row r="303" spans="1:22" ht="12.75" customHeight="1" x14ac:dyDescent="0.2">
      <c r="A303" s="16"/>
      <c r="B303" s="16"/>
      <c r="C303" s="16"/>
      <c r="D303" s="16"/>
      <c r="E303" s="16"/>
      <c r="F303" s="16"/>
      <c r="G303" s="16"/>
      <c r="H303" s="16"/>
      <c r="I303" s="16"/>
      <c r="J303" s="16"/>
      <c r="K303" s="16"/>
      <c r="L303" s="16"/>
      <c r="M303" s="1"/>
      <c r="N303" s="1"/>
      <c r="O303" s="1"/>
      <c r="P303" s="1"/>
      <c r="Q303" s="1"/>
      <c r="R303" s="1"/>
      <c r="S303" s="1"/>
      <c r="T303" s="1"/>
      <c r="U303" s="1"/>
      <c r="V303" s="1"/>
    </row>
    <row r="304" spans="1:22" ht="12.75" customHeight="1" x14ac:dyDescent="0.2">
      <c r="A304" s="16"/>
      <c r="B304" s="16"/>
      <c r="C304" s="16"/>
      <c r="D304" s="16"/>
      <c r="E304" s="16"/>
      <c r="F304" s="16"/>
      <c r="G304" s="16"/>
      <c r="H304" s="16"/>
      <c r="I304" s="16"/>
      <c r="J304" s="16"/>
      <c r="K304" s="16"/>
      <c r="L304" s="16"/>
      <c r="M304" s="1"/>
      <c r="N304" s="1"/>
      <c r="O304" s="1"/>
      <c r="P304" s="1"/>
      <c r="Q304" s="1"/>
      <c r="R304" s="1"/>
      <c r="S304" s="1"/>
      <c r="T304" s="1"/>
      <c r="U304" s="1"/>
      <c r="V304" s="1"/>
    </row>
    <row r="305" spans="1:22" ht="12.75" customHeight="1" x14ac:dyDescent="0.2">
      <c r="A305" s="16"/>
      <c r="B305" s="16"/>
      <c r="C305" s="16"/>
      <c r="D305" s="16"/>
      <c r="E305" s="16"/>
      <c r="F305" s="16"/>
      <c r="G305" s="16"/>
      <c r="H305" s="16"/>
      <c r="I305" s="16"/>
      <c r="J305" s="16"/>
      <c r="K305" s="16"/>
      <c r="L305" s="16"/>
      <c r="M305" s="1"/>
      <c r="N305" s="1"/>
      <c r="O305" s="1"/>
      <c r="P305" s="1"/>
      <c r="Q305" s="1"/>
      <c r="R305" s="1"/>
      <c r="S305" s="1"/>
      <c r="T305" s="1"/>
      <c r="U305" s="1"/>
      <c r="V305" s="1"/>
    </row>
    <row r="306" spans="1:22" ht="12.75" customHeight="1" x14ac:dyDescent="0.2">
      <c r="A306" s="16"/>
      <c r="B306" s="16"/>
      <c r="C306" s="16"/>
      <c r="D306" s="16"/>
      <c r="E306" s="16"/>
      <c r="F306" s="16"/>
      <c r="G306" s="16"/>
      <c r="H306" s="16"/>
      <c r="I306" s="16"/>
      <c r="J306" s="16"/>
      <c r="K306" s="16"/>
      <c r="L306" s="16"/>
      <c r="M306" s="1"/>
      <c r="N306" s="1"/>
      <c r="O306" s="1"/>
      <c r="P306" s="1"/>
      <c r="Q306" s="1"/>
      <c r="R306" s="1"/>
      <c r="S306" s="1"/>
      <c r="T306" s="1"/>
      <c r="U306" s="1"/>
      <c r="V306" s="1"/>
    </row>
    <row r="307" spans="1:22" ht="12.75" customHeight="1" x14ac:dyDescent="0.2">
      <c r="A307" s="16"/>
      <c r="B307" s="16"/>
      <c r="C307" s="16"/>
      <c r="D307" s="16"/>
      <c r="E307" s="16"/>
      <c r="F307" s="16"/>
      <c r="G307" s="16"/>
      <c r="H307" s="16"/>
      <c r="I307" s="16"/>
      <c r="J307" s="16"/>
      <c r="K307" s="16"/>
      <c r="L307" s="16"/>
      <c r="M307" s="1"/>
      <c r="N307" s="1"/>
      <c r="O307" s="1"/>
      <c r="P307" s="1"/>
      <c r="Q307" s="1"/>
      <c r="R307" s="1"/>
      <c r="S307" s="1"/>
      <c r="T307" s="1"/>
      <c r="U307" s="1"/>
      <c r="V307" s="1"/>
    </row>
    <row r="308" spans="1:22" ht="12.75" customHeight="1" x14ac:dyDescent="0.2">
      <c r="A308" s="16"/>
      <c r="B308" s="16"/>
      <c r="C308" s="16"/>
      <c r="D308" s="16"/>
      <c r="E308" s="16"/>
      <c r="F308" s="16"/>
      <c r="G308" s="16"/>
      <c r="H308" s="16"/>
      <c r="I308" s="16"/>
      <c r="J308" s="16"/>
      <c r="K308" s="16"/>
      <c r="L308" s="16"/>
      <c r="M308" s="1"/>
      <c r="N308" s="1"/>
      <c r="O308" s="1"/>
      <c r="P308" s="1"/>
      <c r="Q308" s="1"/>
      <c r="R308" s="1"/>
      <c r="S308" s="1"/>
      <c r="T308" s="1"/>
      <c r="U308" s="1"/>
      <c r="V308" s="1"/>
    </row>
    <row r="309" spans="1:22" ht="12.75" customHeight="1" x14ac:dyDescent="0.2">
      <c r="A309" s="16"/>
      <c r="B309" s="16"/>
      <c r="C309" s="16"/>
      <c r="D309" s="16"/>
      <c r="E309" s="16"/>
      <c r="F309" s="16"/>
      <c r="G309" s="16"/>
      <c r="H309" s="16"/>
      <c r="I309" s="16"/>
      <c r="J309" s="16"/>
      <c r="K309" s="16"/>
      <c r="L309" s="16"/>
      <c r="M309" s="1"/>
      <c r="N309" s="1"/>
      <c r="O309" s="1"/>
      <c r="P309" s="1"/>
      <c r="Q309" s="1"/>
      <c r="R309" s="1"/>
      <c r="S309" s="1"/>
      <c r="T309" s="1"/>
      <c r="U309" s="1"/>
      <c r="V309" s="1"/>
    </row>
    <row r="310" spans="1:22" ht="12.75" customHeight="1" x14ac:dyDescent="0.2">
      <c r="A310" s="16"/>
      <c r="B310" s="16"/>
      <c r="C310" s="16"/>
      <c r="D310" s="16"/>
      <c r="E310" s="16"/>
      <c r="F310" s="16"/>
      <c r="G310" s="16"/>
      <c r="H310" s="16"/>
      <c r="I310" s="16"/>
      <c r="J310" s="16"/>
      <c r="K310" s="16"/>
      <c r="L310" s="16"/>
      <c r="M310" s="1"/>
      <c r="N310" s="1"/>
      <c r="O310" s="1"/>
      <c r="P310" s="1"/>
      <c r="Q310" s="1"/>
      <c r="R310" s="1"/>
      <c r="S310" s="1"/>
      <c r="T310" s="1"/>
      <c r="U310" s="1"/>
      <c r="V310" s="1"/>
    </row>
    <row r="311" spans="1:22" ht="12.75" customHeight="1" x14ac:dyDescent="0.2">
      <c r="A311" s="16"/>
      <c r="B311" s="16"/>
      <c r="C311" s="16"/>
      <c r="D311" s="16"/>
      <c r="E311" s="16"/>
      <c r="F311" s="16"/>
      <c r="G311" s="16"/>
      <c r="H311" s="16"/>
      <c r="I311" s="16"/>
      <c r="J311" s="16"/>
      <c r="K311" s="16"/>
      <c r="L311" s="16"/>
      <c r="M311" s="1"/>
      <c r="N311" s="1"/>
      <c r="O311" s="1"/>
      <c r="P311" s="1"/>
      <c r="Q311" s="1"/>
      <c r="R311" s="1"/>
      <c r="S311" s="1"/>
      <c r="T311" s="1"/>
      <c r="U311" s="1"/>
      <c r="V311" s="1"/>
    </row>
    <row r="312" spans="1:22" ht="12.75" customHeight="1" x14ac:dyDescent="0.2">
      <c r="A312" s="16"/>
      <c r="B312" s="16"/>
      <c r="C312" s="16"/>
      <c r="D312" s="16"/>
      <c r="E312" s="16"/>
      <c r="F312" s="16"/>
      <c r="G312" s="16"/>
      <c r="H312" s="16"/>
      <c r="I312" s="16"/>
      <c r="J312" s="16"/>
      <c r="K312" s="16"/>
      <c r="L312" s="16"/>
      <c r="M312" s="1"/>
      <c r="N312" s="1"/>
      <c r="O312" s="1"/>
      <c r="P312" s="1"/>
      <c r="Q312" s="1"/>
      <c r="R312" s="1"/>
      <c r="S312" s="1"/>
      <c r="T312" s="1"/>
      <c r="U312" s="1"/>
      <c r="V312" s="1"/>
    </row>
    <row r="313" spans="1:22" ht="12.75" customHeight="1" x14ac:dyDescent="0.2">
      <c r="A313" s="16"/>
      <c r="B313" s="16"/>
      <c r="C313" s="16"/>
      <c r="D313" s="16"/>
      <c r="E313" s="16"/>
      <c r="F313" s="16"/>
      <c r="G313" s="16"/>
      <c r="H313" s="16"/>
      <c r="I313" s="16"/>
      <c r="J313" s="16"/>
      <c r="K313" s="16"/>
      <c r="L313" s="16"/>
      <c r="M313" s="1"/>
      <c r="N313" s="1"/>
      <c r="O313" s="1"/>
      <c r="P313" s="1"/>
      <c r="Q313" s="1"/>
      <c r="R313" s="1"/>
      <c r="S313" s="1"/>
      <c r="T313" s="1"/>
      <c r="U313" s="1"/>
      <c r="V313" s="1"/>
    </row>
    <row r="314" spans="1:22" ht="12.75" customHeight="1" x14ac:dyDescent="0.2">
      <c r="A314" s="16"/>
      <c r="B314" s="16"/>
      <c r="C314" s="16"/>
      <c r="D314" s="16"/>
      <c r="E314" s="16"/>
      <c r="F314" s="16"/>
      <c r="G314" s="16"/>
      <c r="H314" s="16"/>
      <c r="I314" s="16"/>
      <c r="J314" s="16"/>
      <c r="K314" s="16"/>
      <c r="L314" s="16"/>
      <c r="M314" s="1"/>
      <c r="N314" s="1"/>
      <c r="O314" s="1"/>
      <c r="P314" s="1"/>
      <c r="Q314" s="1"/>
      <c r="R314" s="1"/>
      <c r="S314" s="1"/>
      <c r="T314" s="1"/>
      <c r="U314" s="1"/>
      <c r="V314" s="1"/>
    </row>
    <row r="315" spans="1:22" ht="12.75" customHeight="1" x14ac:dyDescent="0.2">
      <c r="A315" s="16"/>
      <c r="B315" s="16"/>
      <c r="C315" s="16"/>
      <c r="D315" s="16"/>
      <c r="E315" s="16"/>
      <c r="F315" s="16"/>
      <c r="G315" s="16"/>
      <c r="H315" s="16"/>
      <c r="I315" s="16"/>
      <c r="J315" s="16"/>
      <c r="K315" s="16"/>
      <c r="L315" s="16"/>
      <c r="M315" s="1"/>
      <c r="N315" s="1"/>
      <c r="O315" s="1"/>
      <c r="P315" s="1"/>
      <c r="Q315" s="1"/>
      <c r="R315" s="1"/>
      <c r="S315" s="1"/>
      <c r="T315" s="1"/>
      <c r="U315" s="1"/>
      <c r="V315" s="1"/>
    </row>
    <row r="316" spans="1:22" ht="12.75" customHeight="1" x14ac:dyDescent="0.2">
      <c r="A316" s="16"/>
      <c r="B316" s="16"/>
      <c r="C316" s="16"/>
      <c r="D316" s="16"/>
      <c r="E316" s="16"/>
      <c r="F316" s="16"/>
      <c r="G316" s="16"/>
      <c r="H316" s="16"/>
      <c r="I316" s="16"/>
      <c r="J316" s="16"/>
      <c r="K316" s="16"/>
      <c r="L316" s="16"/>
      <c r="M316" s="1"/>
      <c r="N316" s="1"/>
      <c r="O316" s="1"/>
      <c r="P316" s="1"/>
      <c r="Q316" s="1"/>
      <c r="R316" s="1"/>
      <c r="S316" s="1"/>
      <c r="T316" s="1"/>
      <c r="U316" s="1"/>
      <c r="V316" s="1"/>
    </row>
    <row r="317" spans="1:22" ht="12.75" customHeight="1" x14ac:dyDescent="0.2">
      <c r="A317" s="16"/>
      <c r="B317" s="16"/>
      <c r="C317" s="16"/>
      <c r="D317" s="16"/>
      <c r="E317" s="16"/>
      <c r="F317" s="16"/>
      <c r="G317" s="16"/>
      <c r="H317" s="16"/>
      <c r="I317" s="16"/>
      <c r="J317" s="16"/>
      <c r="K317" s="16"/>
      <c r="L317" s="16"/>
      <c r="M317" s="1"/>
      <c r="N317" s="1"/>
      <c r="O317" s="1"/>
      <c r="P317" s="1"/>
      <c r="Q317" s="1"/>
      <c r="R317" s="1"/>
      <c r="S317" s="1"/>
      <c r="T317" s="1"/>
      <c r="U317" s="1"/>
      <c r="V317" s="1"/>
    </row>
    <row r="318" spans="1:22" ht="12.75" customHeight="1" x14ac:dyDescent="0.2">
      <c r="A318" s="16"/>
      <c r="B318" s="16"/>
      <c r="C318" s="16"/>
      <c r="D318" s="16"/>
      <c r="E318" s="16"/>
      <c r="F318" s="16"/>
      <c r="G318" s="16"/>
      <c r="H318" s="16"/>
      <c r="I318" s="16"/>
      <c r="J318" s="16"/>
      <c r="K318" s="16"/>
      <c r="L318" s="16"/>
      <c r="M318" s="1"/>
      <c r="N318" s="1"/>
      <c r="O318" s="1"/>
      <c r="P318" s="1"/>
      <c r="Q318" s="1"/>
      <c r="R318" s="1"/>
      <c r="S318" s="1"/>
      <c r="T318" s="1"/>
      <c r="U318" s="1"/>
      <c r="V318" s="1"/>
    </row>
    <row r="319" spans="1:22" ht="12.75" customHeight="1" x14ac:dyDescent="0.2">
      <c r="A319" s="16"/>
      <c r="B319" s="16"/>
      <c r="C319" s="16"/>
      <c r="D319" s="16"/>
      <c r="E319" s="16"/>
      <c r="F319" s="16"/>
      <c r="G319" s="16"/>
      <c r="H319" s="16"/>
      <c r="I319" s="16"/>
      <c r="J319" s="16"/>
      <c r="K319" s="16"/>
      <c r="L319" s="16"/>
      <c r="M319" s="1"/>
      <c r="N319" s="1"/>
      <c r="O319" s="1"/>
      <c r="P319" s="1"/>
      <c r="Q319" s="1"/>
      <c r="R319" s="1"/>
      <c r="S319" s="1"/>
      <c r="T319" s="1"/>
      <c r="U319" s="1"/>
      <c r="V319" s="1"/>
    </row>
    <row r="320" spans="1:22" ht="12.75" customHeight="1" x14ac:dyDescent="0.2">
      <c r="A320" s="16"/>
      <c r="B320" s="16"/>
      <c r="C320" s="16"/>
      <c r="D320" s="16"/>
      <c r="E320" s="16"/>
      <c r="F320" s="16"/>
      <c r="G320" s="16"/>
      <c r="H320" s="16"/>
      <c r="I320" s="16"/>
      <c r="J320" s="16"/>
      <c r="K320" s="16"/>
      <c r="L320" s="16"/>
      <c r="M320" s="1"/>
      <c r="N320" s="1"/>
      <c r="O320" s="1"/>
      <c r="P320" s="1"/>
      <c r="Q320" s="1"/>
      <c r="R320" s="1"/>
      <c r="S320" s="1"/>
      <c r="T320" s="1"/>
      <c r="U320" s="1"/>
      <c r="V320" s="1"/>
    </row>
    <row r="321" spans="1:22" ht="12.75" customHeight="1" x14ac:dyDescent="0.2">
      <c r="A321" s="16"/>
      <c r="B321" s="16"/>
      <c r="C321" s="16"/>
      <c r="D321" s="16"/>
      <c r="E321" s="16"/>
      <c r="F321" s="16"/>
      <c r="G321" s="16"/>
      <c r="H321" s="16"/>
      <c r="I321" s="16"/>
      <c r="J321" s="16"/>
      <c r="K321" s="16"/>
      <c r="L321" s="16"/>
      <c r="M321" s="1"/>
      <c r="N321" s="1"/>
      <c r="O321" s="1"/>
      <c r="P321" s="1"/>
      <c r="Q321" s="1"/>
      <c r="R321" s="1"/>
      <c r="S321" s="1"/>
      <c r="T321" s="1"/>
      <c r="U321" s="1"/>
      <c r="V321" s="1"/>
    </row>
    <row r="322" spans="1:22" ht="12.75" customHeight="1" x14ac:dyDescent="0.2">
      <c r="A322" s="16"/>
      <c r="B322" s="16"/>
      <c r="C322" s="16"/>
      <c r="D322" s="16"/>
      <c r="E322" s="16"/>
      <c r="F322" s="16"/>
      <c r="G322" s="16"/>
      <c r="H322" s="16"/>
      <c r="I322" s="16"/>
      <c r="J322" s="16"/>
      <c r="K322" s="16"/>
      <c r="L322" s="16"/>
      <c r="M322" s="1"/>
      <c r="N322" s="1"/>
      <c r="O322" s="1"/>
      <c r="P322" s="1"/>
      <c r="Q322" s="1"/>
      <c r="R322" s="1"/>
      <c r="S322" s="1"/>
      <c r="T322" s="1"/>
      <c r="U322" s="1"/>
      <c r="V322" s="1"/>
    </row>
    <row r="323" spans="1:22" ht="12.75" customHeight="1" x14ac:dyDescent="0.2">
      <c r="A323" s="16"/>
      <c r="B323" s="16"/>
      <c r="C323" s="16"/>
      <c r="D323" s="16"/>
      <c r="E323" s="16"/>
      <c r="F323" s="16"/>
      <c r="G323" s="16"/>
      <c r="H323" s="16"/>
      <c r="I323" s="16"/>
      <c r="J323" s="16"/>
      <c r="K323" s="16"/>
      <c r="L323" s="16"/>
      <c r="M323" s="1"/>
      <c r="N323" s="1"/>
      <c r="O323" s="1"/>
      <c r="P323" s="1"/>
      <c r="Q323" s="1"/>
      <c r="R323" s="1"/>
      <c r="S323" s="1"/>
      <c r="T323" s="1"/>
      <c r="U323" s="1"/>
      <c r="V323" s="1"/>
    </row>
    <row r="324" spans="1:22" ht="12.75" customHeight="1" x14ac:dyDescent="0.2">
      <c r="A324" s="16"/>
      <c r="B324" s="16"/>
      <c r="C324" s="16"/>
      <c r="D324" s="16"/>
      <c r="E324" s="16"/>
      <c r="F324" s="16"/>
      <c r="G324" s="16"/>
      <c r="H324" s="16"/>
      <c r="I324" s="16"/>
      <c r="J324" s="16"/>
      <c r="K324" s="16"/>
      <c r="L324" s="16"/>
      <c r="M324" s="1"/>
      <c r="N324" s="1"/>
      <c r="O324" s="1"/>
      <c r="P324" s="1"/>
      <c r="Q324" s="1"/>
      <c r="R324" s="1"/>
      <c r="S324" s="1"/>
      <c r="T324" s="1"/>
      <c r="U324" s="1"/>
      <c r="V324" s="1"/>
    </row>
    <row r="325" spans="1:22" ht="12.75" customHeight="1" x14ac:dyDescent="0.2">
      <c r="A325" s="16"/>
      <c r="B325" s="16"/>
      <c r="C325" s="16"/>
      <c r="D325" s="16"/>
      <c r="E325" s="16"/>
      <c r="F325" s="16"/>
      <c r="G325" s="16"/>
      <c r="H325" s="16"/>
      <c r="I325" s="16"/>
      <c r="J325" s="16"/>
      <c r="K325" s="16"/>
      <c r="L325" s="16"/>
      <c r="M325" s="1"/>
      <c r="N325" s="1"/>
      <c r="O325" s="1"/>
      <c r="P325" s="1"/>
      <c r="Q325" s="1"/>
      <c r="R325" s="1"/>
      <c r="S325" s="1"/>
      <c r="T325" s="1"/>
      <c r="U325" s="1"/>
      <c r="V325" s="1"/>
    </row>
    <row r="326" spans="1:22" ht="12.75" customHeight="1" x14ac:dyDescent="0.2">
      <c r="A326" s="16"/>
      <c r="B326" s="16"/>
      <c r="C326" s="16"/>
      <c r="D326" s="16"/>
      <c r="E326" s="16"/>
      <c r="F326" s="16"/>
      <c r="G326" s="16"/>
      <c r="H326" s="16"/>
      <c r="I326" s="16"/>
      <c r="J326" s="16"/>
      <c r="K326" s="16"/>
      <c r="L326" s="16"/>
      <c r="M326" s="1"/>
      <c r="N326" s="1"/>
      <c r="O326" s="1"/>
      <c r="P326" s="1"/>
      <c r="Q326" s="1"/>
      <c r="R326" s="1"/>
      <c r="S326" s="1"/>
      <c r="T326" s="1"/>
      <c r="U326" s="1"/>
      <c r="V326" s="1"/>
    </row>
    <row r="327" spans="1:22" ht="12.75" customHeight="1" x14ac:dyDescent="0.2">
      <c r="A327" s="16"/>
      <c r="B327" s="16"/>
      <c r="C327" s="16"/>
      <c r="D327" s="16"/>
      <c r="E327" s="16"/>
      <c r="F327" s="16"/>
      <c r="G327" s="16"/>
      <c r="H327" s="16"/>
      <c r="I327" s="16"/>
      <c r="J327" s="16"/>
      <c r="K327" s="16"/>
      <c r="L327" s="16"/>
      <c r="M327" s="1"/>
      <c r="N327" s="1"/>
      <c r="O327" s="1"/>
      <c r="P327" s="1"/>
      <c r="Q327" s="1"/>
      <c r="R327" s="1"/>
      <c r="S327" s="1"/>
      <c r="T327" s="1"/>
      <c r="U327" s="1"/>
      <c r="V327" s="1"/>
    </row>
    <row r="328" spans="1:22" ht="12.75" customHeight="1" x14ac:dyDescent="0.2">
      <c r="A328" s="16"/>
      <c r="B328" s="16"/>
      <c r="C328" s="16"/>
      <c r="D328" s="16"/>
      <c r="E328" s="16"/>
      <c r="F328" s="16"/>
      <c r="G328" s="16"/>
      <c r="H328" s="16"/>
      <c r="I328" s="16"/>
      <c r="J328" s="16"/>
      <c r="K328" s="16"/>
      <c r="L328" s="16"/>
      <c r="M328" s="1"/>
      <c r="N328" s="1"/>
      <c r="O328" s="1"/>
      <c r="P328" s="1"/>
      <c r="Q328" s="1"/>
      <c r="R328" s="1"/>
      <c r="S328" s="1"/>
      <c r="T328" s="1"/>
      <c r="U328" s="1"/>
      <c r="V328" s="1"/>
    </row>
    <row r="329" spans="1:22" ht="12.75" customHeight="1" x14ac:dyDescent="0.2">
      <c r="A329" s="16"/>
      <c r="B329" s="16"/>
      <c r="C329" s="16"/>
      <c r="D329" s="16"/>
      <c r="E329" s="16"/>
      <c r="F329" s="16"/>
      <c r="G329" s="16"/>
      <c r="H329" s="16"/>
      <c r="I329" s="16"/>
      <c r="J329" s="16"/>
      <c r="K329" s="16"/>
      <c r="L329" s="16"/>
      <c r="M329" s="1"/>
      <c r="N329" s="1"/>
      <c r="O329" s="1"/>
      <c r="P329" s="1"/>
      <c r="Q329" s="1"/>
      <c r="R329" s="1"/>
      <c r="S329" s="1"/>
      <c r="T329" s="1"/>
      <c r="U329" s="1"/>
      <c r="V329" s="1"/>
    </row>
    <row r="330" spans="1:22" ht="12.75" customHeight="1" x14ac:dyDescent="0.2">
      <c r="A330" s="16"/>
      <c r="B330" s="16"/>
      <c r="C330" s="16"/>
      <c r="D330" s="16"/>
      <c r="E330" s="16"/>
      <c r="F330" s="16"/>
      <c r="G330" s="16"/>
      <c r="H330" s="16"/>
      <c r="I330" s="16"/>
      <c r="J330" s="16"/>
      <c r="K330" s="16"/>
      <c r="L330" s="16"/>
      <c r="M330" s="1"/>
      <c r="N330" s="1"/>
      <c r="O330" s="1"/>
      <c r="P330" s="1"/>
      <c r="Q330" s="1"/>
      <c r="R330" s="1"/>
      <c r="S330" s="1"/>
      <c r="T330" s="1"/>
      <c r="U330" s="1"/>
      <c r="V330" s="1"/>
    </row>
    <row r="331" spans="1:22" ht="12.75" customHeight="1" x14ac:dyDescent="0.2">
      <c r="A331" s="16"/>
      <c r="B331" s="16"/>
      <c r="C331" s="16"/>
      <c r="D331" s="16"/>
      <c r="E331" s="16"/>
      <c r="F331" s="16"/>
      <c r="G331" s="16"/>
      <c r="H331" s="16"/>
      <c r="I331" s="16"/>
      <c r="J331" s="16"/>
      <c r="K331" s="16"/>
      <c r="L331" s="16"/>
      <c r="M331" s="1"/>
      <c r="N331" s="1"/>
      <c r="O331" s="1"/>
      <c r="P331" s="1"/>
      <c r="Q331" s="1"/>
      <c r="R331" s="1"/>
      <c r="S331" s="1"/>
      <c r="T331" s="1"/>
      <c r="U331" s="1"/>
      <c r="V331" s="1"/>
    </row>
    <row r="332" spans="1:22" ht="12.75" customHeight="1" x14ac:dyDescent="0.2">
      <c r="A332" s="16"/>
      <c r="B332" s="16"/>
      <c r="C332" s="16"/>
      <c r="D332" s="16"/>
      <c r="E332" s="16"/>
      <c r="F332" s="16"/>
      <c r="G332" s="16"/>
      <c r="H332" s="16"/>
      <c r="I332" s="16"/>
      <c r="J332" s="16"/>
      <c r="K332" s="16"/>
      <c r="L332" s="16"/>
      <c r="M332" s="1"/>
      <c r="N332" s="1"/>
      <c r="O332" s="1"/>
      <c r="P332" s="1"/>
      <c r="Q332" s="1"/>
      <c r="R332" s="1"/>
      <c r="S332" s="1"/>
      <c r="T332" s="1"/>
      <c r="U332" s="1"/>
      <c r="V332" s="1"/>
    </row>
    <row r="333" spans="1:22" ht="12.75" customHeight="1" x14ac:dyDescent="0.2">
      <c r="A333" s="16"/>
      <c r="B333" s="16"/>
      <c r="C333" s="16"/>
      <c r="D333" s="16"/>
      <c r="E333" s="16"/>
      <c r="F333" s="16"/>
      <c r="G333" s="16"/>
      <c r="H333" s="16"/>
      <c r="I333" s="16"/>
      <c r="J333" s="16"/>
      <c r="K333" s="16"/>
      <c r="L333" s="16"/>
      <c r="M333" s="1"/>
      <c r="N333" s="1"/>
      <c r="O333" s="1"/>
      <c r="P333" s="1"/>
      <c r="Q333" s="1"/>
      <c r="R333" s="1"/>
      <c r="S333" s="1"/>
      <c r="T333" s="1"/>
      <c r="U333" s="1"/>
      <c r="V333" s="1"/>
    </row>
    <row r="334" spans="1:22" ht="12.75" customHeight="1" x14ac:dyDescent="0.2">
      <c r="A334" s="16"/>
      <c r="B334" s="16"/>
      <c r="C334" s="16"/>
      <c r="D334" s="16"/>
      <c r="E334" s="16"/>
      <c r="F334" s="16"/>
      <c r="G334" s="16"/>
      <c r="H334" s="16"/>
      <c r="I334" s="16"/>
      <c r="J334" s="16"/>
      <c r="K334" s="16"/>
      <c r="L334" s="16"/>
      <c r="M334" s="1"/>
      <c r="N334" s="1"/>
      <c r="O334" s="1"/>
      <c r="P334" s="1"/>
      <c r="Q334" s="1"/>
      <c r="R334" s="1"/>
      <c r="S334" s="1"/>
      <c r="T334" s="1"/>
      <c r="U334" s="1"/>
      <c r="V334" s="1"/>
    </row>
    <row r="335" spans="1:22" ht="12.75" customHeight="1" x14ac:dyDescent="0.2">
      <c r="A335" s="16"/>
      <c r="B335" s="16"/>
      <c r="C335" s="16"/>
      <c r="D335" s="16"/>
      <c r="E335" s="16"/>
      <c r="F335" s="16"/>
      <c r="G335" s="16"/>
      <c r="H335" s="16"/>
      <c r="I335" s="16"/>
      <c r="J335" s="16"/>
      <c r="K335" s="16"/>
      <c r="L335" s="16"/>
      <c r="M335" s="1"/>
      <c r="N335" s="1"/>
      <c r="O335" s="1"/>
      <c r="P335" s="1"/>
      <c r="Q335" s="1"/>
      <c r="R335" s="1"/>
      <c r="S335" s="1"/>
      <c r="T335" s="1"/>
      <c r="U335" s="1"/>
      <c r="V335" s="1"/>
    </row>
    <row r="336" spans="1:22" ht="12.75" customHeight="1" x14ac:dyDescent="0.2">
      <c r="A336" s="16"/>
      <c r="B336" s="16"/>
      <c r="C336" s="16"/>
      <c r="D336" s="16"/>
      <c r="E336" s="16"/>
      <c r="F336" s="16"/>
      <c r="G336" s="16"/>
      <c r="H336" s="16"/>
      <c r="I336" s="16"/>
      <c r="J336" s="16"/>
      <c r="K336" s="16"/>
      <c r="L336" s="16"/>
      <c r="M336" s="1"/>
      <c r="N336" s="1"/>
      <c r="O336" s="1"/>
      <c r="P336" s="1"/>
      <c r="Q336" s="1"/>
      <c r="R336" s="1"/>
      <c r="S336" s="1"/>
      <c r="T336" s="1"/>
      <c r="U336" s="1"/>
      <c r="V336" s="1"/>
    </row>
    <row r="337" spans="1:22" ht="12.75" customHeight="1" x14ac:dyDescent="0.2">
      <c r="A337" s="16"/>
      <c r="B337" s="16"/>
      <c r="C337" s="16"/>
      <c r="D337" s="16"/>
      <c r="E337" s="16"/>
      <c r="F337" s="16"/>
      <c r="G337" s="16"/>
      <c r="H337" s="16"/>
      <c r="I337" s="16"/>
      <c r="J337" s="16"/>
      <c r="K337" s="16"/>
      <c r="L337" s="16"/>
      <c r="M337" s="1"/>
      <c r="N337" s="1"/>
      <c r="O337" s="1"/>
      <c r="P337" s="1"/>
      <c r="Q337" s="1"/>
      <c r="R337" s="1"/>
      <c r="S337" s="1"/>
      <c r="T337" s="1"/>
      <c r="U337" s="1"/>
      <c r="V337" s="1"/>
    </row>
    <row r="338" spans="1:22" ht="12.75" customHeight="1" x14ac:dyDescent="0.2">
      <c r="A338" s="16"/>
      <c r="B338" s="16"/>
      <c r="C338" s="16"/>
      <c r="D338" s="16"/>
      <c r="E338" s="16"/>
      <c r="F338" s="16"/>
      <c r="G338" s="16"/>
      <c r="H338" s="16"/>
      <c r="I338" s="16"/>
      <c r="J338" s="16"/>
      <c r="K338" s="16"/>
      <c r="L338" s="16"/>
      <c r="M338" s="1"/>
      <c r="N338" s="1"/>
      <c r="O338" s="1"/>
      <c r="P338" s="1"/>
      <c r="Q338" s="1"/>
      <c r="R338" s="1"/>
      <c r="S338" s="1"/>
      <c r="T338" s="1"/>
      <c r="U338" s="1"/>
      <c r="V338" s="1"/>
    </row>
    <row r="339" spans="1:22" ht="12.75" customHeight="1" x14ac:dyDescent="0.2">
      <c r="A339" s="16"/>
      <c r="B339" s="16"/>
      <c r="C339" s="16"/>
      <c r="D339" s="16"/>
      <c r="E339" s="16"/>
      <c r="F339" s="16"/>
      <c r="G339" s="16"/>
      <c r="H339" s="16"/>
      <c r="I339" s="16"/>
      <c r="J339" s="16"/>
      <c r="K339" s="16"/>
      <c r="L339" s="16"/>
      <c r="M339" s="1"/>
      <c r="N339" s="1"/>
      <c r="O339" s="1"/>
      <c r="P339" s="1"/>
      <c r="Q339" s="1"/>
      <c r="R339" s="1"/>
      <c r="S339" s="1"/>
      <c r="T339" s="1"/>
      <c r="U339" s="1"/>
      <c r="V339" s="1"/>
    </row>
    <row r="340" spans="1:22" ht="12.75" customHeight="1" x14ac:dyDescent="0.2">
      <c r="A340" s="16"/>
      <c r="B340" s="16"/>
      <c r="C340" s="16"/>
      <c r="D340" s="16"/>
      <c r="E340" s="16"/>
      <c r="F340" s="16"/>
      <c r="G340" s="16"/>
      <c r="H340" s="16"/>
      <c r="I340" s="16"/>
      <c r="J340" s="16"/>
      <c r="K340" s="16"/>
      <c r="L340" s="16"/>
      <c r="M340" s="1"/>
      <c r="N340" s="1"/>
      <c r="O340" s="1"/>
      <c r="P340" s="1"/>
      <c r="Q340" s="1"/>
      <c r="R340" s="1"/>
      <c r="S340" s="1"/>
      <c r="T340" s="1"/>
      <c r="U340" s="1"/>
      <c r="V340" s="1"/>
    </row>
    <row r="341" spans="1:22" ht="12.75" customHeight="1" x14ac:dyDescent="0.2">
      <c r="A341" s="16"/>
      <c r="B341" s="16"/>
      <c r="C341" s="16"/>
      <c r="D341" s="16"/>
      <c r="E341" s="16"/>
      <c r="F341" s="16"/>
      <c r="G341" s="16"/>
      <c r="H341" s="16"/>
      <c r="I341" s="16"/>
      <c r="J341" s="16"/>
      <c r="K341" s="16"/>
      <c r="L341" s="16"/>
      <c r="M341" s="1"/>
      <c r="N341" s="1"/>
      <c r="O341" s="1"/>
      <c r="P341" s="1"/>
      <c r="Q341" s="1"/>
      <c r="R341" s="1"/>
      <c r="S341" s="1"/>
      <c r="T341" s="1"/>
      <c r="U341" s="1"/>
      <c r="V341" s="1"/>
    </row>
    <row r="342" spans="1:22" ht="12.75" customHeight="1" x14ac:dyDescent="0.2">
      <c r="A342" s="16"/>
      <c r="B342" s="16"/>
      <c r="C342" s="16"/>
      <c r="D342" s="16"/>
      <c r="E342" s="16"/>
      <c r="F342" s="16"/>
      <c r="G342" s="16"/>
      <c r="H342" s="16"/>
      <c r="I342" s="16"/>
      <c r="J342" s="16"/>
      <c r="K342" s="16"/>
      <c r="L342" s="16"/>
      <c r="M342" s="1"/>
      <c r="N342" s="1"/>
      <c r="O342" s="1"/>
      <c r="P342" s="1"/>
      <c r="Q342" s="1"/>
      <c r="R342" s="1"/>
      <c r="S342" s="1"/>
      <c r="T342" s="1"/>
      <c r="U342" s="1"/>
      <c r="V342" s="1"/>
    </row>
    <row r="343" spans="1:22" ht="12.75" customHeight="1" x14ac:dyDescent="0.2">
      <c r="A343" s="16"/>
      <c r="B343" s="16"/>
      <c r="C343" s="16"/>
      <c r="D343" s="16"/>
      <c r="E343" s="16"/>
      <c r="F343" s="16"/>
      <c r="G343" s="16"/>
      <c r="H343" s="16"/>
      <c r="I343" s="16"/>
      <c r="J343" s="16"/>
      <c r="K343" s="16"/>
      <c r="L343" s="16"/>
      <c r="M343" s="1"/>
      <c r="N343" s="1"/>
      <c r="O343" s="1"/>
      <c r="P343" s="1"/>
      <c r="Q343" s="1"/>
      <c r="R343" s="1"/>
      <c r="S343" s="1"/>
      <c r="T343" s="1"/>
      <c r="U343" s="1"/>
      <c r="V343" s="1"/>
    </row>
    <row r="344" spans="1:22" ht="12.75" customHeight="1" x14ac:dyDescent="0.2">
      <c r="A344" s="16"/>
      <c r="B344" s="16"/>
      <c r="C344" s="16"/>
      <c r="D344" s="16"/>
      <c r="E344" s="16"/>
      <c r="F344" s="16"/>
      <c r="G344" s="16"/>
      <c r="H344" s="16"/>
      <c r="I344" s="16"/>
      <c r="J344" s="16"/>
      <c r="K344" s="16"/>
      <c r="L344" s="16"/>
      <c r="M344" s="1"/>
      <c r="N344" s="1"/>
      <c r="O344" s="1"/>
      <c r="P344" s="1"/>
      <c r="Q344" s="1"/>
      <c r="R344" s="1"/>
      <c r="S344" s="1"/>
      <c r="T344" s="1"/>
      <c r="U344" s="1"/>
      <c r="V344" s="1"/>
    </row>
    <row r="345" spans="1:22" ht="12.75" customHeight="1" x14ac:dyDescent="0.2">
      <c r="A345" s="16"/>
      <c r="B345" s="16"/>
      <c r="C345" s="16"/>
      <c r="D345" s="16"/>
      <c r="E345" s="16"/>
      <c r="F345" s="16"/>
      <c r="G345" s="16"/>
      <c r="H345" s="16"/>
      <c r="I345" s="16"/>
      <c r="J345" s="16"/>
      <c r="K345" s="16"/>
      <c r="L345" s="16"/>
      <c r="M345" s="1"/>
      <c r="N345" s="1"/>
      <c r="O345" s="1"/>
      <c r="P345" s="1"/>
      <c r="Q345" s="1"/>
      <c r="R345" s="1"/>
      <c r="S345" s="1"/>
      <c r="T345" s="1"/>
      <c r="U345" s="1"/>
      <c r="V345" s="1"/>
    </row>
    <row r="346" spans="1:22" ht="12.75" customHeight="1" x14ac:dyDescent="0.2">
      <c r="A346" s="16"/>
      <c r="B346" s="16"/>
      <c r="C346" s="16"/>
      <c r="D346" s="16"/>
      <c r="E346" s="16"/>
      <c r="F346" s="16"/>
      <c r="G346" s="16"/>
      <c r="H346" s="16"/>
      <c r="I346" s="16"/>
      <c r="J346" s="16"/>
      <c r="K346" s="16"/>
      <c r="L346" s="16"/>
      <c r="M346" s="1"/>
      <c r="N346" s="1"/>
      <c r="O346" s="1"/>
      <c r="P346" s="1"/>
      <c r="Q346" s="1"/>
      <c r="R346" s="1"/>
      <c r="S346" s="1"/>
      <c r="T346" s="1"/>
      <c r="U346" s="1"/>
      <c r="V346" s="1"/>
    </row>
    <row r="347" spans="1:22" ht="12.75" customHeight="1" x14ac:dyDescent="0.2">
      <c r="A347" s="16"/>
      <c r="B347" s="16"/>
      <c r="C347" s="16"/>
      <c r="D347" s="16"/>
      <c r="E347" s="16"/>
      <c r="F347" s="16"/>
      <c r="G347" s="16"/>
      <c r="H347" s="16"/>
      <c r="I347" s="16"/>
      <c r="J347" s="16"/>
      <c r="K347" s="16"/>
      <c r="L347" s="16"/>
      <c r="M347" s="1"/>
      <c r="N347" s="1"/>
      <c r="O347" s="1"/>
      <c r="P347" s="1"/>
      <c r="Q347" s="1"/>
      <c r="R347" s="1"/>
      <c r="S347" s="1"/>
      <c r="T347" s="1"/>
      <c r="U347" s="1"/>
      <c r="V347" s="1"/>
    </row>
    <row r="348" spans="1:22" ht="12.75" customHeight="1" x14ac:dyDescent="0.2">
      <c r="A348" s="16"/>
      <c r="B348" s="16"/>
      <c r="C348" s="16"/>
      <c r="D348" s="16"/>
      <c r="E348" s="16"/>
      <c r="F348" s="16"/>
      <c r="G348" s="16"/>
      <c r="H348" s="16"/>
      <c r="I348" s="16"/>
      <c r="J348" s="16"/>
      <c r="K348" s="16"/>
      <c r="L348" s="16"/>
      <c r="M348" s="1"/>
      <c r="N348" s="1"/>
      <c r="O348" s="1"/>
      <c r="P348" s="1"/>
      <c r="Q348" s="1"/>
      <c r="R348" s="1"/>
      <c r="S348" s="1"/>
      <c r="T348" s="1"/>
      <c r="U348" s="1"/>
      <c r="V348" s="1"/>
    </row>
    <row r="349" spans="1:22" ht="12.75" customHeight="1" x14ac:dyDescent="0.2">
      <c r="A349" s="16"/>
      <c r="B349" s="16"/>
      <c r="C349" s="16"/>
      <c r="D349" s="16"/>
      <c r="E349" s="16"/>
      <c r="F349" s="16"/>
      <c r="G349" s="16"/>
      <c r="H349" s="16"/>
      <c r="I349" s="16"/>
      <c r="J349" s="16"/>
      <c r="K349" s="16"/>
      <c r="L349" s="16"/>
      <c r="M349" s="1"/>
      <c r="N349" s="1"/>
      <c r="O349" s="1"/>
      <c r="P349" s="1"/>
      <c r="Q349" s="1"/>
      <c r="R349" s="1"/>
      <c r="S349" s="1"/>
      <c r="T349" s="1"/>
      <c r="U349" s="1"/>
      <c r="V349" s="1"/>
    </row>
    <row r="350" spans="1:22" ht="12.75" customHeight="1" x14ac:dyDescent="0.2">
      <c r="A350" s="16"/>
      <c r="B350" s="16"/>
      <c r="C350" s="16"/>
      <c r="D350" s="16"/>
      <c r="E350" s="16"/>
      <c r="F350" s="16"/>
      <c r="G350" s="16"/>
      <c r="H350" s="16"/>
      <c r="I350" s="16"/>
      <c r="J350" s="16"/>
      <c r="K350" s="16"/>
      <c r="L350" s="16"/>
      <c r="M350" s="1"/>
      <c r="N350" s="1"/>
      <c r="O350" s="1"/>
      <c r="P350" s="1"/>
      <c r="Q350" s="1"/>
      <c r="R350" s="1"/>
      <c r="S350" s="1"/>
      <c r="T350" s="1"/>
      <c r="U350" s="1"/>
      <c r="V350" s="1"/>
    </row>
    <row r="351" spans="1:22" ht="12.75" customHeight="1" x14ac:dyDescent="0.2">
      <c r="A351" s="16"/>
      <c r="B351" s="16"/>
      <c r="C351" s="16"/>
      <c r="D351" s="16"/>
      <c r="E351" s="16"/>
      <c r="F351" s="16"/>
      <c r="G351" s="16"/>
      <c r="H351" s="16"/>
      <c r="I351" s="16"/>
      <c r="J351" s="16"/>
      <c r="K351" s="16"/>
      <c r="L351" s="16"/>
      <c r="M351" s="1"/>
      <c r="N351" s="1"/>
      <c r="O351" s="1"/>
      <c r="P351" s="1"/>
      <c r="Q351" s="1"/>
      <c r="R351" s="1"/>
      <c r="S351" s="1"/>
      <c r="T351" s="1"/>
      <c r="U351" s="1"/>
      <c r="V351" s="1"/>
    </row>
    <row r="352" spans="1:22" ht="12.75" customHeight="1" x14ac:dyDescent="0.2">
      <c r="A352" s="16"/>
      <c r="B352" s="16"/>
      <c r="C352" s="16"/>
      <c r="D352" s="16"/>
      <c r="E352" s="16"/>
      <c r="F352" s="16"/>
      <c r="G352" s="16"/>
      <c r="H352" s="16"/>
      <c r="I352" s="16"/>
      <c r="J352" s="16"/>
      <c r="K352" s="16"/>
      <c r="L352" s="16"/>
      <c r="M352" s="1"/>
      <c r="N352" s="1"/>
      <c r="O352" s="1"/>
      <c r="P352" s="1"/>
      <c r="Q352" s="1"/>
      <c r="R352" s="1"/>
      <c r="S352" s="1"/>
      <c r="T352" s="1"/>
      <c r="U352" s="1"/>
      <c r="V352" s="1"/>
    </row>
    <row r="353" spans="1:22" ht="12.75" customHeight="1" x14ac:dyDescent="0.2">
      <c r="A353" s="16"/>
      <c r="B353" s="16"/>
      <c r="C353" s="16"/>
      <c r="D353" s="16"/>
      <c r="E353" s="16"/>
      <c r="F353" s="16"/>
      <c r="G353" s="16"/>
      <c r="H353" s="16"/>
      <c r="I353" s="16"/>
      <c r="J353" s="16"/>
      <c r="K353" s="16"/>
      <c r="L353" s="16"/>
      <c r="M353" s="1"/>
      <c r="N353" s="1"/>
      <c r="O353" s="1"/>
      <c r="P353" s="1"/>
      <c r="Q353" s="1"/>
      <c r="R353" s="1"/>
      <c r="S353" s="1"/>
      <c r="T353" s="1"/>
      <c r="U353" s="1"/>
      <c r="V353" s="1"/>
    </row>
    <row r="354" spans="1:22" ht="12.75" customHeight="1" x14ac:dyDescent="0.2">
      <c r="A354" s="16"/>
      <c r="B354" s="16"/>
      <c r="C354" s="16"/>
      <c r="D354" s="16"/>
      <c r="E354" s="16"/>
      <c r="F354" s="16"/>
      <c r="G354" s="16"/>
      <c r="H354" s="16"/>
      <c r="I354" s="16"/>
      <c r="J354" s="16"/>
      <c r="K354" s="16"/>
      <c r="L354" s="16"/>
      <c r="M354" s="1"/>
      <c r="N354" s="1"/>
      <c r="O354" s="1"/>
      <c r="P354" s="1"/>
      <c r="Q354" s="1"/>
      <c r="R354" s="1"/>
      <c r="S354" s="1"/>
      <c r="T354" s="1"/>
      <c r="U354" s="1"/>
      <c r="V354" s="1"/>
    </row>
    <row r="355" spans="1:22" ht="12.75" customHeight="1" x14ac:dyDescent="0.2">
      <c r="A355" s="16"/>
      <c r="B355" s="16"/>
      <c r="C355" s="16"/>
      <c r="D355" s="16"/>
      <c r="E355" s="16"/>
      <c r="F355" s="16"/>
      <c r="G355" s="16"/>
      <c r="H355" s="16"/>
      <c r="I355" s="16"/>
      <c r="J355" s="16"/>
      <c r="K355" s="16"/>
      <c r="L355" s="16"/>
      <c r="M355" s="1"/>
      <c r="N355" s="1"/>
      <c r="O355" s="1"/>
      <c r="P355" s="1"/>
      <c r="Q355" s="1"/>
      <c r="R355" s="1"/>
      <c r="S355" s="1"/>
      <c r="T355" s="1"/>
      <c r="U355" s="1"/>
      <c r="V355" s="1"/>
    </row>
    <row r="356" spans="1:22" ht="12.75" customHeight="1" x14ac:dyDescent="0.2">
      <c r="A356" s="16"/>
      <c r="B356" s="16"/>
      <c r="C356" s="16"/>
      <c r="D356" s="16"/>
      <c r="E356" s="16"/>
      <c r="F356" s="16"/>
      <c r="G356" s="16"/>
      <c r="H356" s="16"/>
      <c r="I356" s="16"/>
      <c r="J356" s="16"/>
      <c r="K356" s="16"/>
      <c r="L356" s="16"/>
      <c r="M356" s="1"/>
      <c r="N356" s="1"/>
      <c r="O356" s="1"/>
      <c r="P356" s="1"/>
      <c r="Q356" s="1"/>
      <c r="R356" s="1"/>
      <c r="S356" s="1"/>
      <c r="T356" s="1"/>
      <c r="U356" s="1"/>
      <c r="V356" s="1"/>
    </row>
    <row r="357" spans="1:22" ht="12.75" customHeight="1" x14ac:dyDescent="0.2">
      <c r="A357" s="16"/>
      <c r="B357" s="16"/>
      <c r="C357" s="16"/>
      <c r="D357" s="16"/>
      <c r="E357" s="16"/>
      <c r="F357" s="16"/>
      <c r="G357" s="16"/>
      <c r="H357" s="16"/>
      <c r="I357" s="16"/>
      <c r="J357" s="16"/>
      <c r="K357" s="16"/>
      <c r="L357" s="16"/>
      <c r="M357" s="1"/>
      <c r="N357" s="1"/>
      <c r="O357" s="1"/>
      <c r="P357" s="1"/>
      <c r="Q357" s="1"/>
      <c r="R357" s="1"/>
      <c r="S357" s="1"/>
      <c r="T357" s="1"/>
      <c r="U357" s="1"/>
      <c r="V357" s="1"/>
    </row>
    <row r="358" spans="1:22" ht="12.75" customHeight="1" x14ac:dyDescent="0.2">
      <c r="A358" s="16"/>
      <c r="B358" s="16"/>
      <c r="C358" s="16"/>
      <c r="D358" s="16"/>
      <c r="E358" s="16"/>
      <c r="F358" s="16"/>
      <c r="G358" s="16"/>
      <c r="H358" s="16"/>
      <c r="I358" s="16"/>
      <c r="J358" s="16"/>
      <c r="K358" s="16"/>
      <c r="L358" s="16"/>
      <c r="M358" s="1"/>
      <c r="N358" s="1"/>
      <c r="O358" s="1"/>
      <c r="P358" s="1"/>
      <c r="Q358" s="1"/>
      <c r="R358" s="1"/>
      <c r="S358" s="1"/>
      <c r="T358" s="1"/>
      <c r="U358" s="1"/>
      <c r="V358" s="1"/>
    </row>
    <row r="359" spans="1:22" ht="12.75" customHeight="1" x14ac:dyDescent="0.2">
      <c r="A359" s="16"/>
      <c r="B359" s="16"/>
      <c r="C359" s="16"/>
      <c r="D359" s="16"/>
      <c r="E359" s="16"/>
      <c r="F359" s="16"/>
      <c r="G359" s="16"/>
      <c r="H359" s="16"/>
      <c r="I359" s="16"/>
      <c r="J359" s="16"/>
      <c r="K359" s="16"/>
      <c r="L359" s="16"/>
      <c r="M359" s="1"/>
      <c r="N359" s="1"/>
      <c r="O359" s="1"/>
      <c r="P359" s="1"/>
      <c r="Q359" s="1"/>
      <c r="R359" s="1"/>
      <c r="S359" s="1"/>
      <c r="T359" s="1"/>
      <c r="U359" s="1"/>
      <c r="V359" s="1"/>
    </row>
    <row r="360" spans="1:22" ht="12.75" customHeight="1" x14ac:dyDescent="0.2">
      <c r="A360" s="16"/>
      <c r="B360" s="16"/>
      <c r="C360" s="16"/>
      <c r="D360" s="16"/>
      <c r="E360" s="16"/>
      <c r="F360" s="16"/>
      <c r="G360" s="16"/>
      <c r="H360" s="16"/>
      <c r="I360" s="16"/>
      <c r="J360" s="16"/>
      <c r="K360" s="16"/>
      <c r="L360" s="16"/>
      <c r="M360" s="1"/>
      <c r="N360" s="1"/>
      <c r="O360" s="1"/>
      <c r="P360" s="1"/>
      <c r="Q360" s="1"/>
      <c r="R360" s="1"/>
      <c r="S360" s="1"/>
      <c r="T360" s="1"/>
      <c r="U360" s="1"/>
      <c r="V360" s="1"/>
    </row>
    <row r="361" spans="1:22" ht="12.75" customHeight="1" x14ac:dyDescent="0.2">
      <c r="A361" s="16"/>
      <c r="B361" s="16"/>
      <c r="C361" s="16"/>
      <c r="D361" s="16"/>
      <c r="E361" s="16"/>
      <c r="F361" s="16"/>
      <c r="G361" s="16"/>
      <c r="H361" s="16"/>
      <c r="I361" s="16"/>
      <c r="J361" s="16"/>
      <c r="K361" s="16"/>
      <c r="L361" s="16"/>
      <c r="M361" s="1"/>
      <c r="N361" s="1"/>
      <c r="O361" s="1"/>
      <c r="P361" s="1"/>
      <c r="Q361" s="1"/>
      <c r="R361" s="1"/>
      <c r="S361" s="1"/>
      <c r="T361" s="1"/>
      <c r="U361" s="1"/>
      <c r="V361" s="1"/>
    </row>
    <row r="362" spans="1:22" ht="12.75" customHeight="1" x14ac:dyDescent="0.2">
      <c r="A362" s="16"/>
      <c r="B362" s="16"/>
      <c r="C362" s="16"/>
      <c r="D362" s="16"/>
      <c r="E362" s="16"/>
      <c r="F362" s="16"/>
      <c r="G362" s="16"/>
      <c r="H362" s="16"/>
      <c r="I362" s="16"/>
      <c r="J362" s="16"/>
      <c r="K362" s="16"/>
      <c r="L362" s="16"/>
      <c r="M362" s="1"/>
      <c r="N362" s="1"/>
      <c r="O362" s="1"/>
      <c r="P362" s="1"/>
      <c r="Q362" s="1"/>
      <c r="R362" s="1"/>
      <c r="S362" s="1"/>
      <c r="T362" s="1"/>
      <c r="U362" s="1"/>
      <c r="V362" s="1"/>
    </row>
    <row r="363" spans="1:22" ht="12.75" customHeight="1" x14ac:dyDescent="0.2">
      <c r="A363" s="16"/>
      <c r="B363" s="16"/>
      <c r="C363" s="16"/>
      <c r="D363" s="16"/>
      <c r="E363" s="16"/>
      <c r="F363" s="16"/>
      <c r="G363" s="16"/>
      <c r="H363" s="16"/>
      <c r="I363" s="16"/>
      <c r="J363" s="16"/>
      <c r="K363" s="16"/>
      <c r="L363" s="16"/>
      <c r="M363" s="1"/>
      <c r="N363" s="1"/>
      <c r="O363" s="1"/>
      <c r="P363" s="1"/>
      <c r="Q363" s="1"/>
      <c r="R363" s="1"/>
      <c r="S363" s="1"/>
      <c r="T363" s="1"/>
      <c r="U363" s="1"/>
      <c r="V363" s="1"/>
    </row>
    <row r="364" spans="1:22" ht="12.75" customHeight="1" x14ac:dyDescent="0.2">
      <c r="A364" s="16"/>
      <c r="B364" s="16"/>
      <c r="C364" s="16"/>
      <c r="D364" s="16"/>
      <c r="E364" s="16"/>
      <c r="F364" s="16"/>
      <c r="G364" s="16"/>
      <c r="H364" s="16"/>
      <c r="I364" s="16"/>
      <c r="J364" s="16"/>
      <c r="K364" s="16"/>
      <c r="L364" s="16"/>
      <c r="M364" s="1"/>
      <c r="N364" s="1"/>
      <c r="O364" s="1"/>
      <c r="P364" s="1"/>
      <c r="Q364" s="1"/>
      <c r="R364" s="1"/>
      <c r="S364" s="1"/>
      <c r="T364" s="1"/>
      <c r="U364" s="1"/>
      <c r="V364" s="1"/>
    </row>
    <row r="365" spans="1:22" ht="12.75" customHeight="1" x14ac:dyDescent="0.2">
      <c r="A365" s="16"/>
      <c r="B365" s="16"/>
      <c r="C365" s="16"/>
      <c r="D365" s="16"/>
      <c r="E365" s="16"/>
      <c r="F365" s="16"/>
      <c r="G365" s="16"/>
      <c r="H365" s="16"/>
      <c r="I365" s="16"/>
      <c r="J365" s="16"/>
      <c r="K365" s="16"/>
      <c r="L365" s="16"/>
      <c r="M365" s="1"/>
      <c r="N365" s="1"/>
      <c r="O365" s="1"/>
      <c r="P365" s="1"/>
      <c r="Q365" s="1"/>
      <c r="R365" s="1"/>
      <c r="S365" s="1"/>
      <c r="T365" s="1"/>
      <c r="U365" s="1"/>
      <c r="V365" s="1"/>
    </row>
    <row r="366" spans="1:22" ht="12.75" customHeight="1" x14ac:dyDescent="0.2">
      <c r="A366" s="16"/>
      <c r="B366" s="16"/>
      <c r="C366" s="16"/>
      <c r="D366" s="16"/>
      <c r="E366" s="16"/>
      <c r="F366" s="16"/>
      <c r="G366" s="16"/>
      <c r="H366" s="16"/>
      <c r="I366" s="16"/>
      <c r="J366" s="16"/>
      <c r="K366" s="16"/>
      <c r="L366" s="16"/>
      <c r="M366" s="1"/>
      <c r="N366" s="1"/>
      <c r="O366" s="1"/>
      <c r="P366" s="1"/>
      <c r="Q366" s="1"/>
      <c r="R366" s="1"/>
      <c r="S366" s="1"/>
      <c r="T366" s="1"/>
      <c r="U366" s="1"/>
      <c r="V366" s="1"/>
    </row>
    <row r="367" spans="1:22" ht="12.75" customHeight="1" x14ac:dyDescent="0.2">
      <c r="A367" s="16"/>
      <c r="B367" s="16"/>
      <c r="C367" s="16"/>
      <c r="D367" s="16"/>
      <c r="E367" s="16"/>
      <c r="F367" s="16"/>
      <c r="G367" s="16"/>
      <c r="H367" s="16"/>
      <c r="I367" s="16"/>
      <c r="J367" s="16"/>
      <c r="K367" s="16"/>
      <c r="L367" s="16"/>
      <c r="M367" s="1"/>
      <c r="N367" s="1"/>
      <c r="O367" s="1"/>
      <c r="P367" s="1"/>
      <c r="Q367" s="1"/>
      <c r="R367" s="1"/>
      <c r="S367" s="1"/>
      <c r="T367" s="1"/>
      <c r="U367" s="1"/>
      <c r="V367" s="1"/>
    </row>
    <row r="368" spans="1:22" ht="12.75" customHeight="1" x14ac:dyDescent="0.2">
      <c r="A368" s="16"/>
      <c r="B368" s="16"/>
      <c r="C368" s="16"/>
      <c r="D368" s="16"/>
      <c r="E368" s="16"/>
      <c r="F368" s="16"/>
      <c r="G368" s="16"/>
      <c r="H368" s="16"/>
      <c r="I368" s="16"/>
      <c r="J368" s="16"/>
      <c r="K368" s="16"/>
      <c r="L368" s="16"/>
      <c r="M368" s="1"/>
      <c r="N368" s="1"/>
      <c r="O368" s="1"/>
      <c r="P368" s="1"/>
      <c r="Q368" s="1"/>
      <c r="R368" s="1"/>
      <c r="S368" s="1"/>
      <c r="T368" s="1"/>
      <c r="U368" s="1"/>
      <c r="V368" s="1"/>
    </row>
    <row r="369" spans="1:22" ht="12.75" customHeight="1" x14ac:dyDescent="0.2">
      <c r="A369" s="16"/>
      <c r="B369" s="16"/>
      <c r="C369" s="16"/>
      <c r="D369" s="16"/>
      <c r="E369" s="16"/>
      <c r="F369" s="16"/>
      <c r="G369" s="16"/>
      <c r="H369" s="16"/>
      <c r="I369" s="16"/>
      <c r="J369" s="16"/>
      <c r="K369" s="16"/>
      <c r="L369" s="16"/>
      <c r="M369" s="1"/>
      <c r="N369" s="1"/>
      <c r="O369" s="1"/>
      <c r="P369" s="1"/>
      <c r="Q369" s="1"/>
      <c r="R369" s="1"/>
      <c r="S369" s="1"/>
      <c r="T369" s="1"/>
      <c r="U369" s="1"/>
      <c r="V369" s="1"/>
    </row>
    <row r="370" spans="1:22" ht="12.75" customHeight="1" x14ac:dyDescent="0.2">
      <c r="A370" s="16"/>
      <c r="B370" s="16"/>
      <c r="C370" s="16"/>
      <c r="D370" s="16"/>
      <c r="E370" s="16"/>
      <c r="F370" s="16"/>
      <c r="G370" s="16"/>
      <c r="H370" s="16"/>
      <c r="I370" s="16"/>
      <c r="J370" s="16"/>
      <c r="K370" s="16"/>
      <c r="L370" s="16"/>
      <c r="M370" s="1"/>
      <c r="N370" s="1"/>
      <c r="O370" s="1"/>
      <c r="P370" s="1"/>
      <c r="Q370" s="1"/>
      <c r="R370" s="1"/>
      <c r="S370" s="1"/>
      <c r="T370" s="1"/>
      <c r="U370" s="1"/>
      <c r="V370" s="1"/>
    </row>
    <row r="371" spans="1:22" ht="12.75" customHeight="1" x14ac:dyDescent="0.2">
      <c r="A371" s="16"/>
      <c r="B371" s="16"/>
      <c r="C371" s="16"/>
      <c r="D371" s="16"/>
      <c r="E371" s="16"/>
      <c r="F371" s="16"/>
      <c r="G371" s="16"/>
      <c r="H371" s="16"/>
      <c r="I371" s="16"/>
      <c r="J371" s="16"/>
      <c r="K371" s="16"/>
      <c r="L371" s="16"/>
      <c r="M371" s="1"/>
      <c r="N371" s="1"/>
      <c r="O371" s="1"/>
      <c r="P371" s="1"/>
      <c r="Q371" s="1"/>
      <c r="R371" s="1"/>
      <c r="S371" s="1"/>
      <c r="T371" s="1"/>
      <c r="U371" s="1"/>
      <c r="V371" s="1"/>
    </row>
    <row r="372" spans="1:22" ht="12.75" customHeight="1" x14ac:dyDescent="0.2">
      <c r="A372" s="16"/>
      <c r="B372" s="16"/>
      <c r="C372" s="16"/>
      <c r="D372" s="16"/>
      <c r="E372" s="16"/>
      <c r="F372" s="16"/>
      <c r="G372" s="16"/>
      <c r="H372" s="16"/>
      <c r="I372" s="16"/>
      <c r="J372" s="16"/>
      <c r="K372" s="16"/>
      <c r="L372" s="16"/>
      <c r="M372" s="1"/>
      <c r="N372" s="1"/>
      <c r="O372" s="1"/>
      <c r="P372" s="1"/>
      <c r="Q372" s="1"/>
      <c r="R372" s="1"/>
      <c r="S372" s="1"/>
      <c r="T372" s="1"/>
      <c r="U372" s="1"/>
      <c r="V372" s="1"/>
    </row>
    <row r="373" spans="1:22" ht="12.75" customHeight="1" x14ac:dyDescent="0.2">
      <c r="A373" s="16"/>
      <c r="B373" s="16"/>
      <c r="C373" s="16"/>
      <c r="D373" s="16"/>
      <c r="E373" s="16"/>
      <c r="F373" s="16"/>
      <c r="G373" s="16"/>
      <c r="H373" s="16"/>
      <c r="I373" s="16"/>
      <c r="J373" s="16"/>
      <c r="K373" s="16"/>
      <c r="L373" s="16"/>
      <c r="M373" s="1"/>
      <c r="N373" s="1"/>
      <c r="O373" s="1"/>
      <c r="P373" s="1"/>
      <c r="Q373" s="1"/>
      <c r="R373" s="1"/>
      <c r="S373" s="1"/>
      <c r="T373" s="1"/>
      <c r="U373" s="1"/>
      <c r="V373" s="1"/>
    </row>
    <row r="374" spans="1:22" ht="12.75" customHeight="1" x14ac:dyDescent="0.2">
      <c r="A374" s="16"/>
      <c r="B374" s="16"/>
      <c r="C374" s="16"/>
      <c r="D374" s="16"/>
      <c r="E374" s="16"/>
      <c r="F374" s="16"/>
      <c r="G374" s="16"/>
      <c r="H374" s="16"/>
      <c r="I374" s="16"/>
      <c r="J374" s="16"/>
      <c r="K374" s="16"/>
      <c r="L374" s="16"/>
      <c r="M374" s="1"/>
      <c r="N374" s="1"/>
      <c r="O374" s="1"/>
      <c r="P374" s="1"/>
      <c r="Q374" s="1"/>
      <c r="R374" s="1"/>
      <c r="S374" s="1"/>
      <c r="T374" s="1"/>
      <c r="U374" s="1"/>
      <c r="V374" s="1"/>
    </row>
    <row r="375" spans="1:22" ht="12.75" customHeight="1" x14ac:dyDescent="0.2">
      <c r="A375" s="16"/>
      <c r="B375" s="16"/>
      <c r="C375" s="16"/>
      <c r="D375" s="16"/>
      <c r="E375" s="16"/>
      <c r="F375" s="16"/>
      <c r="G375" s="16"/>
      <c r="H375" s="16"/>
      <c r="I375" s="16"/>
      <c r="J375" s="16"/>
      <c r="K375" s="16"/>
      <c r="L375" s="16"/>
      <c r="M375" s="1"/>
      <c r="N375" s="1"/>
      <c r="O375" s="1"/>
      <c r="P375" s="1"/>
      <c r="Q375" s="1"/>
      <c r="R375" s="1"/>
      <c r="S375" s="1"/>
      <c r="T375" s="1"/>
      <c r="U375" s="1"/>
      <c r="V375" s="1"/>
    </row>
    <row r="376" spans="1:22" ht="12.75" customHeight="1" x14ac:dyDescent="0.2">
      <c r="A376" s="16"/>
      <c r="B376" s="16"/>
      <c r="C376" s="16"/>
      <c r="D376" s="16"/>
      <c r="E376" s="16"/>
      <c r="F376" s="16"/>
      <c r="G376" s="16"/>
      <c r="H376" s="16"/>
      <c r="I376" s="16"/>
      <c r="J376" s="16"/>
      <c r="K376" s="16"/>
      <c r="L376" s="16"/>
      <c r="M376" s="1"/>
      <c r="N376" s="1"/>
      <c r="O376" s="1"/>
      <c r="P376" s="1"/>
      <c r="Q376" s="1"/>
      <c r="R376" s="1"/>
      <c r="S376" s="1"/>
      <c r="T376" s="1"/>
      <c r="U376" s="1"/>
      <c r="V376" s="1"/>
    </row>
    <row r="377" spans="1:22" ht="12.75" customHeight="1" x14ac:dyDescent="0.2">
      <c r="A377" s="16"/>
      <c r="B377" s="16"/>
      <c r="C377" s="16"/>
      <c r="D377" s="16"/>
      <c r="E377" s="16"/>
      <c r="F377" s="16"/>
      <c r="G377" s="16"/>
      <c r="H377" s="16"/>
      <c r="I377" s="16"/>
      <c r="J377" s="16"/>
      <c r="K377" s="16"/>
      <c r="L377" s="16"/>
      <c r="M377" s="1"/>
      <c r="N377" s="1"/>
      <c r="O377" s="1"/>
      <c r="P377" s="1"/>
      <c r="Q377" s="1"/>
      <c r="R377" s="1"/>
      <c r="S377" s="1"/>
      <c r="T377" s="1"/>
      <c r="U377" s="1"/>
      <c r="V377" s="1"/>
    </row>
    <row r="378" spans="1:22" ht="12.75" customHeight="1" x14ac:dyDescent="0.2">
      <c r="A378" s="16"/>
      <c r="B378" s="16"/>
      <c r="C378" s="16"/>
      <c r="D378" s="16"/>
      <c r="E378" s="16"/>
      <c r="F378" s="16"/>
      <c r="G378" s="16"/>
      <c r="H378" s="16"/>
      <c r="I378" s="16"/>
      <c r="J378" s="16"/>
      <c r="K378" s="16"/>
      <c r="L378" s="16"/>
      <c r="M378" s="1"/>
      <c r="N378" s="1"/>
      <c r="O378" s="1"/>
      <c r="P378" s="1"/>
      <c r="Q378" s="1"/>
      <c r="R378" s="1"/>
      <c r="S378" s="1"/>
      <c r="T378" s="1"/>
      <c r="U378" s="1"/>
      <c r="V378" s="1"/>
    </row>
    <row r="379" spans="1:22" ht="12.75" customHeight="1" x14ac:dyDescent="0.2">
      <c r="A379" s="16"/>
      <c r="B379" s="16"/>
      <c r="C379" s="16"/>
      <c r="D379" s="16"/>
      <c r="E379" s="16"/>
      <c r="F379" s="16"/>
      <c r="G379" s="16"/>
      <c r="H379" s="16"/>
      <c r="I379" s="16"/>
      <c r="J379" s="16"/>
      <c r="K379" s="16"/>
      <c r="L379" s="16"/>
      <c r="M379" s="1"/>
      <c r="N379" s="1"/>
      <c r="O379" s="1"/>
      <c r="P379" s="1"/>
      <c r="Q379" s="1"/>
      <c r="R379" s="1"/>
      <c r="S379" s="1"/>
      <c r="T379" s="1"/>
      <c r="U379" s="1"/>
      <c r="V379" s="1"/>
    </row>
    <row r="380" spans="1:22" ht="12.75" customHeight="1" x14ac:dyDescent="0.2">
      <c r="A380" s="16"/>
      <c r="B380" s="16"/>
      <c r="C380" s="16"/>
      <c r="D380" s="16"/>
      <c r="E380" s="16"/>
      <c r="F380" s="16"/>
      <c r="G380" s="16"/>
      <c r="H380" s="16"/>
      <c r="I380" s="16"/>
      <c r="J380" s="16"/>
      <c r="K380" s="16"/>
      <c r="L380" s="16"/>
      <c r="M380" s="1"/>
      <c r="N380" s="1"/>
      <c r="O380" s="1"/>
      <c r="P380" s="1"/>
      <c r="Q380" s="1"/>
      <c r="R380" s="1"/>
      <c r="S380" s="1"/>
      <c r="T380" s="1"/>
      <c r="U380" s="1"/>
      <c r="V380" s="1"/>
    </row>
    <row r="381" spans="1:22" ht="12.75" customHeight="1" x14ac:dyDescent="0.2">
      <c r="A381" s="16"/>
      <c r="B381" s="16"/>
      <c r="C381" s="16"/>
      <c r="D381" s="16"/>
      <c r="E381" s="16"/>
      <c r="F381" s="16"/>
      <c r="G381" s="16"/>
      <c r="H381" s="16"/>
      <c r="I381" s="16"/>
      <c r="J381" s="16"/>
      <c r="K381" s="16"/>
      <c r="L381" s="16"/>
      <c r="M381" s="1"/>
      <c r="N381" s="1"/>
      <c r="O381" s="1"/>
      <c r="P381" s="1"/>
      <c r="Q381" s="1"/>
      <c r="R381" s="1"/>
      <c r="S381" s="1"/>
      <c r="T381" s="1"/>
      <c r="U381" s="1"/>
      <c r="V381" s="1"/>
    </row>
    <row r="382" spans="1:22" ht="12.75" customHeight="1" x14ac:dyDescent="0.2">
      <c r="A382" s="16"/>
      <c r="B382" s="16"/>
      <c r="C382" s="16"/>
      <c r="D382" s="16"/>
      <c r="E382" s="16"/>
      <c r="F382" s="16"/>
      <c r="G382" s="16"/>
      <c r="H382" s="16"/>
      <c r="I382" s="16"/>
      <c r="J382" s="16"/>
      <c r="K382" s="16"/>
      <c r="L382" s="16"/>
      <c r="M382" s="1"/>
      <c r="N382" s="1"/>
      <c r="O382" s="1"/>
      <c r="P382" s="1"/>
      <c r="Q382" s="1"/>
      <c r="R382" s="1"/>
      <c r="S382" s="1"/>
      <c r="T382" s="1"/>
      <c r="U382" s="1"/>
      <c r="V382" s="1"/>
    </row>
    <row r="383" spans="1:22" ht="12.75" customHeight="1" x14ac:dyDescent="0.2">
      <c r="A383" s="16"/>
      <c r="B383" s="16"/>
      <c r="C383" s="16"/>
      <c r="D383" s="16"/>
      <c r="E383" s="16"/>
      <c r="F383" s="16"/>
      <c r="G383" s="16"/>
      <c r="H383" s="16"/>
      <c r="I383" s="16"/>
      <c r="J383" s="16"/>
      <c r="K383" s="16"/>
      <c r="L383" s="16"/>
      <c r="M383" s="1"/>
      <c r="N383" s="1"/>
      <c r="O383" s="1"/>
      <c r="P383" s="1"/>
      <c r="Q383" s="1"/>
      <c r="R383" s="1"/>
      <c r="S383" s="1"/>
      <c r="T383" s="1"/>
      <c r="U383" s="1"/>
      <c r="V383" s="1"/>
    </row>
    <row r="384" spans="1:22" ht="12.75" customHeight="1" x14ac:dyDescent="0.2">
      <c r="A384" s="16"/>
      <c r="B384" s="16"/>
      <c r="C384" s="16"/>
      <c r="D384" s="16"/>
      <c r="E384" s="16"/>
      <c r="F384" s="16"/>
      <c r="G384" s="16"/>
      <c r="H384" s="16"/>
      <c r="I384" s="16"/>
      <c r="J384" s="16"/>
      <c r="K384" s="16"/>
      <c r="L384" s="16"/>
      <c r="M384" s="1"/>
      <c r="N384" s="1"/>
      <c r="O384" s="1"/>
      <c r="P384" s="1"/>
      <c r="Q384" s="1"/>
      <c r="R384" s="1"/>
      <c r="S384" s="1"/>
      <c r="T384" s="1"/>
      <c r="U384" s="1"/>
      <c r="V384" s="1"/>
    </row>
    <row r="385" spans="1:22" ht="12.75" customHeight="1" x14ac:dyDescent="0.2">
      <c r="A385" s="16"/>
      <c r="B385" s="16"/>
      <c r="C385" s="16"/>
      <c r="D385" s="16"/>
      <c r="E385" s="16"/>
      <c r="F385" s="16"/>
      <c r="G385" s="16"/>
      <c r="H385" s="16"/>
      <c r="I385" s="16"/>
      <c r="J385" s="16"/>
      <c r="K385" s="16"/>
      <c r="L385" s="16"/>
      <c r="M385" s="1"/>
      <c r="N385" s="1"/>
      <c r="O385" s="1"/>
      <c r="P385" s="1"/>
      <c r="Q385" s="1"/>
      <c r="R385" s="1"/>
      <c r="S385" s="1"/>
      <c r="T385" s="1"/>
      <c r="U385" s="1"/>
      <c r="V385" s="1"/>
    </row>
    <row r="386" spans="1:22" ht="12.75" customHeight="1" x14ac:dyDescent="0.2">
      <c r="A386" s="16"/>
      <c r="B386" s="16"/>
      <c r="C386" s="16"/>
      <c r="D386" s="16"/>
      <c r="E386" s="16"/>
      <c r="F386" s="16"/>
      <c r="G386" s="16"/>
      <c r="H386" s="16"/>
      <c r="I386" s="16"/>
      <c r="J386" s="16"/>
      <c r="K386" s="16"/>
      <c r="L386" s="16"/>
      <c r="M386" s="1"/>
      <c r="N386" s="1"/>
      <c r="O386" s="1"/>
      <c r="P386" s="1"/>
      <c r="Q386" s="1"/>
      <c r="R386" s="1"/>
      <c r="S386" s="1"/>
      <c r="T386" s="1"/>
      <c r="U386" s="1"/>
      <c r="V386" s="1"/>
    </row>
    <row r="387" spans="1:22" ht="12.75" customHeight="1" x14ac:dyDescent="0.2">
      <c r="A387" s="16"/>
      <c r="B387" s="16"/>
      <c r="C387" s="16"/>
      <c r="D387" s="16"/>
      <c r="E387" s="16"/>
      <c r="F387" s="16"/>
      <c r="G387" s="16"/>
      <c r="H387" s="16"/>
      <c r="I387" s="16"/>
      <c r="J387" s="16"/>
      <c r="K387" s="16"/>
      <c r="L387" s="16"/>
      <c r="M387" s="1"/>
      <c r="N387" s="1"/>
      <c r="O387" s="1"/>
      <c r="P387" s="1"/>
      <c r="Q387" s="1"/>
      <c r="R387" s="1"/>
      <c r="S387" s="1"/>
      <c r="T387" s="1"/>
      <c r="U387" s="1"/>
      <c r="V387" s="1"/>
    </row>
    <row r="388" spans="1:22" ht="12.75" customHeight="1" x14ac:dyDescent="0.2">
      <c r="A388" s="16"/>
      <c r="B388" s="16"/>
      <c r="C388" s="16"/>
      <c r="D388" s="16"/>
      <c r="E388" s="16"/>
      <c r="F388" s="16"/>
      <c r="G388" s="16"/>
      <c r="H388" s="16"/>
      <c r="I388" s="16"/>
      <c r="J388" s="16"/>
      <c r="K388" s="16"/>
      <c r="L388" s="16"/>
      <c r="M388" s="1"/>
      <c r="N388" s="1"/>
      <c r="O388" s="1"/>
      <c r="P388" s="1"/>
      <c r="Q388" s="1"/>
      <c r="R388" s="1"/>
      <c r="S388" s="1"/>
      <c r="T388" s="1"/>
      <c r="U388" s="1"/>
      <c r="V388" s="1"/>
    </row>
    <row r="389" spans="1:22" ht="12.75" customHeight="1" x14ac:dyDescent="0.2">
      <c r="A389" s="16"/>
      <c r="B389" s="16"/>
      <c r="C389" s="16"/>
      <c r="D389" s="16"/>
      <c r="E389" s="16"/>
      <c r="F389" s="16"/>
      <c r="G389" s="16"/>
      <c r="H389" s="16"/>
      <c r="I389" s="16"/>
      <c r="J389" s="16"/>
      <c r="K389" s="16"/>
      <c r="L389" s="16"/>
      <c r="M389" s="1"/>
      <c r="N389" s="1"/>
      <c r="O389" s="1"/>
      <c r="P389" s="1"/>
      <c r="Q389" s="1"/>
      <c r="R389" s="1"/>
      <c r="S389" s="1"/>
      <c r="T389" s="1"/>
      <c r="U389" s="1"/>
      <c r="V389" s="1"/>
    </row>
    <row r="390" spans="1:22" ht="12.75" customHeight="1" x14ac:dyDescent="0.2">
      <c r="A390" s="16"/>
      <c r="B390" s="16"/>
      <c r="C390" s="16"/>
      <c r="D390" s="16"/>
      <c r="E390" s="16"/>
      <c r="F390" s="16"/>
      <c r="G390" s="16"/>
      <c r="H390" s="16"/>
      <c r="I390" s="16"/>
      <c r="J390" s="16"/>
      <c r="K390" s="16"/>
      <c r="L390" s="16"/>
      <c r="M390" s="1"/>
      <c r="N390" s="1"/>
      <c r="O390" s="1"/>
      <c r="P390" s="1"/>
      <c r="Q390" s="1"/>
      <c r="R390" s="1"/>
      <c r="S390" s="1"/>
      <c r="T390" s="1"/>
      <c r="U390" s="1"/>
      <c r="V390" s="1"/>
    </row>
    <row r="391" spans="1:22" ht="12.75" customHeight="1" x14ac:dyDescent="0.2">
      <c r="A391" s="16"/>
      <c r="B391" s="16"/>
      <c r="C391" s="16"/>
      <c r="D391" s="16"/>
      <c r="E391" s="16"/>
      <c r="F391" s="16"/>
      <c r="G391" s="16"/>
      <c r="H391" s="16"/>
      <c r="I391" s="16"/>
      <c r="J391" s="16"/>
      <c r="K391" s="16"/>
      <c r="L391" s="16"/>
      <c r="M391" s="1"/>
      <c r="N391" s="1"/>
      <c r="O391" s="1"/>
      <c r="P391" s="1"/>
      <c r="Q391" s="1"/>
      <c r="R391" s="1"/>
      <c r="S391" s="1"/>
      <c r="T391" s="1"/>
      <c r="U391" s="1"/>
      <c r="V391" s="1"/>
    </row>
    <row r="392" spans="1:22" ht="12.75" customHeight="1" x14ac:dyDescent="0.2">
      <c r="A392" s="16"/>
      <c r="B392" s="16"/>
      <c r="C392" s="16"/>
      <c r="D392" s="16"/>
      <c r="E392" s="16"/>
      <c r="F392" s="16"/>
      <c r="G392" s="16"/>
      <c r="H392" s="16"/>
      <c r="I392" s="16"/>
      <c r="J392" s="16"/>
      <c r="K392" s="16"/>
      <c r="L392" s="16"/>
      <c r="M392" s="1"/>
      <c r="N392" s="1"/>
      <c r="O392" s="1"/>
      <c r="P392" s="1"/>
      <c r="Q392" s="1"/>
      <c r="R392" s="1"/>
      <c r="S392" s="1"/>
      <c r="T392" s="1"/>
      <c r="U392" s="1"/>
      <c r="V392" s="1"/>
    </row>
    <row r="393" spans="1:22" ht="12.75" customHeight="1" x14ac:dyDescent="0.2">
      <c r="A393" s="16"/>
      <c r="B393" s="16"/>
      <c r="C393" s="16"/>
      <c r="D393" s="16"/>
      <c r="E393" s="16"/>
      <c r="F393" s="16"/>
      <c r="G393" s="16"/>
      <c r="H393" s="16"/>
      <c r="I393" s="16"/>
      <c r="J393" s="16"/>
      <c r="K393" s="16"/>
      <c r="L393" s="16"/>
      <c r="M393" s="1"/>
      <c r="N393" s="1"/>
      <c r="O393" s="1"/>
      <c r="P393" s="1"/>
      <c r="Q393" s="1"/>
      <c r="R393" s="1"/>
      <c r="S393" s="1"/>
      <c r="T393" s="1"/>
      <c r="U393" s="1"/>
      <c r="V393" s="1"/>
    </row>
    <row r="394" spans="1:22" ht="12.75" customHeight="1" x14ac:dyDescent="0.2">
      <c r="A394" s="16"/>
      <c r="B394" s="16"/>
      <c r="C394" s="16"/>
      <c r="D394" s="16"/>
      <c r="E394" s="16"/>
      <c r="F394" s="16"/>
      <c r="G394" s="16"/>
      <c r="H394" s="16"/>
      <c r="I394" s="16"/>
      <c r="J394" s="16"/>
      <c r="K394" s="16"/>
      <c r="L394" s="16"/>
      <c r="M394" s="1"/>
      <c r="N394" s="1"/>
      <c r="O394" s="1"/>
      <c r="P394" s="1"/>
      <c r="Q394" s="1"/>
      <c r="R394" s="1"/>
      <c r="S394" s="1"/>
      <c r="T394" s="1"/>
      <c r="U394" s="1"/>
      <c r="V394" s="1"/>
    </row>
    <row r="395" spans="1:22" ht="12.75" customHeight="1" x14ac:dyDescent="0.2">
      <c r="A395" s="16"/>
      <c r="B395" s="16"/>
      <c r="C395" s="16"/>
      <c r="D395" s="16"/>
      <c r="E395" s="16"/>
      <c r="F395" s="16"/>
      <c r="G395" s="16"/>
      <c r="H395" s="16"/>
      <c r="I395" s="16"/>
      <c r="J395" s="16"/>
      <c r="K395" s="16"/>
      <c r="L395" s="16"/>
      <c r="M395" s="1"/>
      <c r="N395" s="1"/>
      <c r="O395" s="1"/>
      <c r="P395" s="1"/>
      <c r="Q395" s="1"/>
      <c r="R395" s="1"/>
      <c r="S395" s="1"/>
      <c r="T395" s="1"/>
      <c r="U395" s="1"/>
      <c r="V395" s="1"/>
    </row>
    <row r="396" spans="1:22" ht="12.75" customHeight="1" x14ac:dyDescent="0.2">
      <c r="A396" s="16"/>
      <c r="B396" s="16"/>
      <c r="C396" s="16"/>
      <c r="D396" s="16"/>
      <c r="E396" s="16"/>
      <c r="F396" s="16"/>
      <c r="G396" s="16"/>
      <c r="H396" s="16"/>
      <c r="I396" s="16"/>
      <c r="J396" s="16"/>
      <c r="K396" s="16"/>
      <c r="L396" s="16"/>
      <c r="M396" s="1"/>
      <c r="N396" s="1"/>
      <c r="O396" s="1"/>
      <c r="P396" s="1"/>
      <c r="Q396" s="1"/>
      <c r="R396" s="1"/>
      <c r="S396" s="1"/>
      <c r="T396" s="1"/>
      <c r="U396" s="1"/>
      <c r="V396" s="1"/>
    </row>
    <row r="397" spans="1:22" ht="12.75" customHeight="1" x14ac:dyDescent="0.2">
      <c r="A397" s="16"/>
      <c r="B397" s="16"/>
      <c r="C397" s="16"/>
      <c r="D397" s="16"/>
      <c r="E397" s="16"/>
      <c r="F397" s="16"/>
      <c r="G397" s="16"/>
      <c r="H397" s="16"/>
      <c r="I397" s="16"/>
      <c r="J397" s="16"/>
      <c r="K397" s="16"/>
      <c r="L397" s="16"/>
      <c r="M397" s="1"/>
      <c r="N397" s="1"/>
      <c r="O397" s="1"/>
      <c r="P397" s="1"/>
      <c r="Q397" s="1"/>
      <c r="R397" s="1"/>
      <c r="S397" s="1"/>
      <c r="T397" s="1"/>
      <c r="U397" s="1"/>
      <c r="V397" s="1"/>
    </row>
    <row r="398" spans="1:22" ht="12.75" customHeight="1" x14ac:dyDescent="0.2">
      <c r="A398" s="16"/>
      <c r="B398" s="16"/>
      <c r="C398" s="16"/>
      <c r="D398" s="16"/>
      <c r="E398" s="16"/>
      <c r="F398" s="16"/>
      <c r="G398" s="16"/>
      <c r="H398" s="16"/>
      <c r="I398" s="16"/>
      <c r="J398" s="16"/>
      <c r="K398" s="16"/>
      <c r="L398" s="16"/>
      <c r="M398" s="1"/>
      <c r="N398" s="1"/>
      <c r="O398" s="1"/>
      <c r="P398" s="1"/>
      <c r="Q398" s="1"/>
      <c r="R398" s="1"/>
      <c r="S398" s="1"/>
      <c r="T398" s="1"/>
      <c r="U398" s="1"/>
      <c r="V398" s="1"/>
    </row>
    <row r="399" spans="1:22" ht="12.75" customHeight="1" x14ac:dyDescent="0.2">
      <c r="A399" s="16"/>
      <c r="B399" s="16"/>
      <c r="C399" s="16"/>
      <c r="D399" s="16"/>
      <c r="E399" s="16"/>
      <c r="F399" s="16"/>
      <c r="G399" s="16"/>
      <c r="H399" s="16"/>
      <c r="I399" s="16"/>
      <c r="J399" s="16"/>
      <c r="K399" s="16"/>
      <c r="L399" s="16"/>
      <c r="M399" s="1"/>
      <c r="N399" s="1"/>
      <c r="O399" s="1"/>
      <c r="P399" s="1"/>
      <c r="Q399" s="1"/>
      <c r="R399" s="1"/>
      <c r="S399" s="1"/>
      <c r="T399" s="1"/>
      <c r="U399" s="1"/>
      <c r="V399" s="1"/>
    </row>
    <row r="400" spans="1:22" ht="12.75" customHeight="1" x14ac:dyDescent="0.2">
      <c r="A400" s="16"/>
      <c r="B400" s="16"/>
      <c r="C400" s="16"/>
      <c r="D400" s="16"/>
      <c r="E400" s="16"/>
      <c r="F400" s="16"/>
      <c r="G400" s="16"/>
      <c r="H400" s="16"/>
      <c r="I400" s="16"/>
      <c r="J400" s="16"/>
      <c r="K400" s="16"/>
      <c r="L400" s="16"/>
      <c r="M400" s="1"/>
      <c r="N400" s="1"/>
      <c r="O400" s="1"/>
      <c r="P400" s="1"/>
      <c r="Q400" s="1"/>
      <c r="R400" s="1"/>
      <c r="S400" s="1"/>
      <c r="T400" s="1"/>
      <c r="U400" s="1"/>
      <c r="V400" s="1"/>
    </row>
    <row r="401" spans="1:22" ht="12.75" customHeight="1" x14ac:dyDescent="0.2">
      <c r="A401" s="16"/>
      <c r="B401" s="16"/>
      <c r="C401" s="16"/>
      <c r="D401" s="16"/>
      <c r="E401" s="16"/>
      <c r="F401" s="16"/>
      <c r="G401" s="16"/>
      <c r="H401" s="16"/>
      <c r="I401" s="16"/>
      <c r="J401" s="16"/>
      <c r="K401" s="16"/>
      <c r="L401" s="16"/>
      <c r="M401" s="1"/>
      <c r="N401" s="1"/>
      <c r="O401" s="1"/>
      <c r="P401" s="1"/>
      <c r="Q401" s="1"/>
      <c r="R401" s="1"/>
      <c r="S401" s="1"/>
      <c r="T401" s="1"/>
      <c r="U401" s="1"/>
      <c r="V401" s="1"/>
    </row>
    <row r="402" spans="1:22" ht="12.75" customHeight="1" x14ac:dyDescent="0.2">
      <c r="A402" s="16"/>
      <c r="B402" s="16"/>
      <c r="C402" s="16"/>
      <c r="D402" s="16"/>
      <c r="E402" s="16"/>
      <c r="F402" s="16"/>
      <c r="G402" s="16"/>
      <c r="H402" s="16"/>
      <c r="I402" s="16"/>
      <c r="J402" s="16"/>
      <c r="K402" s="16"/>
      <c r="L402" s="16"/>
      <c r="M402" s="1"/>
      <c r="N402" s="1"/>
      <c r="O402" s="1"/>
      <c r="P402" s="1"/>
      <c r="Q402" s="1"/>
      <c r="R402" s="1"/>
      <c r="S402" s="1"/>
      <c r="T402" s="1"/>
      <c r="U402" s="1"/>
      <c r="V402" s="1"/>
    </row>
    <row r="403" spans="1:22" ht="12.75" customHeight="1" x14ac:dyDescent="0.2">
      <c r="A403" s="16"/>
      <c r="B403" s="16"/>
      <c r="C403" s="16"/>
      <c r="D403" s="16"/>
      <c r="E403" s="16"/>
      <c r="F403" s="16"/>
      <c r="G403" s="16"/>
      <c r="H403" s="16"/>
      <c r="I403" s="16"/>
      <c r="J403" s="16"/>
      <c r="K403" s="16"/>
      <c r="L403" s="16"/>
      <c r="M403" s="1"/>
      <c r="N403" s="1"/>
      <c r="O403" s="1"/>
      <c r="P403" s="1"/>
      <c r="Q403" s="1"/>
      <c r="R403" s="1"/>
      <c r="S403" s="1"/>
      <c r="T403" s="1"/>
      <c r="U403" s="1"/>
      <c r="V403" s="1"/>
    </row>
    <row r="404" spans="1:22" ht="12.75" customHeight="1" x14ac:dyDescent="0.2">
      <c r="A404" s="16"/>
      <c r="B404" s="16"/>
      <c r="C404" s="16"/>
      <c r="D404" s="16"/>
      <c r="E404" s="16"/>
      <c r="F404" s="16"/>
      <c r="G404" s="16"/>
      <c r="H404" s="16"/>
      <c r="I404" s="16"/>
      <c r="J404" s="16"/>
      <c r="K404" s="16"/>
      <c r="L404" s="16"/>
      <c r="M404" s="1"/>
      <c r="N404" s="1"/>
      <c r="O404" s="1"/>
      <c r="P404" s="1"/>
      <c r="Q404" s="1"/>
      <c r="R404" s="1"/>
      <c r="S404" s="1"/>
      <c r="T404" s="1"/>
      <c r="U404" s="1"/>
      <c r="V404" s="1"/>
    </row>
    <row r="405" spans="1:22" ht="12.75" customHeight="1" x14ac:dyDescent="0.2">
      <c r="A405" s="16"/>
      <c r="B405" s="16"/>
      <c r="C405" s="16"/>
      <c r="D405" s="16"/>
      <c r="E405" s="16"/>
      <c r="F405" s="16"/>
      <c r="G405" s="16"/>
      <c r="H405" s="16"/>
      <c r="I405" s="16"/>
      <c r="J405" s="16"/>
      <c r="K405" s="16"/>
      <c r="L405" s="16"/>
      <c r="M405" s="1"/>
      <c r="N405" s="1"/>
      <c r="O405" s="1"/>
      <c r="P405" s="1"/>
      <c r="Q405" s="1"/>
      <c r="R405" s="1"/>
      <c r="S405" s="1"/>
      <c r="T405" s="1"/>
      <c r="U405" s="1"/>
      <c r="V405" s="1"/>
    </row>
    <row r="406" spans="1:22" ht="12.75" customHeight="1" x14ac:dyDescent="0.2">
      <c r="A406" s="16"/>
      <c r="B406" s="16"/>
      <c r="C406" s="16"/>
      <c r="D406" s="16"/>
      <c r="E406" s="16"/>
      <c r="F406" s="16"/>
      <c r="G406" s="16"/>
      <c r="H406" s="16"/>
      <c r="I406" s="16"/>
      <c r="J406" s="16"/>
      <c r="K406" s="16"/>
      <c r="L406" s="16"/>
      <c r="M406" s="1"/>
      <c r="N406" s="1"/>
      <c r="O406" s="1"/>
      <c r="P406" s="1"/>
      <c r="Q406" s="1"/>
      <c r="R406" s="1"/>
      <c r="S406" s="1"/>
      <c r="T406" s="1"/>
      <c r="U406" s="1"/>
      <c r="V406" s="1"/>
    </row>
    <row r="407" spans="1:22" ht="12.75" customHeight="1" x14ac:dyDescent="0.2">
      <c r="A407" s="16"/>
      <c r="B407" s="16"/>
      <c r="C407" s="16"/>
      <c r="D407" s="16"/>
      <c r="E407" s="16"/>
      <c r="F407" s="16"/>
      <c r="G407" s="16"/>
      <c r="H407" s="16"/>
      <c r="I407" s="16"/>
      <c r="J407" s="16"/>
      <c r="K407" s="16"/>
      <c r="L407" s="16"/>
      <c r="M407" s="1"/>
      <c r="N407" s="1"/>
      <c r="O407" s="1"/>
      <c r="P407" s="1"/>
      <c r="Q407" s="1"/>
      <c r="R407" s="1"/>
      <c r="S407" s="1"/>
      <c r="T407" s="1"/>
      <c r="U407" s="1"/>
      <c r="V407" s="1"/>
    </row>
    <row r="408" spans="1:22" ht="12.75" customHeight="1" x14ac:dyDescent="0.2">
      <c r="A408" s="16"/>
      <c r="B408" s="16"/>
      <c r="C408" s="16"/>
      <c r="D408" s="16"/>
      <c r="E408" s="16"/>
      <c r="F408" s="16"/>
      <c r="G408" s="16"/>
      <c r="H408" s="16"/>
      <c r="I408" s="16"/>
      <c r="J408" s="16"/>
      <c r="K408" s="16"/>
      <c r="L408" s="16"/>
      <c r="M408" s="1"/>
      <c r="N408" s="1"/>
      <c r="O408" s="1"/>
      <c r="P408" s="1"/>
      <c r="Q408" s="1"/>
      <c r="R408" s="1"/>
      <c r="S408" s="1"/>
      <c r="T408" s="1"/>
      <c r="U408" s="1"/>
      <c r="V408" s="1"/>
    </row>
    <row r="409" spans="1:22" ht="12.75" customHeight="1" x14ac:dyDescent="0.2">
      <c r="A409" s="16"/>
      <c r="B409" s="16"/>
      <c r="C409" s="16"/>
      <c r="D409" s="16"/>
      <c r="E409" s="16"/>
      <c r="F409" s="16"/>
      <c r="G409" s="16"/>
      <c r="H409" s="16"/>
      <c r="I409" s="16"/>
      <c r="J409" s="16"/>
      <c r="K409" s="16"/>
      <c r="L409" s="16"/>
      <c r="M409" s="1"/>
      <c r="N409" s="1"/>
      <c r="O409" s="1"/>
      <c r="P409" s="1"/>
      <c r="Q409" s="1"/>
      <c r="R409" s="1"/>
      <c r="S409" s="1"/>
      <c r="T409" s="1"/>
      <c r="U409" s="1"/>
      <c r="V409" s="1"/>
    </row>
    <row r="410" spans="1:22" ht="12.75" customHeight="1" x14ac:dyDescent="0.2">
      <c r="A410" s="16"/>
      <c r="B410" s="16"/>
      <c r="C410" s="16"/>
      <c r="D410" s="16"/>
      <c r="E410" s="16"/>
      <c r="F410" s="16"/>
      <c r="G410" s="16"/>
      <c r="H410" s="16"/>
      <c r="I410" s="16"/>
      <c r="J410" s="16"/>
      <c r="K410" s="16"/>
      <c r="L410" s="16"/>
      <c r="M410" s="1"/>
      <c r="N410" s="1"/>
      <c r="O410" s="1"/>
      <c r="P410" s="1"/>
      <c r="Q410" s="1"/>
      <c r="R410" s="1"/>
      <c r="S410" s="1"/>
      <c r="T410" s="1"/>
      <c r="U410" s="1"/>
      <c r="V410" s="1"/>
    </row>
    <row r="411" spans="1:22" ht="12.75" customHeight="1" x14ac:dyDescent="0.2">
      <c r="A411" s="16"/>
      <c r="B411" s="16"/>
      <c r="C411" s="16"/>
      <c r="D411" s="16"/>
      <c r="E411" s="16"/>
      <c r="F411" s="16"/>
      <c r="G411" s="16"/>
      <c r="H411" s="16"/>
      <c r="I411" s="16"/>
      <c r="J411" s="16"/>
      <c r="K411" s="16"/>
      <c r="L411" s="16"/>
      <c r="M411" s="1"/>
      <c r="N411" s="1"/>
      <c r="O411" s="1"/>
      <c r="P411" s="1"/>
      <c r="Q411" s="1"/>
      <c r="R411" s="1"/>
      <c r="S411" s="1"/>
      <c r="T411" s="1"/>
      <c r="U411" s="1"/>
      <c r="V411" s="1"/>
    </row>
    <row r="412" spans="1:22" ht="12.75" customHeight="1" x14ac:dyDescent="0.2">
      <c r="A412" s="16"/>
      <c r="B412" s="16"/>
      <c r="C412" s="16"/>
      <c r="D412" s="16"/>
      <c r="E412" s="16"/>
      <c r="F412" s="16"/>
      <c r="G412" s="16"/>
      <c r="H412" s="16"/>
      <c r="I412" s="16"/>
      <c r="J412" s="16"/>
      <c r="K412" s="16"/>
      <c r="L412" s="16"/>
      <c r="M412" s="1"/>
      <c r="N412" s="1"/>
      <c r="O412" s="1"/>
      <c r="P412" s="1"/>
      <c r="Q412" s="1"/>
      <c r="R412" s="1"/>
      <c r="S412" s="1"/>
      <c r="T412" s="1"/>
      <c r="U412" s="1"/>
      <c r="V412" s="1"/>
    </row>
    <row r="413" spans="1:22" ht="12.75" customHeight="1" x14ac:dyDescent="0.2">
      <c r="A413" s="16"/>
      <c r="B413" s="16"/>
      <c r="C413" s="16"/>
      <c r="D413" s="16"/>
      <c r="E413" s="16"/>
      <c r="F413" s="16"/>
      <c r="G413" s="16"/>
      <c r="H413" s="16"/>
      <c r="I413" s="16"/>
      <c r="J413" s="16"/>
      <c r="K413" s="16"/>
      <c r="L413" s="16"/>
      <c r="M413" s="1"/>
      <c r="N413" s="1"/>
      <c r="O413" s="1"/>
      <c r="P413" s="1"/>
      <c r="Q413" s="1"/>
      <c r="R413" s="1"/>
      <c r="S413" s="1"/>
      <c r="T413" s="1"/>
      <c r="U413" s="1"/>
      <c r="V413" s="1"/>
    </row>
    <row r="414" spans="1:22" ht="12.75" customHeight="1" x14ac:dyDescent="0.2">
      <c r="A414" s="16"/>
      <c r="B414" s="16"/>
      <c r="C414" s="16"/>
      <c r="D414" s="16"/>
      <c r="E414" s="16"/>
      <c r="F414" s="16"/>
      <c r="G414" s="16"/>
      <c r="H414" s="16"/>
      <c r="I414" s="16"/>
      <c r="J414" s="16"/>
      <c r="K414" s="16"/>
      <c r="L414" s="16"/>
      <c r="M414" s="1"/>
      <c r="N414" s="1"/>
      <c r="O414" s="1"/>
      <c r="P414" s="1"/>
      <c r="Q414" s="1"/>
      <c r="R414" s="1"/>
      <c r="S414" s="1"/>
      <c r="T414" s="1"/>
      <c r="U414" s="1"/>
      <c r="V414" s="1"/>
    </row>
    <row r="415" spans="1:22" ht="12.75" customHeight="1" x14ac:dyDescent="0.2">
      <c r="A415" s="16"/>
      <c r="B415" s="16"/>
      <c r="C415" s="16"/>
      <c r="D415" s="16"/>
      <c r="E415" s="16"/>
      <c r="F415" s="16"/>
      <c r="G415" s="16"/>
      <c r="H415" s="16"/>
      <c r="I415" s="16"/>
      <c r="J415" s="16"/>
      <c r="K415" s="16"/>
      <c r="L415" s="16"/>
      <c r="M415" s="1"/>
      <c r="N415" s="1"/>
      <c r="O415" s="1"/>
      <c r="P415" s="1"/>
      <c r="Q415" s="1"/>
      <c r="R415" s="1"/>
      <c r="S415" s="1"/>
      <c r="T415" s="1"/>
      <c r="U415" s="1"/>
      <c r="V415" s="1"/>
    </row>
    <row r="416" spans="1:22" ht="12.75" customHeight="1" x14ac:dyDescent="0.2">
      <c r="A416" s="16"/>
      <c r="B416" s="16"/>
      <c r="C416" s="16"/>
      <c r="D416" s="16"/>
      <c r="E416" s="16"/>
      <c r="F416" s="16"/>
      <c r="G416" s="16"/>
      <c r="H416" s="16"/>
      <c r="I416" s="16"/>
      <c r="J416" s="16"/>
      <c r="K416" s="16"/>
      <c r="L416" s="16"/>
      <c r="M416" s="1"/>
      <c r="N416" s="1"/>
      <c r="O416" s="1"/>
      <c r="P416" s="1"/>
      <c r="Q416" s="1"/>
      <c r="R416" s="1"/>
      <c r="S416" s="1"/>
      <c r="T416" s="1"/>
      <c r="U416" s="1"/>
      <c r="V416" s="1"/>
    </row>
    <row r="417" spans="1:22" ht="12.75" customHeight="1" x14ac:dyDescent="0.2">
      <c r="A417" s="16"/>
      <c r="B417" s="16"/>
      <c r="C417" s="16"/>
      <c r="D417" s="16"/>
      <c r="E417" s="16"/>
      <c r="F417" s="16"/>
      <c r="G417" s="16"/>
      <c r="H417" s="16"/>
      <c r="I417" s="16"/>
      <c r="J417" s="16"/>
      <c r="K417" s="16"/>
      <c r="L417" s="16"/>
      <c r="M417" s="1"/>
      <c r="N417" s="1"/>
      <c r="O417" s="1"/>
      <c r="P417" s="1"/>
      <c r="Q417" s="1"/>
      <c r="R417" s="1"/>
      <c r="S417" s="1"/>
      <c r="T417" s="1"/>
      <c r="U417" s="1"/>
      <c r="V417" s="1"/>
    </row>
    <row r="418" spans="1:22" ht="12.75" customHeight="1" x14ac:dyDescent="0.2">
      <c r="A418" s="16"/>
      <c r="B418" s="16"/>
      <c r="C418" s="16"/>
      <c r="D418" s="16"/>
      <c r="E418" s="16"/>
      <c r="F418" s="16"/>
      <c r="G418" s="16"/>
      <c r="H418" s="16"/>
      <c r="I418" s="16"/>
      <c r="J418" s="16"/>
      <c r="K418" s="16"/>
      <c r="L418" s="16"/>
      <c r="M418" s="1"/>
      <c r="N418" s="1"/>
      <c r="O418" s="1"/>
      <c r="P418" s="1"/>
      <c r="Q418" s="1"/>
      <c r="R418" s="1"/>
      <c r="S418" s="1"/>
      <c r="T418" s="1"/>
      <c r="U418" s="1"/>
      <c r="V418" s="1"/>
    </row>
    <row r="419" spans="1:22" ht="12.75" customHeight="1" x14ac:dyDescent="0.2">
      <c r="A419" s="16"/>
      <c r="B419" s="16"/>
      <c r="C419" s="16"/>
      <c r="D419" s="16"/>
      <c r="E419" s="16"/>
      <c r="F419" s="16"/>
      <c r="G419" s="16"/>
      <c r="H419" s="16"/>
      <c r="I419" s="16"/>
      <c r="J419" s="16"/>
      <c r="K419" s="16"/>
      <c r="L419" s="16"/>
      <c r="M419" s="1"/>
      <c r="N419" s="1"/>
      <c r="O419" s="1"/>
      <c r="P419" s="1"/>
      <c r="Q419" s="1"/>
      <c r="R419" s="1"/>
      <c r="S419" s="1"/>
      <c r="T419" s="1"/>
      <c r="U419" s="1"/>
      <c r="V419" s="1"/>
    </row>
    <row r="420" spans="1:22" ht="12.75" customHeight="1" x14ac:dyDescent="0.2">
      <c r="A420" s="16"/>
      <c r="B420" s="16"/>
      <c r="C420" s="16"/>
      <c r="D420" s="16"/>
      <c r="E420" s="16"/>
      <c r="F420" s="16"/>
      <c r="G420" s="16"/>
      <c r="H420" s="16"/>
      <c r="I420" s="16"/>
      <c r="J420" s="16"/>
      <c r="K420" s="16"/>
      <c r="L420" s="16"/>
      <c r="M420" s="1"/>
      <c r="N420" s="1"/>
      <c r="O420" s="1"/>
      <c r="P420" s="1"/>
      <c r="Q420" s="1"/>
      <c r="R420" s="1"/>
      <c r="S420" s="1"/>
      <c r="T420" s="1"/>
      <c r="U420" s="1"/>
      <c r="V420" s="1"/>
    </row>
    <row r="421" spans="1:22" ht="12.75" customHeight="1" x14ac:dyDescent="0.2">
      <c r="A421" s="16"/>
      <c r="B421" s="16"/>
      <c r="C421" s="16"/>
      <c r="D421" s="16"/>
      <c r="E421" s="16"/>
      <c r="F421" s="16"/>
      <c r="G421" s="16"/>
      <c r="H421" s="16"/>
      <c r="I421" s="16"/>
      <c r="J421" s="16"/>
      <c r="K421" s="16"/>
      <c r="L421" s="16"/>
      <c r="M421" s="1"/>
      <c r="N421" s="1"/>
      <c r="O421" s="1"/>
      <c r="P421" s="1"/>
      <c r="Q421" s="1"/>
      <c r="R421" s="1"/>
      <c r="S421" s="1"/>
      <c r="T421" s="1"/>
      <c r="U421" s="1"/>
      <c r="V421" s="1"/>
    </row>
    <row r="422" spans="1:22" ht="12.75" customHeight="1" x14ac:dyDescent="0.2">
      <c r="A422" s="16"/>
      <c r="B422" s="16"/>
      <c r="C422" s="16"/>
      <c r="D422" s="16"/>
      <c r="E422" s="16"/>
      <c r="F422" s="16"/>
      <c r="G422" s="16"/>
      <c r="H422" s="16"/>
      <c r="I422" s="16"/>
      <c r="J422" s="16"/>
      <c r="K422" s="16"/>
      <c r="L422" s="16"/>
      <c r="M422" s="1"/>
      <c r="N422" s="1"/>
      <c r="O422" s="1"/>
      <c r="P422" s="1"/>
      <c r="Q422" s="1"/>
      <c r="R422" s="1"/>
      <c r="S422" s="1"/>
      <c r="T422" s="1"/>
      <c r="U422" s="1"/>
      <c r="V422" s="1"/>
    </row>
    <row r="423" spans="1:22" ht="12.75" customHeight="1" x14ac:dyDescent="0.2">
      <c r="A423" s="16"/>
      <c r="B423" s="16"/>
      <c r="C423" s="16"/>
      <c r="D423" s="16"/>
      <c r="E423" s="16"/>
      <c r="F423" s="16"/>
      <c r="G423" s="16"/>
      <c r="H423" s="16"/>
      <c r="I423" s="16"/>
      <c r="J423" s="16"/>
      <c r="K423" s="16"/>
      <c r="L423" s="16"/>
      <c r="M423" s="1"/>
      <c r="N423" s="1"/>
      <c r="O423" s="1"/>
      <c r="P423" s="1"/>
      <c r="Q423" s="1"/>
      <c r="R423" s="1"/>
      <c r="S423" s="1"/>
      <c r="T423" s="1"/>
      <c r="U423" s="1"/>
      <c r="V423" s="1"/>
    </row>
    <row r="424" spans="1:22" ht="12.75" customHeight="1" x14ac:dyDescent="0.2">
      <c r="A424" s="16"/>
      <c r="B424" s="16"/>
      <c r="C424" s="16"/>
      <c r="D424" s="16"/>
      <c r="E424" s="16"/>
      <c r="F424" s="16"/>
      <c r="G424" s="16"/>
      <c r="H424" s="16"/>
      <c r="I424" s="16"/>
      <c r="J424" s="16"/>
      <c r="K424" s="16"/>
      <c r="L424" s="16"/>
      <c r="M424" s="1"/>
      <c r="N424" s="1"/>
      <c r="O424" s="1"/>
      <c r="P424" s="1"/>
      <c r="Q424" s="1"/>
      <c r="R424" s="1"/>
      <c r="S424" s="1"/>
      <c r="T424" s="1"/>
      <c r="U424" s="1"/>
      <c r="V424" s="1"/>
    </row>
    <row r="425" spans="1:22" ht="12.75" customHeight="1" x14ac:dyDescent="0.2">
      <c r="A425" s="16"/>
      <c r="B425" s="16"/>
      <c r="C425" s="16"/>
      <c r="D425" s="16"/>
      <c r="E425" s="16"/>
      <c r="F425" s="16"/>
      <c r="G425" s="16"/>
      <c r="H425" s="16"/>
      <c r="I425" s="16"/>
      <c r="J425" s="16"/>
      <c r="K425" s="16"/>
      <c r="L425" s="16"/>
      <c r="M425" s="1"/>
      <c r="N425" s="1"/>
      <c r="O425" s="1"/>
      <c r="P425" s="1"/>
      <c r="Q425" s="1"/>
      <c r="R425" s="1"/>
      <c r="S425" s="1"/>
      <c r="T425" s="1"/>
      <c r="U425" s="1"/>
      <c r="V425" s="1"/>
    </row>
    <row r="426" spans="1:22" ht="12.75" customHeight="1" x14ac:dyDescent="0.2">
      <c r="A426" s="16"/>
      <c r="B426" s="16"/>
      <c r="C426" s="16"/>
      <c r="D426" s="16"/>
      <c r="E426" s="16"/>
      <c r="F426" s="16"/>
      <c r="G426" s="16"/>
      <c r="H426" s="16"/>
      <c r="I426" s="16"/>
      <c r="J426" s="16"/>
      <c r="K426" s="16"/>
      <c r="L426" s="16"/>
      <c r="M426" s="1"/>
      <c r="N426" s="1"/>
      <c r="O426" s="1"/>
      <c r="P426" s="1"/>
      <c r="Q426" s="1"/>
      <c r="R426" s="1"/>
      <c r="S426" s="1"/>
      <c r="T426" s="1"/>
      <c r="U426" s="1"/>
      <c r="V426" s="1"/>
    </row>
    <row r="427" spans="1:22" ht="12.75" customHeight="1" x14ac:dyDescent="0.2">
      <c r="A427" s="16"/>
      <c r="B427" s="16"/>
      <c r="C427" s="16"/>
      <c r="D427" s="16"/>
      <c r="E427" s="16"/>
      <c r="F427" s="16"/>
      <c r="G427" s="16"/>
      <c r="H427" s="16"/>
      <c r="I427" s="16"/>
      <c r="J427" s="16"/>
      <c r="K427" s="16"/>
      <c r="L427" s="16"/>
      <c r="M427" s="1"/>
      <c r="N427" s="1"/>
      <c r="O427" s="1"/>
      <c r="P427" s="1"/>
      <c r="Q427" s="1"/>
      <c r="R427" s="1"/>
      <c r="S427" s="1"/>
      <c r="T427" s="1"/>
      <c r="U427" s="1"/>
      <c r="V427" s="1"/>
    </row>
    <row r="428" spans="1:22" ht="12.75" customHeight="1" x14ac:dyDescent="0.2">
      <c r="A428" s="16"/>
      <c r="B428" s="16"/>
      <c r="C428" s="16"/>
      <c r="D428" s="16"/>
      <c r="E428" s="16"/>
      <c r="F428" s="16"/>
      <c r="G428" s="16"/>
      <c r="H428" s="16"/>
      <c r="I428" s="16"/>
      <c r="J428" s="16"/>
      <c r="K428" s="16"/>
      <c r="L428" s="16"/>
      <c r="M428" s="1"/>
      <c r="N428" s="1"/>
      <c r="O428" s="1"/>
      <c r="P428" s="1"/>
      <c r="Q428" s="1"/>
      <c r="R428" s="1"/>
      <c r="S428" s="1"/>
      <c r="T428" s="1"/>
      <c r="U428" s="1"/>
      <c r="V428" s="1"/>
    </row>
    <row r="429" spans="1:22" ht="12.75" customHeight="1" x14ac:dyDescent="0.2">
      <c r="A429" s="16"/>
      <c r="B429" s="16"/>
      <c r="C429" s="16"/>
      <c r="D429" s="16"/>
      <c r="E429" s="16"/>
      <c r="F429" s="16"/>
      <c r="G429" s="16"/>
      <c r="H429" s="16"/>
      <c r="I429" s="16"/>
      <c r="J429" s="16"/>
      <c r="K429" s="16"/>
      <c r="L429" s="16"/>
      <c r="M429" s="1"/>
      <c r="N429" s="1"/>
      <c r="O429" s="1"/>
      <c r="P429" s="1"/>
      <c r="Q429" s="1"/>
      <c r="R429" s="1"/>
      <c r="S429" s="1"/>
      <c r="T429" s="1"/>
      <c r="U429" s="1"/>
      <c r="V429" s="1"/>
    </row>
    <row r="430" spans="1:22" ht="12.75" customHeight="1" x14ac:dyDescent="0.2">
      <c r="A430" s="16"/>
      <c r="B430" s="16"/>
      <c r="C430" s="16"/>
      <c r="D430" s="16"/>
      <c r="E430" s="16"/>
      <c r="F430" s="16"/>
      <c r="G430" s="16"/>
      <c r="H430" s="16"/>
      <c r="I430" s="16"/>
      <c r="J430" s="16"/>
      <c r="K430" s="16"/>
      <c r="L430" s="16"/>
      <c r="M430" s="1"/>
      <c r="N430" s="1"/>
      <c r="O430" s="1"/>
      <c r="P430" s="1"/>
      <c r="Q430" s="1"/>
      <c r="R430" s="1"/>
      <c r="S430" s="1"/>
      <c r="T430" s="1"/>
      <c r="U430" s="1"/>
      <c r="V430" s="1"/>
    </row>
    <row r="431" spans="1:22" ht="12.75" customHeight="1" x14ac:dyDescent="0.2">
      <c r="A431" s="16"/>
      <c r="B431" s="16"/>
      <c r="C431" s="16"/>
      <c r="D431" s="16"/>
      <c r="E431" s="16"/>
      <c r="F431" s="16"/>
      <c r="G431" s="16"/>
      <c r="H431" s="16"/>
      <c r="I431" s="16"/>
      <c r="J431" s="16"/>
      <c r="K431" s="16"/>
      <c r="L431" s="16"/>
      <c r="M431" s="1"/>
      <c r="N431" s="1"/>
      <c r="O431" s="1"/>
      <c r="P431" s="1"/>
      <c r="Q431" s="1"/>
      <c r="R431" s="1"/>
      <c r="S431" s="1"/>
      <c r="T431" s="1"/>
      <c r="U431" s="1"/>
      <c r="V431" s="1"/>
    </row>
    <row r="432" spans="1:22" ht="12.75" customHeight="1" x14ac:dyDescent="0.2">
      <c r="A432" s="16"/>
      <c r="B432" s="16"/>
      <c r="C432" s="16"/>
      <c r="D432" s="16"/>
      <c r="E432" s="16"/>
      <c r="F432" s="16"/>
      <c r="G432" s="16"/>
      <c r="H432" s="16"/>
      <c r="I432" s="16"/>
      <c r="J432" s="16"/>
      <c r="K432" s="16"/>
      <c r="L432" s="16"/>
      <c r="M432" s="1"/>
      <c r="N432" s="1"/>
      <c r="O432" s="1"/>
      <c r="P432" s="1"/>
      <c r="Q432" s="1"/>
      <c r="R432" s="1"/>
      <c r="S432" s="1"/>
      <c r="T432" s="1"/>
      <c r="U432" s="1"/>
      <c r="V432" s="1"/>
    </row>
    <row r="433" spans="1:22" ht="12.75" customHeight="1" x14ac:dyDescent="0.2">
      <c r="A433" s="16"/>
      <c r="B433" s="16"/>
      <c r="C433" s="16"/>
      <c r="D433" s="16"/>
      <c r="E433" s="16"/>
      <c r="F433" s="16"/>
      <c r="G433" s="16"/>
      <c r="H433" s="16"/>
      <c r="I433" s="16"/>
      <c r="J433" s="16"/>
      <c r="K433" s="16"/>
      <c r="L433" s="16"/>
      <c r="M433" s="1"/>
      <c r="N433" s="1"/>
      <c r="O433" s="1"/>
      <c r="P433" s="1"/>
      <c r="Q433" s="1"/>
      <c r="R433" s="1"/>
      <c r="S433" s="1"/>
      <c r="T433" s="1"/>
      <c r="U433" s="1"/>
      <c r="V433" s="1"/>
    </row>
    <row r="434" spans="1:22" ht="12.75" customHeight="1" x14ac:dyDescent="0.2">
      <c r="A434" s="16"/>
      <c r="B434" s="16"/>
      <c r="C434" s="16"/>
      <c r="D434" s="16"/>
      <c r="E434" s="16"/>
      <c r="F434" s="16"/>
      <c r="G434" s="16"/>
      <c r="H434" s="16"/>
      <c r="I434" s="16"/>
      <c r="J434" s="16"/>
      <c r="K434" s="16"/>
      <c r="L434" s="16"/>
      <c r="M434" s="1"/>
      <c r="N434" s="1"/>
      <c r="O434" s="1"/>
      <c r="P434" s="1"/>
      <c r="Q434" s="1"/>
      <c r="R434" s="1"/>
      <c r="S434" s="1"/>
      <c r="T434" s="1"/>
      <c r="U434" s="1"/>
      <c r="V434" s="1"/>
    </row>
    <row r="435" spans="1:22" ht="12.75" customHeight="1" x14ac:dyDescent="0.2">
      <c r="A435" s="16"/>
      <c r="B435" s="16"/>
      <c r="C435" s="16"/>
      <c r="D435" s="16"/>
      <c r="E435" s="16"/>
      <c r="F435" s="16"/>
      <c r="G435" s="16"/>
      <c r="H435" s="16"/>
      <c r="I435" s="16"/>
      <c r="J435" s="16"/>
      <c r="K435" s="16"/>
      <c r="L435" s="16"/>
      <c r="M435" s="1"/>
      <c r="N435" s="1"/>
      <c r="O435" s="1"/>
      <c r="P435" s="1"/>
      <c r="Q435" s="1"/>
      <c r="R435" s="1"/>
      <c r="S435" s="1"/>
      <c r="T435" s="1"/>
      <c r="U435" s="1"/>
      <c r="V435" s="1"/>
    </row>
    <row r="436" spans="1:22" ht="12.75" customHeight="1" x14ac:dyDescent="0.2">
      <c r="A436" s="16"/>
      <c r="B436" s="16"/>
      <c r="C436" s="16"/>
      <c r="D436" s="16"/>
      <c r="E436" s="16"/>
      <c r="F436" s="16"/>
      <c r="G436" s="16"/>
      <c r="H436" s="16"/>
      <c r="I436" s="16"/>
      <c r="J436" s="16"/>
      <c r="K436" s="16"/>
      <c r="L436" s="16"/>
      <c r="M436" s="1"/>
      <c r="N436" s="1"/>
      <c r="O436" s="1"/>
      <c r="P436" s="1"/>
      <c r="Q436" s="1"/>
      <c r="R436" s="1"/>
      <c r="S436" s="1"/>
      <c r="T436" s="1"/>
      <c r="U436" s="1"/>
      <c r="V436" s="1"/>
    </row>
    <row r="437" spans="1:22" ht="12.75" customHeight="1" x14ac:dyDescent="0.2">
      <c r="A437" s="16"/>
      <c r="B437" s="16"/>
      <c r="C437" s="16"/>
      <c r="D437" s="16"/>
      <c r="E437" s="16"/>
      <c r="F437" s="16"/>
      <c r="G437" s="16"/>
      <c r="H437" s="16"/>
      <c r="I437" s="16"/>
      <c r="J437" s="16"/>
      <c r="K437" s="16"/>
      <c r="L437" s="16"/>
      <c r="M437" s="1"/>
      <c r="N437" s="1"/>
      <c r="O437" s="1"/>
      <c r="P437" s="1"/>
      <c r="Q437" s="1"/>
      <c r="R437" s="1"/>
      <c r="S437" s="1"/>
      <c r="T437" s="1"/>
      <c r="U437" s="1"/>
      <c r="V437" s="1"/>
    </row>
    <row r="438" spans="1:22" ht="12.75" customHeight="1" x14ac:dyDescent="0.2">
      <c r="A438" s="16"/>
      <c r="B438" s="16"/>
      <c r="C438" s="16"/>
      <c r="D438" s="16"/>
      <c r="E438" s="16"/>
      <c r="F438" s="16"/>
      <c r="G438" s="16"/>
      <c r="H438" s="16"/>
      <c r="I438" s="16"/>
      <c r="J438" s="16"/>
      <c r="K438" s="16"/>
      <c r="L438" s="16"/>
      <c r="M438" s="1"/>
      <c r="N438" s="1"/>
      <c r="O438" s="1"/>
      <c r="P438" s="1"/>
      <c r="Q438" s="1"/>
      <c r="R438" s="1"/>
      <c r="S438" s="1"/>
      <c r="T438" s="1"/>
      <c r="U438" s="1"/>
      <c r="V438" s="1"/>
    </row>
    <row r="439" spans="1:22" ht="12.75" customHeight="1" x14ac:dyDescent="0.2">
      <c r="A439" s="16"/>
      <c r="B439" s="16"/>
      <c r="C439" s="16"/>
      <c r="D439" s="16"/>
      <c r="E439" s="16"/>
      <c r="F439" s="16"/>
      <c r="G439" s="16"/>
      <c r="H439" s="16"/>
      <c r="I439" s="16"/>
      <c r="J439" s="16"/>
      <c r="K439" s="16"/>
      <c r="L439" s="16"/>
      <c r="M439" s="1"/>
      <c r="N439" s="1"/>
      <c r="O439" s="1"/>
      <c r="P439" s="1"/>
      <c r="Q439" s="1"/>
      <c r="R439" s="1"/>
      <c r="S439" s="1"/>
      <c r="T439" s="1"/>
      <c r="U439" s="1"/>
      <c r="V439" s="1"/>
    </row>
    <row r="440" spans="1:22" ht="12.75" customHeight="1" x14ac:dyDescent="0.2">
      <c r="A440" s="16"/>
      <c r="B440" s="16"/>
      <c r="C440" s="16"/>
      <c r="D440" s="16"/>
      <c r="E440" s="16"/>
      <c r="F440" s="16"/>
      <c r="G440" s="16"/>
      <c r="H440" s="16"/>
      <c r="I440" s="16"/>
      <c r="J440" s="16"/>
      <c r="K440" s="16"/>
      <c r="L440" s="16"/>
      <c r="M440" s="1"/>
      <c r="N440" s="1"/>
      <c r="O440" s="1"/>
      <c r="P440" s="1"/>
      <c r="Q440" s="1"/>
      <c r="R440" s="1"/>
      <c r="S440" s="1"/>
      <c r="T440" s="1"/>
      <c r="U440" s="1"/>
      <c r="V440" s="1"/>
    </row>
    <row r="441" spans="1:22" ht="12.75" customHeight="1" x14ac:dyDescent="0.2">
      <c r="A441" s="16"/>
      <c r="B441" s="16"/>
      <c r="C441" s="16"/>
      <c r="D441" s="16"/>
      <c r="E441" s="16"/>
      <c r="F441" s="16"/>
      <c r="G441" s="16"/>
      <c r="H441" s="16"/>
      <c r="I441" s="16"/>
      <c r="J441" s="16"/>
      <c r="K441" s="16"/>
      <c r="L441" s="16"/>
      <c r="M441" s="1"/>
      <c r="N441" s="1"/>
      <c r="O441" s="1"/>
      <c r="P441" s="1"/>
      <c r="Q441" s="1"/>
      <c r="R441" s="1"/>
      <c r="S441" s="1"/>
      <c r="T441" s="1"/>
      <c r="U441" s="1"/>
      <c r="V441" s="1"/>
    </row>
    <row r="442" spans="1:22" ht="12.75" customHeight="1" x14ac:dyDescent="0.2">
      <c r="A442" s="16"/>
      <c r="B442" s="16"/>
      <c r="C442" s="16"/>
      <c r="D442" s="16"/>
      <c r="E442" s="16"/>
      <c r="F442" s="16"/>
      <c r="G442" s="16"/>
      <c r="H442" s="16"/>
      <c r="I442" s="16"/>
      <c r="J442" s="16"/>
      <c r="K442" s="16"/>
      <c r="L442" s="16"/>
      <c r="M442" s="1"/>
      <c r="N442" s="1"/>
      <c r="O442" s="1"/>
      <c r="P442" s="1"/>
      <c r="Q442" s="1"/>
      <c r="R442" s="1"/>
      <c r="S442" s="1"/>
      <c r="T442" s="1"/>
      <c r="U442" s="1"/>
      <c r="V442" s="1"/>
    </row>
    <row r="443" spans="1:22" ht="12.75" customHeight="1" x14ac:dyDescent="0.2">
      <c r="A443" s="16"/>
      <c r="B443" s="16"/>
      <c r="C443" s="16"/>
      <c r="D443" s="16"/>
      <c r="E443" s="16"/>
      <c r="F443" s="16"/>
      <c r="G443" s="16"/>
      <c r="H443" s="16"/>
      <c r="I443" s="16"/>
      <c r="J443" s="16"/>
      <c r="K443" s="16"/>
      <c r="L443" s="16"/>
      <c r="M443" s="1"/>
      <c r="N443" s="1"/>
      <c r="O443" s="1"/>
      <c r="P443" s="1"/>
      <c r="Q443" s="1"/>
      <c r="R443" s="1"/>
      <c r="S443" s="1"/>
      <c r="T443" s="1"/>
      <c r="U443" s="1"/>
      <c r="V443" s="1"/>
    </row>
    <row r="444" spans="1:22" ht="12.75" customHeight="1" x14ac:dyDescent="0.2">
      <c r="A444" s="16"/>
      <c r="B444" s="16"/>
      <c r="C444" s="16"/>
      <c r="D444" s="16"/>
      <c r="E444" s="16"/>
      <c r="F444" s="16"/>
      <c r="G444" s="16"/>
      <c r="H444" s="16"/>
      <c r="I444" s="16"/>
      <c r="J444" s="16"/>
      <c r="K444" s="16"/>
      <c r="L444" s="16"/>
      <c r="M444" s="1"/>
      <c r="N444" s="1"/>
      <c r="O444" s="1"/>
      <c r="P444" s="1"/>
      <c r="Q444" s="1"/>
      <c r="R444" s="1"/>
      <c r="S444" s="1"/>
      <c r="T444" s="1"/>
      <c r="U444" s="1"/>
      <c r="V444" s="1"/>
    </row>
    <row r="445" spans="1:22" ht="12.75" customHeight="1" x14ac:dyDescent="0.2">
      <c r="A445" s="16"/>
      <c r="B445" s="16"/>
      <c r="C445" s="16"/>
      <c r="D445" s="16"/>
      <c r="E445" s="16"/>
      <c r="F445" s="16"/>
      <c r="G445" s="16"/>
      <c r="H445" s="16"/>
      <c r="I445" s="16"/>
      <c r="J445" s="16"/>
      <c r="K445" s="16"/>
      <c r="L445" s="16"/>
      <c r="M445" s="1"/>
      <c r="N445" s="1"/>
      <c r="O445" s="1"/>
      <c r="P445" s="1"/>
      <c r="Q445" s="1"/>
      <c r="R445" s="1"/>
      <c r="S445" s="1"/>
      <c r="T445" s="1"/>
      <c r="U445" s="1"/>
      <c r="V445" s="1"/>
    </row>
    <row r="446" spans="1:22" ht="12.75" customHeight="1" x14ac:dyDescent="0.2">
      <c r="A446" s="16"/>
      <c r="B446" s="16"/>
      <c r="C446" s="16"/>
      <c r="D446" s="16"/>
      <c r="E446" s="16"/>
      <c r="F446" s="16"/>
      <c r="G446" s="16"/>
      <c r="H446" s="16"/>
      <c r="I446" s="16"/>
      <c r="J446" s="16"/>
      <c r="K446" s="16"/>
      <c r="L446" s="16"/>
      <c r="M446" s="1"/>
      <c r="N446" s="1"/>
      <c r="O446" s="1"/>
      <c r="P446" s="1"/>
      <c r="Q446" s="1"/>
      <c r="R446" s="1"/>
      <c r="S446" s="1"/>
      <c r="T446" s="1"/>
      <c r="U446" s="1"/>
      <c r="V446" s="1"/>
    </row>
    <row r="447" spans="1:22" ht="12.75" customHeight="1" x14ac:dyDescent="0.2">
      <c r="A447" s="16"/>
      <c r="B447" s="16"/>
      <c r="C447" s="16"/>
      <c r="D447" s="16"/>
      <c r="E447" s="16"/>
      <c r="F447" s="16"/>
      <c r="G447" s="16"/>
      <c r="H447" s="16"/>
      <c r="I447" s="16"/>
      <c r="J447" s="16"/>
      <c r="K447" s="16"/>
      <c r="L447" s="16"/>
      <c r="M447" s="1"/>
      <c r="N447" s="1"/>
      <c r="O447" s="1"/>
      <c r="P447" s="1"/>
      <c r="Q447" s="1"/>
      <c r="R447" s="1"/>
      <c r="S447" s="1"/>
      <c r="T447" s="1"/>
      <c r="U447" s="1"/>
      <c r="V447" s="1"/>
    </row>
    <row r="448" spans="1:22" ht="12.75" customHeight="1" x14ac:dyDescent="0.2">
      <c r="A448" s="16"/>
      <c r="B448" s="16"/>
      <c r="C448" s="16"/>
      <c r="D448" s="16"/>
      <c r="E448" s="16"/>
      <c r="F448" s="16"/>
      <c r="G448" s="16"/>
      <c r="H448" s="16"/>
      <c r="I448" s="16"/>
      <c r="J448" s="16"/>
      <c r="K448" s="16"/>
      <c r="L448" s="16"/>
      <c r="M448" s="1"/>
      <c r="N448" s="1"/>
      <c r="O448" s="1"/>
      <c r="P448" s="1"/>
      <c r="Q448" s="1"/>
      <c r="R448" s="1"/>
      <c r="S448" s="1"/>
      <c r="T448" s="1"/>
      <c r="U448" s="1"/>
      <c r="V448" s="1"/>
    </row>
    <row r="449" spans="1:22" ht="12.75" customHeight="1" x14ac:dyDescent="0.2">
      <c r="A449" s="16"/>
      <c r="B449" s="16"/>
      <c r="C449" s="16"/>
      <c r="D449" s="16"/>
      <c r="E449" s="16"/>
      <c r="F449" s="16"/>
      <c r="G449" s="16"/>
      <c r="H449" s="16"/>
      <c r="I449" s="16"/>
      <c r="J449" s="16"/>
      <c r="K449" s="16"/>
      <c r="L449" s="16"/>
      <c r="M449" s="1"/>
      <c r="N449" s="1"/>
      <c r="O449" s="1"/>
      <c r="P449" s="1"/>
      <c r="Q449" s="1"/>
      <c r="R449" s="1"/>
      <c r="S449" s="1"/>
      <c r="T449" s="1"/>
      <c r="U449" s="1"/>
      <c r="V449" s="1"/>
    </row>
    <row r="450" spans="1:22" ht="12.75" customHeight="1" x14ac:dyDescent="0.2">
      <c r="A450" s="16"/>
      <c r="B450" s="16"/>
      <c r="C450" s="16"/>
      <c r="D450" s="16"/>
      <c r="E450" s="16"/>
      <c r="F450" s="16"/>
      <c r="G450" s="16"/>
      <c r="H450" s="16"/>
      <c r="I450" s="16"/>
      <c r="J450" s="16"/>
      <c r="K450" s="16"/>
      <c r="L450" s="16"/>
      <c r="M450" s="1"/>
      <c r="N450" s="1"/>
      <c r="O450" s="1"/>
      <c r="P450" s="1"/>
      <c r="Q450" s="1"/>
      <c r="R450" s="1"/>
      <c r="S450" s="1"/>
      <c r="T450" s="1"/>
      <c r="U450" s="1"/>
      <c r="V450" s="1"/>
    </row>
    <row r="451" spans="1:22" ht="12.75" customHeight="1" x14ac:dyDescent="0.2">
      <c r="A451" s="16"/>
      <c r="B451" s="16"/>
      <c r="C451" s="16"/>
      <c r="D451" s="16"/>
      <c r="E451" s="16"/>
      <c r="F451" s="16"/>
      <c r="G451" s="16"/>
      <c r="H451" s="16"/>
      <c r="I451" s="16"/>
      <c r="J451" s="16"/>
      <c r="K451" s="16"/>
      <c r="L451" s="16"/>
      <c r="M451" s="1"/>
      <c r="N451" s="1"/>
      <c r="O451" s="1"/>
      <c r="P451" s="1"/>
      <c r="Q451" s="1"/>
      <c r="R451" s="1"/>
      <c r="S451" s="1"/>
      <c r="T451" s="1"/>
      <c r="U451" s="1"/>
      <c r="V451" s="1"/>
    </row>
    <row r="452" spans="1:22" ht="12.75" customHeight="1" x14ac:dyDescent="0.2">
      <c r="A452" s="16"/>
      <c r="B452" s="16"/>
      <c r="C452" s="16"/>
      <c r="D452" s="16"/>
      <c r="E452" s="16"/>
      <c r="F452" s="16"/>
      <c r="G452" s="16"/>
      <c r="H452" s="16"/>
      <c r="I452" s="16"/>
      <c r="J452" s="16"/>
      <c r="K452" s="16"/>
      <c r="L452" s="16"/>
      <c r="M452" s="1"/>
      <c r="N452" s="1"/>
      <c r="O452" s="1"/>
      <c r="P452" s="1"/>
      <c r="Q452" s="1"/>
      <c r="R452" s="1"/>
      <c r="S452" s="1"/>
      <c r="T452" s="1"/>
      <c r="U452" s="1"/>
      <c r="V452" s="1"/>
    </row>
    <row r="453" spans="1:22" ht="12.75" customHeight="1" x14ac:dyDescent="0.2">
      <c r="A453" s="16"/>
      <c r="B453" s="16"/>
      <c r="C453" s="16"/>
      <c r="D453" s="16"/>
      <c r="E453" s="16"/>
      <c r="F453" s="16"/>
      <c r="G453" s="16"/>
      <c r="H453" s="16"/>
      <c r="I453" s="16"/>
      <c r="J453" s="16"/>
      <c r="K453" s="16"/>
      <c r="L453" s="16"/>
      <c r="M453" s="1"/>
      <c r="N453" s="1"/>
      <c r="O453" s="1"/>
      <c r="P453" s="1"/>
      <c r="Q453" s="1"/>
      <c r="R453" s="1"/>
      <c r="S453" s="1"/>
      <c r="T453" s="1"/>
      <c r="U453" s="1"/>
      <c r="V453" s="1"/>
    </row>
    <row r="454" spans="1:22" ht="12.75" customHeight="1" x14ac:dyDescent="0.2">
      <c r="A454" s="16"/>
      <c r="B454" s="16"/>
      <c r="C454" s="16"/>
      <c r="D454" s="16"/>
      <c r="E454" s="16"/>
      <c r="F454" s="16"/>
      <c r="G454" s="16"/>
      <c r="H454" s="16"/>
      <c r="I454" s="16"/>
      <c r="J454" s="16"/>
      <c r="K454" s="16"/>
      <c r="L454" s="16"/>
      <c r="M454" s="1"/>
      <c r="N454" s="1"/>
      <c r="O454" s="1"/>
      <c r="P454" s="1"/>
      <c r="Q454" s="1"/>
      <c r="R454" s="1"/>
      <c r="S454" s="1"/>
      <c r="T454" s="1"/>
      <c r="U454" s="1"/>
      <c r="V454" s="1"/>
    </row>
    <row r="455" spans="1:22" ht="12.75" customHeight="1" x14ac:dyDescent="0.2">
      <c r="A455" s="16"/>
      <c r="B455" s="16"/>
      <c r="C455" s="16"/>
      <c r="D455" s="16"/>
      <c r="E455" s="16"/>
      <c r="F455" s="16"/>
      <c r="G455" s="16"/>
      <c r="H455" s="16"/>
      <c r="I455" s="16"/>
      <c r="J455" s="16"/>
      <c r="K455" s="16"/>
      <c r="L455" s="16"/>
      <c r="M455" s="1"/>
      <c r="N455" s="1"/>
      <c r="O455" s="1"/>
      <c r="P455" s="1"/>
      <c r="Q455" s="1"/>
      <c r="R455" s="1"/>
      <c r="S455" s="1"/>
      <c r="T455" s="1"/>
      <c r="U455" s="1"/>
      <c r="V455" s="1"/>
    </row>
    <row r="456" spans="1:22" ht="12.75" customHeight="1" x14ac:dyDescent="0.2">
      <c r="A456" s="16"/>
      <c r="B456" s="16"/>
      <c r="C456" s="16"/>
      <c r="D456" s="16"/>
      <c r="E456" s="16"/>
      <c r="F456" s="16"/>
      <c r="G456" s="16"/>
      <c r="H456" s="16"/>
      <c r="I456" s="16"/>
      <c r="J456" s="16"/>
      <c r="K456" s="16"/>
      <c r="L456" s="16"/>
      <c r="M456" s="1"/>
      <c r="N456" s="1"/>
      <c r="O456" s="1"/>
      <c r="P456" s="1"/>
      <c r="Q456" s="1"/>
      <c r="R456" s="1"/>
      <c r="S456" s="1"/>
      <c r="T456" s="1"/>
      <c r="U456" s="1"/>
      <c r="V456" s="1"/>
    </row>
    <row r="457" spans="1:22" ht="12.75" customHeight="1" x14ac:dyDescent="0.2">
      <c r="A457" s="16"/>
      <c r="B457" s="16"/>
      <c r="C457" s="16"/>
      <c r="D457" s="16"/>
      <c r="E457" s="16"/>
      <c r="F457" s="16"/>
      <c r="G457" s="16"/>
      <c r="H457" s="16"/>
      <c r="I457" s="16"/>
      <c r="J457" s="16"/>
      <c r="K457" s="16"/>
      <c r="L457" s="16"/>
      <c r="M457" s="1"/>
      <c r="N457" s="1"/>
      <c r="O457" s="1"/>
      <c r="P457" s="1"/>
      <c r="Q457" s="1"/>
      <c r="R457" s="1"/>
      <c r="S457" s="1"/>
      <c r="T457" s="1"/>
      <c r="U457" s="1"/>
      <c r="V457" s="1"/>
    </row>
    <row r="458" spans="1:22" ht="12.75" customHeight="1" x14ac:dyDescent="0.2">
      <c r="A458" s="16"/>
      <c r="B458" s="16"/>
      <c r="C458" s="16"/>
      <c r="D458" s="16"/>
      <c r="E458" s="16"/>
      <c r="F458" s="16"/>
      <c r="G458" s="16"/>
      <c r="H458" s="16"/>
      <c r="I458" s="16"/>
      <c r="J458" s="16"/>
      <c r="K458" s="16"/>
      <c r="L458" s="16"/>
      <c r="M458" s="1"/>
      <c r="N458" s="1"/>
      <c r="O458" s="1"/>
      <c r="P458" s="1"/>
      <c r="Q458" s="1"/>
      <c r="R458" s="1"/>
      <c r="S458" s="1"/>
      <c r="T458" s="1"/>
      <c r="U458" s="1"/>
      <c r="V458" s="1"/>
    </row>
    <row r="459" spans="1:22" ht="12.75" customHeight="1" x14ac:dyDescent="0.2">
      <c r="A459" s="16"/>
      <c r="B459" s="16"/>
      <c r="C459" s="16"/>
      <c r="D459" s="16"/>
      <c r="E459" s="16"/>
      <c r="F459" s="16"/>
      <c r="G459" s="16"/>
      <c r="H459" s="16"/>
      <c r="I459" s="16"/>
      <c r="J459" s="16"/>
      <c r="K459" s="16"/>
      <c r="L459" s="16"/>
      <c r="M459" s="1"/>
      <c r="N459" s="1"/>
      <c r="O459" s="1"/>
      <c r="P459" s="1"/>
      <c r="Q459" s="1"/>
      <c r="R459" s="1"/>
      <c r="S459" s="1"/>
      <c r="T459" s="1"/>
      <c r="U459" s="1"/>
      <c r="V459" s="1"/>
    </row>
    <row r="460" spans="1:22" ht="12.75" customHeight="1" x14ac:dyDescent="0.2">
      <c r="A460" s="16"/>
      <c r="B460" s="16"/>
      <c r="C460" s="16"/>
      <c r="D460" s="16"/>
      <c r="E460" s="16"/>
      <c r="F460" s="16"/>
      <c r="G460" s="16"/>
      <c r="H460" s="16"/>
      <c r="I460" s="16"/>
      <c r="J460" s="16"/>
      <c r="K460" s="16"/>
      <c r="L460" s="16"/>
      <c r="M460" s="1"/>
      <c r="N460" s="1"/>
      <c r="O460" s="1"/>
      <c r="P460" s="1"/>
      <c r="Q460" s="1"/>
      <c r="R460" s="1"/>
      <c r="S460" s="1"/>
      <c r="T460" s="1"/>
      <c r="U460" s="1"/>
      <c r="V460" s="1"/>
    </row>
    <row r="461" spans="1:22" ht="12.75" customHeight="1" x14ac:dyDescent="0.2">
      <c r="A461" s="16"/>
      <c r="B461" s="16"/>
      <c r="C461" s="16"/>
      <c r="D461" s="16"/>
      <c r="E461" s="16"/>
      <c r="F461" s="16"/>
      <c r="G461" s="16"/>
      <c r="H461" s="16"/>
      <c r="I461" s="16"/>
      <c r="J461" s="16"/>
      <c r="K461" s="16"/>
      <c r="L461" s="16"/>
      <c r="M461" s="1"/>
      <c r="N461" s="1"/>
      <c r="O461" s="1"/>
      <c r="P461" s="1"/>
      <c r="Q461" s="1"/>
      <c r="R461" s="1"/>
      <c r="S461" s="1"/>
      <c r="T461" s="1"/>
      <c r="U461" s="1"/>
      <c r="V461" s="1"/>
    </row>
    <row r="462" spans="1:22" ht="12.75" customHeight="1" x14ac:dyDescent="0.2">
      <c r="A462" s="16"/>
      <c r="B462" s="16"/>
      <c r="C462" s="16"/>
      <c r="D462" s="16"/>
      <c r="E462" s="16"/>
      <c r="F462" s="16"/>
      <c r="G462" s="16"/>
      <c r="H462" s="16"/>
      <c r="I462" s="16"/>
      <c r="J462" s="16"/>
      <c r="K462" s="16"/>
      <c r="L462" s="16"/>
      <c r="M462" s="1"/>
      <c r="N462" s="1"/>
      <c r="O462" s="1"/>
      <c r="P462" s="1"/>
      <c r="Q462" s="1"/>
      <c r="R462" s="1"/>
      <c r="S462" s="1"/>
      <c r="T462" s="1"/>
      <c r="U462" s="1"/>
      <c r="V462" s="1"/>
    </row>
    <row r="463" spans="1:22" ht="12.75" customHeight="1" x14ac:dyDescent="0.2">
      <c r="A463" s="16"/>
      <c r="B463" s="16"/>
      <c r="C463" s="16"/>
      <c r="D463" s="16"/>
      <c r="E463" s="16"/>
      <c r="F463" s="16"/>
      <c r="G463" s="16"/>
      <c r="H463" s="16"/>
      <c r="I463" s="16"/>
      <c r="J463" s="16"/>
      <c r="K463" s="16"/>
      <c r="L463" s="16"/>
      <c r="M463" s="1"/>
      <c r="N463" s="1"/>
      <c r="O463" s="1"/>
      <c r="P463" s="1"/>
      <c r="Q463" s="1"/>
      <c r="R463" s="1"/>
      <c r="S463" s="1"/>
      <c r="T463" s="1"/>
      <c r="U463" s="1"/>
      <c r="V463" s="1"/>
    </row>
    <row r="464" spans="1:22" ht="12.75" customHeight="1" x14ac:dyDescent="0.2">
      <c r="A464" s="16"/>
      <c r="B464" s="16"/>
      <c r="C464" s="16"/>
      <c r="D464" s="16"/>
      <c r="E464" s="16"/>
      <c r="F464" s="16"/>
      <c r="G464" s="16"/>
      <c r="H464" s="16"/>
      <c r="I464" s="16"/>
      <c r="J464" s="16"/>
      <c r="K464" s="16"/>
      <c r="L464" s="16"/>
      <c r="M464" s="1"/>
      <c r="N464" s="1"/>
      <c r="O464" s="1"/>
      <c r="P464" s="1"/>
      <c r="Q464" s="1"/>
      <c r="R464" s="1"/>
      <c r="S464" s="1"/>
      <c r="T464" s="1"/>
      <c r="U464" s="1"/>
      <c r="V464" s="1"/>
    </row>
    <row r="465" spans="1:22" ht="12.75" customHeight="1" x14ac:dyDescent="0.2">
      <c r="A465" s="16"/>
      <c r="B465" s="16"/>
      <c r="C465" s="16"/>
      <c r="D465" s="16"/>
      <c r="E465" s="16"/>
      <c r="F465" s="16"/>
      <c r="G465" s="16"/>
      <c r="H465" s="16"/>
      <c r="I465" s="16"/>
      <c r="J465" s="16"/>
      <c r="K465" s="16"/>
      <c r="L465" s="16"/>
      <c r="M465" s="1"/>
      <c r="N465" s="1"/>
      <c r="O465" s="1"/>
      <c r="P465" s="1"/>
      <c r="Q465" s="1"/>
      <c r="R465" s="1"/>
      <c r="S465" s="1"/>
      <c r="T465" s="1"/>
      <c r="U465" s="1"/>
      <c r="V465" s="1"/>
    </row>
    <row r="466" spans="1:22" ht="12.75" customHeight="1" x14ac:dyDescent="0.2">
      <c r="A466" s="16"/>
      <c r="B466" s="16"/>
      <c r="C466" s="16"/>
      <c r="D466" s="16"/>
      <c r="E466" s="16"/>
      <c r="F466" s="16"/>
      <c r="G466" s="16"/>
      <c r="H466" s="16"/>
      <c r="I466" s="16"/>
      <c r="J466" s="16"/>
      <c r="K466" s="16"/>
      <c r="L466" s="16"/>
      <c r="M466" s="1"/>
      <c r="N466" s="1"/>
      <c r="O466" s="1"/>
      <c r="P466" s="1"/>
      <c r="Q466" s="1"/>
      <c r="R466" s="1"/>
      <c r="S466" s="1"/>
      <c r="T466" s="1"/>
      <c r="U466" s="1"/>
      <c r="V466" s="1"/>
    </row>
    <row r="467" spans="1:22" ht="12.75" customHeight="1" x14ac:dyDescent="0.2">
      <c r="A467" s="16"/>
      <c r="B467" s="16"/>
      <c r="C467" s="16"/>
      <c r="D467" s="16"/>
      <c r="E467" s="16"/>
      <c r="F467" s="16"/>
      <c r="G467" s="16"/>
      <c r="H467" s="16"/>
      <c r="I467" s="16"/>
      <c r="J467" s="16"/>
      <c r="K467" s="16"/>
      <c r="L467" s="16"/>
      <c r="M467" s="1"/>
      <c r="N467" s="1"/>
      <c r="O467" s="1"/>
      <c r="P467" s="1"/>
      <c r="Q467" s="1"/>
      <c r="R467" s="1"/>
      <c r="S467" s="1"/>
      <c r="T467" s="1"/>
      <c r="U467" s="1"/>
      <c r="V467" s="1"/>
    </row>
    <row r="468" spans="1:22" ht="12.75" customHeight="1" x14ac:dyDescent="0.2">
      <c r="A468" s="16"/>
      <c r="B468" s="16"/>
      <c r="C468" s="16"/>
      <c r="D468" s="16"/>
      <c r="E468" s="16"/>
      <c r="F468" s="16"/>
      <c r="G468" s="16"/>
      <c r="H468" s="16"/>
      <c r="I468" s="16"/>
      <c r="J468" s="16"/>
      <c r="K468" s="16"/>
      <c r="L468" s="16"/>
      <c r="M468" s="1"/>
      <c r="N468" s="1"/>
      <c r="O468" s="1"/>
      <c r="P468" s="1"/>
      <c r="Q468" s="1"/>
      <c r="R468" s="1"/>
      <c r="S468" s="1"/>
      <c r="T468" s="1"/>
      <c r="U468" s="1"/>
      <c r="V468" s="1"/>
    </row>
    <row r="469" spans="1:22" ht="12.75" customHeight="1" x14ac:dyDescent="0.2">
      <c r="A469" s="16"/>
      <c r="B469" s="16"/>
      <c r="C469" s="16"/>
      <c r="D469" s="16"/>
      <c r="E469" s="16"/>
      <c r="F469" s="16"/>
      <c r="G469" s="16"/>
      <c r="H469" s="16"/>
      <c r="I469" s="16"/>
      <c r="J469" s="16"/>
      <c r="K469" s="16"/>
      <c r="L469" s="16"/>
      <c r="M469" s="1"/>
      <c r="N469" s="1"/>
      <c r="O469" s="1"/>
      <c r="P469" s="1"/>
      <c r="Q469" s="1"/>
      <c r="R469" s="1"/>
      <c r="S469" s="1"/>
      <c r="T469" s="1"/>
      <c r="U469" s="1"/>
      <c r="V469" s="1"/>
    </row>
    <row r="470" spans="1:22" ht="12.75" customHeight="1" x14ac:dyDescent="0.2">
      <c r="A470" s="16"/>
      <c r="B470" s="16"/>
      <c r="C470" s="16"/>
      <c r="D470" s="16"/>
      <c r="E470" s="16"/>
      <c r="F470" s="16"/>
      <c r="G470" s="16"/>
      <c r="H470" s="16"/>
      <c r="I470" s="16"/>
      <c r="J470" s="16"/>
      <c r="K470" s="16"/>
      <c r="L470" s="16"/>
      <c r="M470" s="1"/>
      <c r="N470" s="1"/>
      <c r="O470" s="1"/>
      <c r="P470" s="1"/>
      <c r="Q470" s="1"/>
      <c r="R470" s="1"/>
      <c r="S470" s="1"/>
      <c r="T470" s="1"/>
      <c r="U470" s="1"/>
      <c r="V470" s="1"/>
    </row>
    <row r="471" spans="1:22" ht="12.75" customHeight="1" x14ac:dyDescent="0.2">
      <c r="A471" s="16"/>
      <c r="B471" s="16"/>
      <c r="C471" s="16"/>
      <c r="D471" s="16"/>
      <c r="E471" s="16"/>
      <c r="F471" s="16"/>
      <c r="G471" s="16"/>
      <c r="H471" s="16"/>
      <c r="I471" s="16"/>
      <c r="J471" s="16"/>
      <c r="K471" s="16"/>
      <c r="L471" s="16"/>
      <c r="M471" s="1"/>
      <c r="N471" s="1"/>
      <c r="O471" s="1"/>
      <c r="P471" s="1"/>
      <c r="Q471" s="1"/>
      <c r="R471" s="1"/>
      <c r="S471" s="1"/>
      <c r="T471" s="1"/>
      <c r="U471" s="1"/>
      <c r="V471" s="1"/>
    </row>
    <row r="472" spans="1:22" ht="12.75" customHeight="1" x14ac:dyDescent="0.2">
      <c r="A472" s="16"/>
      <c r="B472" s="16"/>
      <c r="C472" s="16"/>
      <c r="D472" s="16"/>
      <c r="E472" s="16"/>
      <c r="F472" s="16"/>
      <c r="G472" s="16"/>
      <c r="H472" s="16"/>
      <c r="I472" s="16"/>
      <c r="J472" s="16"/>
      <c r="K472" s="16"/>
      <c r="L472" s="16"/>
      <c r="M472" s="1"/>
      <c r="N472" s="1"/>
      <c r="O472" s="1"/>
      <c r="P472" s="1"/>
      <c r="Q472" s="1"/>
      <c r="R472" s="1"/>
      <c r="S472" s="1"/>
      <c r="T472" s="1"/>
      <c r="U472" s="1"/>
      <c r="V472" s="1"/>
    </row>
    <row r="473" spans="1:22" ht="12.75" customHeight="1" x14ac:dyDescent="0.2">
      <c r="A473" s="16"/>
      <c r="B473" s="16"/>
      <c r="C473" s="16"/>
      <c r="D473" s="16"/>
      <c r="E473" s="16"/>
      <c r="F473" s="16"/>
      <c r="G473" s="16"/>
      <c r="H473" s="16"/>
      <c r="I473" s="16"/>
      <c r="J473" s="16"/>
      <c r="K473" s="16"/>
      <c r="L473" s="16"/>
      <c r="M473" s="1"/>
      <c r="N473" s="1"/>
      <c r="O473" s="1"/>
      <c r="P473" s="1"/>
      <c r="Q473" s="1"/>
      <c r="R473" s="1"/>
      <c r="S473" s="1"/>
      <c r="T473" s="1"/>
      <c r="U473" s="1"/>
      <c r="V473" s="1"/>
    </row>
    <row r="474" spans="1:22" ht="12.75" customHeight="1" x14ac:dyDescent="0.2">
      <c r="A474" s="16"/>
      <c r="B474" s="16"/>
      <c r="C474" s="16"/>
      <c r="D474" s="16"/>
      <c r="E474" s="16"/>
      <c r="F474" s="16"/>
      <c r="G474" s="16"/>
      <c r="H474" s="16"/>
      <c r="I474" s="16"/>
      <c r="J474" s="16"/>
      <c r="K474" s="16"/>
      <c r="L474" s="16"/>
      <c r="M474" s="1"/>
      <c r="N474" s="1"/>
      <c r="O474" s="1"/>
      <c r="P474" s="1"/>
      <c r="Q474" s="1"/>
      <c r="R474" s="1"/>
      <c r="S474" s="1"/>
      <c r="T474" s="1"/>
      <c r="U474" s="1"/>
      <c r="V474" s="1"/>
    </row>
    <row r="475" spans="1:22" ht="12.75" customHeight="1" x14ac:dyDescent="0.2">
      <c r="A475" s="16"/>
      <c r="B475" s="16"/>
      <c r="C475" s="16"/>
      <c r="D475" s="16"/>
      <c r="E475" s="16"/>
      <c r="F475" s="16"/>
      <c r="G475" s="16"/>
      <c r="H475" s="16"/>
      <c r="I475" s="16"/>
      <c r="J475" s="16"/>
      <c r="K475" s="16"/>
      <c r="L475" s="16"/>
      <c r="M475" s="1"/>
      <c r="N475" s="1"/>
      <c r="O475" s="1"/>
      <c r="P475" s="1"/>
      <c r="Q475" s="1"/>
      <c r="R475" s="1"/>
      <c r="S475" s="1"/>
      <c r="T475" s="1"/>
      <c r="U475" s="1"/>
      <c r="V475" s="1"/>
    </row>
    <row r="476" spans="1:22" ht="12.75" customHeight="1" x14ac:dyDescent="0.2">
      <c r="A476" s="16"/>
      <c r="B476" s="16"/>
      <c r="C476" s="16"/>
      <c r="D476" s="16"/>
      <c r="E476" s="16"/>
      <c r="F476" s="16"/>
      <c r="G476" s="16"/>
      <c r="H476" s="16"/>
      <c r="I476" s="16"/>
      <c r="J476" s="16"/>
      <c r="K476" s="16"/>
      <c r="L476" s="16"/>
      <c r="M476" s="1"/>
      <c r="N476" s="1"/>
      <c r="O476" s="1"/>
      <c r="P476" s="1"/>
      <c r="Q476" s="1"/>
      <c r="R476" s="1"/>
      <c r="S476" s="1"/>
      <c r="T476" s="1"/>
      <c r="U476" s="1"/>
      <c r="V476" s="1"/>
    </row>
    <row r="477" spans="1:22" ht="12.75" customHeight="1" x14ac:dyDescent="0.2">
      <c r="A477" s="16"/>
      <c r="B477" s="16"/>
      <c r="C477" s="16"/>
      <c r="D477" s="16"/>
      <c r="E477" s="16"/>
      <c r="F477" s="16"/>
      <c r="G477" s="16"/>
      <c r="H477" s="16"/>
      <c r="I477" s="16"/>
      <c r="J477" s="16"/>
      <c r="K477" s="16"/>
      <c r="L477" s="16"/>
      <c r="M477" s="1"/>
      <c r="N477" s="1"/>
      <c r="O477" s="1"/>
      <c r="P477" s="1"/>
      <c r="Q477" s="1"/>
      <c r="R477" s="1"/>
      <c r="S477" s="1"/>
      <c r="T477" s="1"/>
      <c r="U477" s="1"/>
      <c r="V477" s="1"/>
    </row>
    <row r="478" spans="1:22" ht="12.75" customHeight="1" x14ac:dyDescent="0.2">
      <c r="A478" s="16"/>
      <c r="B478" s="16"/>
      <c r="C478" s="16"/>
      <c r="D478" s="16"/>
      <c r="E478" s="16"/>
      <c r="F478" s="16"/>
      <c r="G478" s="16"/>
      <c r="H478" s="16"/>
      <c r="I478" s="16"/>
      <c r="J478" s="16"/>
      <c r="K478" s="16"/>
      <c r="L478" s="16"/>
      <c r="M478" s="1"/>
      <c r="N478" s="1"/>
      <c r="O478" s="1"/>
      <c r="P478" s="1"/>
      <c r="Q478" s="1"/>
      <c r="R478" s="1"/>
      <c r="S478" s="1"/>
      <c r="T478" s="1"/>
      <c r="U478" s="1"/>
      <c r="V478" s="1"/>
    </row>
    <row r="479" spans="1:22" ht="12.75" customHeight="1" x14ac:dyDescent="0.2">
      <c r="A479" s="16"/>
      <c r="B479" s="16"/>
      <c r="C479" s="16"/>
      <c r="D479" s="16"/>
      <c r="E479" s="16"/>
      <c r="F479" s="16"/>
      <c r="G479" s="16"/>
      <c r="H479" s="16"/>
      <c r="I479" s="16"/>
      <c r="J479" s="16"/>
      <c r="K479" s="16"/>
      <c r="L479" s="16"/>
      <c r="M479" s="1"/>
      <c r="N479" s="1"/>
      <c r="O479" s="1"/>
      <c r="P479" s="1"/>
      <c r="Q479" s="1"/>
      <c r="R479" s="1"/>
      <c r="S479" s="1"/>
      <c r="T479" s="1"/>
      <c r="U479" s="1"/>
      <c r="V479" s="1"/>
    </row>
    <row r="480" spans="1:22" ht="12.75" customHeight="1" x14ac:dyDescent="0.2">
      <c r="A480" s="16"/>
      <c r="B480" s="16"/>
      <c r="C480" s="16"/>
      <c r="D480" s="16"/>
      <c r="E480" s="16"/>
      <c r="F480" s="16"/>
      <c r="G480" s="16"/>
      <c r="H480" s="16"/>
      <c r="I480" s="16"/>
      <c r="J480" s="16"/>
      <c r="K480" s="16"/>
      <c r="L480" s="16"/>
      <c r="M480" s="1"/>
      <c r="N480" s="1"/>
      <c r="O480" s="1"/>
      <c r="P480" s="1"/>
      <c r="Q480" s="1"/>
      <c r="R480" s="1"/>
      <c r="S480" s="1"/>
      <c r="T480" s="1"/>
      <c r="U480" s="1"/>
      <c r="V480" s="1"/>
    </row>
    <row r="481" spans="1:22" ht="12.75" customHeight="1" x14ac:dyDescent="0.2">
      <c r="A481" s="16"/>
      <c r="B481" s="16"/>
      <c r="C481" s="16"/>
      <c r="D481" s="16"/>
      <c r="E481" s="16"/>
      <c r="F481" s="16"/>
      <c r="G481" s="16"/>
      <c r="H481" s="16"/>
      <c r="I481" s="16"/>
      <c r="J481" s="16"/>
      <c r="K481" s="16"/>
      <c r="L481" s="16"/>
      <c r="M481" s="1"/>
      <c r="N481" s="1"/>
      <c r="O481" s="1"/>
      <c r="P481" s="1"/>
      <c r="Q481" s="1"/>
      <c r="R481" s="1"/>
      <c r="S481" s="1"/>
      <c r="T481" s="1"/>
      <c r="U481" s="1"/>
      <c r="V481" s="1"/>
    </row>
    <row r="482" spans="1:22" ht="12.75" customHeight="1" x14ac:dyDescent="0.2">
      <c r="A482" s="16"/>
      <c r="B482" s="16"/>
      <c r="C482" s="16"/>
      <c r="D482" s="16"/>
      <c r="E482" s="16"/>
      <c r="F482" s="16"/>
      <c r="G482" s="16"/>
      <c r="H482" s="16"/>
      <c r="I482" s="16"/>
      <c r="J482" s="16"/>
      <c r="K482" s="16"/>
      <c r="L482" s="16"/>
      <c r="M482" s="1"/>
      <c r="N482" s="1"/>
      <c r="O482" s="1"/>
      <c r="P482" s="1"/>
      <c r="Q482" s="1"/>
      <c r="R482" s="1"/>
      <c r="S482" s="1"/>
      <c r="T482" s="1"/>
      <c r="U482" s="1"/>
      <c r="V482" s="1"/>
    </row>
    <row r="483" spans="1:22" ht="12.75" customHeight="1" x14ac:dyDescent="0.2">
      <c r="A483" s="16"/>
      <c r="B483" s="16"/>
      <c r="C483" s="16"/>
      <c r="D483" s="16"/>
      <c r="E483" s="16"/>
      <c r="F483" s="16"/>
      <c r="G483" s="16"/>
      <c r="H483" s="16"/>
      <c r="I483" s="16"/>
      <c r="J483" s="16"/>
      <c r="K483" s="16"/>
      <c r="L483" s="16"/>
      <c r="M483" s="1"/>
      <c r="N483" s="1"/>
      <c r="O483" s="1"/>
      <c r="P483" s="1"/>
      <c r="Q483" s="1"/>
      <c r="R483" s="1"/>
      <c r="S483" s="1"/>
      <c r="T483" s="1"/>
      <c r="U483" s="1"/>
      <c r="V483" s="1"/>
    </row>
    <row r="484" spans="1:22" ht="12.75" customHeight="1" x14ac:dyDescent="0.2">
      <c r="A484" s="16"/>
      <c r="B484" s="16"/>
      <c r="C484" s="16"/>
      <c r="D484" s="16"/>
      <c r="E484" s="16"/>
      <c r="F484" s="16"/>
      <c r="G484" s="16"/>
      <c r="H484" s="16"/>
      <c r="I484" s="16"/>
      <c r="J484" s="16"/>
      <c r="K484" s="16"/>
      <c r="L484" s="16"/>
      <c r="M484" s="1"/>
      <c r="N484" s="1"/>
      <c r="O484" s="1"/>
      <c r="P484" s="1"/>
      <c r="Q484" s="1"/>
      <c r="R484" s="1"/>
      <c r="S484" s="1"/>
      <c r="T484" s="1"/>
      <c r="U484" s="1"/>
      <c r="V484" s="1"/>
    </row>
    <row r="485" spans="1:22" ht="12.75" customHeight="1" x14ac:dyDescent="0.2">
      <c r="A485" s="16"/>
      <c r="B485" s="16"/>
      <c r="C485" s="16"/>
      <c r="D485" s="16"/>
      <c r="E485" s="16"/>
      <c r="F485" s="16"/>
      <c r="G485" s="16"/>
      <c r="H485" s="16"/>
      <c r="I485" s="16"/>
      <c r="J485" s="16"/>
      <c r="K485" s="16"/>
      <c r="L485" s="16"/>
      <c r="M485" s="1"/>
      <c r="N485" s="1"/>
      <c r="O485" s="1"/>
      <c r="P485" s="1"/>
      <c r="Q485" s="1"/>
      <c r="R485" s="1"/>
      <c r="S485" s="1"/>
      <c r="T485" s="1"/>
      <c r="U485" s="1"/>
      <c r="V485" s="1"/>
    </row>
    <row r="486" spans="1:22" ht="12.75" customHeight="1" x14ac:dyDescent="0.2">
      <c r="A486" s="16"/>
      <c r="B486" s="16"/>
      <c r="C486" s="16"/>
      <c r="D486" s="16"/>
      <c r="E486" s="16"/>
      <c r="F486" s="16"/>
      <c r="G486" s="16"/>
      <c r="H486" s="16"/>
      <c r="I486" s="16"/>
      <c r="J486" s="16"/>
      <c r="K486" s="16"/>
      <c r="L486" s="16"/>
      <c r="M486" s="1"/>
      <c r="N486" s="1"/>
      <c r="O486" s="1"/>
      <c r="P486" s="1"/>
      <c r="Q486" s="1"/>
      <c r="R486" s="1"/>
      <c r="S486" s="1"/>
      <c r="T486" s="1"/>
      <c r="U486" s="1"/>
      <c r="V486" s="1"/>
    </row>
    <row r="487" spans="1:22" ht="12.75" customHeight="1" x14ac:dyDescent="0.2">
      <c r="A487" s="16"/>
      <c r="B487" s="16"/>
      <c r="C487" s="16"/>
      <c r="D487" s="16"/>
      <c r="E487" s="16"/>
      <c r="F487" s="16"/>
      <c r="G487" s="16"/>
      <c r="H487" s="16"/>
      <c r="I487" s="16"/>
      <c r="J487" s="16"/>
      <c r="K487" s="16"/>
      <c r="L487" s="16"/>
      <c r="M487" s="1"/>
      <c r="N487" s="1"/>
      <c r="O487" s="1"/>
      <c r="P487" s="1"/>
      <c r="Q487" s="1"/>
      <c r="R487" s="1"/>
      <c r="S487" s="1"/>
      <c r="T487" s="1"/>
      <c r="U487" s="1"/>
      <c r="V487" s="1"/>
    </row>
    <row r="488" spans="1:22" ht="12.75" customHeight="1" x14ac:dyDescent="0.2">
      <c r="A488" s="16"/>
      <c r="B488" s="16"/>
      <c r="C488" s="16"/>
      <c r="D488" s="16"/>
      <c r="E488" s="16"/>
      <c r="F488" s="16"/>
      <c r="G488" s="16"/>
      <c r="H488" s="16"/>
      <c r="I488" s="16"/>
      <c r="J488" s="16"/>
      <c r="K488" s="16"/>
      <c r="L488" s="16"/>
      <c r="M488" s="1"/>
      <c r="N488" s="1"/>
      <c r="O488" s="1"/>
      <c r="P488" s="1"/>
      <c r="Q488" s="1"/>
      <c r="R488" s="1"/>
      <c r="S488" s="1"/>
      <c r="T488" s="1"/>
      <c r="U488" s="1"/>
      <c r="V488" s="1"/>
    </row>
    <row r="489" spans="1:22" ht="12.75" customHeight="1" x14ac:dyDescent="0.2">
      <c r="A489" s="16"/>
      <c r="B489" s="16"/>
      <c r="C489" s="16"/>
      <c r="D489" s="16"/>
      <c r="E489" s="16"/>
      <c r="F489" s="16"/>
      <c r="G489" s="16"/>
      <c r="H489" s="16"/>
      <c r="I489" s="16"/>
      <c r="J489" s="16"/>
      <c r="K489" s="16"/>
      <c r="L489" s="16"/>
      <c r="M489" s="1"/>
      <c r="N489" s="1"/>
      <c r="O489" s="1"/>
      <c r="P489" s="1"/>
      <c r="Q489" s="1"/>
      <c r="R489" s="1"/>
      <c r="S489" s="1"/>
      <c r="T489" s="1"/>
      <c r="U489" s="1"/>
      <c r="V489" s="1"/>
    </row>
    <row r="490" spans="1:22" ht="12.75" customHeight="1" x14ac:dyDescent="0.2">
      <c r="A490" s="16"/>
      <c r="B490" s="16"/>
      <c r="C490" s="16"/>
      <c r="D490" s="16"/>
      <c r="E490" s="16"/>
      <c r="F490" s="16"/>
      <c r="G490" s="16"/>
      <c r="H490" s="16"/>
      <c r="I490" s="16"/>
      <c r="J490" s="16"/>
      <c r="K490" s="16"/>
      <c r="L490" s="16"/>
      <c r="M490" s="1"/>
      <c r="N490" s="1"/>
      <c r="O490" s="1"/>
      <c r="P490" s="1"/>
      <c r="Q490" s="1"/>
      <c r="R490" s="1"/>
      <c r="S490" s="1"/>
      <c r="T490" s="1"/>
      <c r="U490" s="1"/>
      <c r="V490" s="1"/>
    </row>
    <row r="491" spans="1:22" ht="12.75" customHeight="1" x14ac:dyDescent="0.2">
      <c r="A491" s="16"/>
      <c r="B491" s="16"/>
      <c r="C491" s="16"/>
      <c r="D491" s="16"/>
      <c r="E491" s="16"/>
      <c r="F491" s="16"/>
      <c r="G491" s="16"/>
      <c r="H491" s="16"/>
      <c r="I491" s="16"/>
      <c r="J491" s="16"/>
      <c r="K491" s="16"/>
      <c r="L491" s="16"/>
      <c r="M491" s="1"/>
      <c r="N491" s="1"/>
      <c r="O491" s="1"/>
      <c r="P491" s="1"/>
      <c r="Q491" s="1"/>
      <c r="R491" s="1"/>
      <c r="S491" s="1"/>
      <c r="T491" s="1"/>
      <c r="U491" s="1"/>
      <c r="V491" s="1"/>
    </row>
    <row r="492" spans="1:22" ht="12.75" customHeight="1" x14ac:dyDescent="0.2">
      <c r="A492" s="16"/>
      <c r="B492" s="16"/>
      <c r="C492" s="16"/>
      <c r="D492" s="16"/>
      <c r="E492" s="16"/>
      <c r="F492" s="16"/>
      <c r="G492" s="16"/>
      <c r="H492" s="16"/>
      <c r="I492" s="16"/>
      <c r="J492" s="16"/>
      <c r="K492" s="16"/>
      <c r="L492" s="16"/>
      <c r="M492" s="1"/>
      <c r="N492" s="1"/>
      <c r="O492" s="1"/>
      <c r="P492" s="1"/>
      <c r="Q492" s="1"/>
      <c r="R492" s="1"/>
      <c r="S492" s="1"/>
      <c r="T492" s="1"/>
      <c r="U492" s="1"/>
      <c r="V492" s="1"/>
    </row>
    <row r="493" spans="1:22" ht="12.75" customHeight="1" x14ac:dyDescent="0.2">
      <c r="A493" s="16"/>
      <c r="B493" s="16"/>
      <c r="C493" s="16"/>
      <c r="D493" s="16"/>
      <c r="E493" s="16"/>
      <c r="F493" s="16"/>
      <c r="G493" s="16"/>
      <c r="H493" s="16"/>
      <c r="I493" s="16"/>
      <c r="J493" s="16"/>
      <c r="K493" s="16"/>
      <c r="L493" s="16"/>
      <c r="M493" s="1"/>
      <c r="N493" s="1"/>
      <c r="O493" s="1"/>
      <c r="P493" s="1"/>
      <c r="Q493" s="1"/>
      <c r="R493" s="1"/>
      <c r="S493" s="1"/>
      <c r="T493" s="1"/>
      <c r="U493" s="1"/>
      <c r="V493" s="1"/>
    </row>
    <row r="494" spans="1:22" ht="12.75" customHeight="1" x14ac:dyDescent="0.2">
      <c r="A494" s="16"/>
      <c r="B494" s="16"/>
      <c r="C494" s="16"/>
      <c r="D494" s="16"/>
      <c r="E494" s="16"/>
      <c r="F494" s="16"/>
      <c r="G494" s="16"/>
      <c r="H494" s="16"/>
      <c r="I494" s="16"/>
      <c r="J494" s="16"/>
      <c r="K494" s="16"/>
      <c r="L494" s="16"/>
      <c r="M494" s="1"/>
      <c r="N494" s="1"/>
      <c r="O494" s="1"/>
      <c r="P494" s="1"/>
      <c r="Q494" s="1"/>
      <c r="R494" s="1"/>
      <c r="S494" s="1"/>
      <c r="T494" s="1"/>
      <c r="U494" s="1"/>
      <c r="V494" s="1"/>
    </row>
    <row r="495" spans="1:22" ht="12.75" customHeight="1" x14ac:dyDescent="0.2">
      <c r="A495" s="16"/>
      <c r="B495" s="16"/>
      <c r="C495" s="16"/>
      <c r="D495" s="16"/>
      <c r="E495" s="16"/>
      <c r="F495" s="16"/>
      <c r="G495" s="16"/>
      <c r="H495" s="16"/>
      <c r="I495" s="16"/>
      <c r="J495" s="16"/>
      <c r="K495" s="16"/>
      <c r="L495" s="16"/>
      <c r="M495" s="1"/>
      <c r="N495" s="1"/>
      <c r="O495" s="1"/>
      <c r="P495" s="1"/>
      <c r="Q495" s="1"/>
      <c r="R495" s="1"/>
      <c r="S495" s="1"/>
      <c r="T495" s="1"/>
      <c r="U495" s="1"/>
      <c r="V495" s="1"/>
    </row>
    <row r="496" spans="1:22" ht="12.75" customHeight="1" x14ac:dyDescent="0.2">
      <c r="A496" s="16"/>
      <c r="B496" s="16"/>
      <c r="C496" s="16"/>
      <c r="D496" s="16"/>
      <c r="E496" s="16"/>
      <c r="F496" s="16"/>
      <c r="G496" s="16"/>
      <c r="H496" s="16"/>
      <c r="I496" s="16"/>
      <c r="J496" s="16"/>
      <c r="K496" s="16"/>
      <c r="L496" s="16"/>
      <c r="M496" s="1"/>
      <c r="N496" s="1"/>
      <c r="O496" s="1"/>
      <c r="P496" s="1"/>
      <c r="Q496" s="1"/>
      <c r="R496" s="1"/>
      <c r="S496" s="1"/>
      <c r="T496" s="1"/>
      <c r="U496" s="1"/>
      <c r="V496" s="1"/>
    </row>
    <row r="497" spans="1:22" ht="12.75" customHeight="1" x14ac:dyDescent="0.2">
      <c r="A497" s="16"/>
      <c r="B497" s="16"/>
      <c r="C497" s="16"/>
      <c r="D497" s="16"/>
      <c r="E497" s="16"/>
      <c r="F497" s="16"/>
      <c r="G497" s="16"/>
      <c r="H497" s="16"/>
      <c r="I497" s="16"/>
      <c r="J497" s="16"/>
      <c r="K497" s="16"/>
      <c r="L497" s="16"/>
      <c r="M497" s="1"/>
      <c r="N497" s="1"/>
      <c r="O497" s="1"/>
      <c r="P497" s="1"/>
      <c r="Q497" s="1"/>
      <c r="R497" s="1"/>
      <c r="S497" s="1"/>
      <c r="T497" s="1"/>
      <c r="U497" s="1"/>
      <c r="V497" s="1"/>
    </row>
    <row r="498" spans="1:22" ht="12.75" customHeight="1" x14ac:dyDescent="0.2">
      <c r="A498" s="16"/>
      <c r="B498" s="16"/>
      <c r="C498" s="16"/>
      <c r="D498" s="16"/>
      <c r="E498" s="16"/>
      <c r="F498" s="16"/>
      <c r="G498" s="16"/>
      <c r="H498" s="16"/>
      <c r="I498" s="16"/>
      <c r="J498" s="16"/>
      <c r="K498" s="16"/>
      <c r="L498" s="16"/>
      <c r="M498" s="1"/>
      <c r="N498" s="1"/>
      <c r="O498" s="1"/>
      <c r="P498" s="1"/>
      <c r="Q498" s="1"/>
      <c r="R498" s="1"/>
      <c r="S498" s="1"/>
      <c r="T498" s="1"/>
      <c r="U498" s="1"/>
      <c r="V498" s="1"/>
    </row>
    <row r="499" spans="1:22" ht="12.75" customHeight="1" x14ac:dyDescent="0.2">
      <c r="A499" s="16"/>
      <c r="B499" s="16"/>
      <c r="C499" s="16"/>
      <c r="D499" s="16"/>
      <c r="E499" s="16"/>
      <c r="F499" s="16"/>
      <c r="G499" s="16"/>
      <c r="H499" s="16"/>
      <c r="I499" s="16"/>
      <c r="J499" s="16"/>
      <c r="K499" s="16"/>
      <c r="L499" s="16"/>
      <c r="M499" s="1"/>
      <c r="N499" s="1"/>
      <c r="O499" s="1"/>
      <c r="P499" s="1"/>
      <c r="Q499" s="1"/>
      <c r="R499" s="1"/>
      <c r="S499" s="1"/>
      <c r="T499" s="1"/>
      <c r="U499" s="1"/>
      <c r="V499" s="1"/>
    </row>
    <row r="500" spans="1:22" ht="12.75" customHeight="1" x14ac:dyDescent="0.2">
      <c r="A500" s="16"/>
      <c r="B500" s="16"/>
      <c r="C500" s="16"/>
      <c r="D500" s="16"/>
      <c r="E500" s="16"/>
      <c r="F500" s="16"/>
      <c r="G500" s="16"/>
      <c r="H500" s="16"/>
      <c r="I500" s="16"/>
      <c r="J500" s="16"/>
      <c r="K500" s="16"/>
      <c r="L500" s="16"/>
      <c r="M500" s="1"/>
      <c r="N500" s="1"/>
      <c r="O500" s="1"/>
      <c r="P500" s="1"/>
      <c r="Q500" s="1"/>
      <c r="R500" s="1"/>
      <c r="S500" s="1"/>
      <c r="T500" s="1"/>
      <c r="U500" s="1"/>
      <c r="V500" s="1"/>
    </row>
    <row r="501" spans="1:22" ht="12.75" customHeight="1" x14ac:dyDescent="0.2">
      <c r="A501" s="16"/>
      <c r="B501" s="16"/>
      <c r="C501" s="16"/>
      <c r="D501" s="16"/>
      <c r="E501" s="16"/>
      <c r="F501" s="16"/>
      <c r="G501" s="16"/>
      <c r="H501" s="16"/>
      <c r="I501" s="16"/>
      <c r="J501" s="16"/>
      <c r="K501" s="16"/>
      <c r="L501" s="16"/>
      <c r="M501" s="1"/>
      <c r="N501" s="1"/>
      <c r="O501" s="1"/>
      <c r="P501" s="1"/>
      <c r="Q501" s="1"/>
      <c r="R501" s="1"/>
      <c r="S501" s="1"/>
      <c r="T501" s="1"/>
      <c r="U501" s="1"/>
      <c r="V501" s="1"/>
    </row>
    <row r="502" spans="1:22" ht="12.75" customHeight="1" x14ac:dyDescent="0.2">
      <c r="A502" s="16"/>
      <c r="B502" s="16"/>
      <c r="C502" s="16"/>
      <c r="D502" s="16"/>
      <c r="E502" s="16"/>
      <c r="F502" s="16"/>
      <c r="G502" s="16"/>
      <c r="H502" s="16"/>
      <c r="I502" s="16"/>
      <c r="J502" s="16"/>
      <c r="K502" s="16"/>
      <c r="L502" s="16"/>
      <c r="M502" s="1"/>
      <c r="N502" s="1"/>
      <c r="O502" s="1"/>
      <c r="P502" s="1"/>
      <c r="Q502" s="1"/>
      <c r="R502" s="1"/>
      <c r="S502" s="1"/>
      <c r="T502" s="1"/>
      <c r="U502" s="1"/>
      <c r="V502" s="1"/>
    </row>
    <row r="503" spans="1:22" ht="12.75" customHeight="1" x14ac:dyDescent="0.2">
      <c r="A503" s="16"/>
      <c r="B503" s="16"/>
      <c r="C503" s="16"/>
      <c r="D503" s="16"/>
      <c r="E503" s="16"/>
      <c r="F503" s="16"/>
      <c r="G503" s="16"/>
      <c r="H503" s="16"/>
      <c r="I503" s="16"/>
      <c r="J503" s="16"/>
      <c r="K503" s="16"/>
      <c r="L503" s="16"/>
      <c r="M503" s="1"/>
      <c r="N503" s="1"/>
      <c r="O503" s="1"/>
      <c r="P503" s="1"/>
      <c r="Q503" s="1"/>
      <c r="R503" s="1"/>
      <c r="S503" s="1"/>
      <c r="T503" s="1"/>
      <c r="U503" s="1"/>
      <c r="V503" s="1"/>
    </row>
    <row r="504" spans="1:22" ht="12.75" customHeight="1" x14ac:dyDescent="0.2">
      <c r="A504" s="16"/>
      <c r="B504" s="16"/>
      <c r="C504" s="16"/>
      <c r="D504" s="16"/>
      <c r="E504" s="16"/>
      <c r="F504" s="16"/>
      <c r="G504" s="16"/>
      <c r="H504" s="16"/>
      <c r="I504" s="16"/>
      <c r="J504" s="16"/>
      <c r="K504" s="16"/>
      <c r="L504" s="16"/>
      <c r="M504" s="1"/>
      <c r="N504" s="1"/>
      <c r="O504" s="1"/>
      <c r="P504" s="1"/>
      <c r="Q504" s="1"/>
      <c r="R504" s="1"/>
      <c r="S504" s="1"/>
      <c r="T504" s="1"/>
      <c r="U504" s="1"/>
      <c r="V504" s="1"/>
    </row>
    <row r="505" spans="1:22" ht="12.75" customHeight="1" x14ac:dyDescent="0.2">
      <c r="A505" s="16"/>
      <c r="B505" s="16"/>
      <c r="C505" s="16"/>
      <c r="D505" s="16"/>
      <c r="E505" s="16"/>
      <c r="F505" s="16"/>
      <c r="G505" s="16"/>
      <c r="H505" s="16"/>
      <c r="I505" s="16"/>
      <c r="J505" s="16"/>
      <c r="K505" s="16"/>
      <c r="L505" s="16"/>
      <c r="M505" s="1"/>
      <c r="N505" s="1"/>
      <c r="O505" s="1"/>
      <c r="P505" s="1"/>
      <c r="Q505" s="1"/>
      <c r="R505" s="1"/>
      <c r="S505" s="1"/>
      <c r="T505" s="1"/>
      <c r="U505" s="1"/>
      <c r="V505" s="1"/>
    </row>
    <row r="506" spans="1:22" ht="12.75" customHeight="1" x14ac:dyDescent="0.2">
      <c r="A506" s="16"/>
      <c r="B506" s="16"/>
      <c r="C506" s="16"/>
      <c r="D506" s="16"/>
      <c r="E506" s="16"/>
      <c r="F506" s="16"/>
      <c r="G506" s="16"/>
      <c r="H506" s="16"/>
      <c r="I506" s="16"/>
      <c r="J506" s="16"/>
      <c r="K506" s="16"/>
      <c r="L506" s="16"/>
      <c r="M506" s="1"/>
      <c r="N506" s="1"/>
      <c r="O506" s="1"/>
      <c r="P506" s="1"/>
      <c r="Q506" s="1"/>
      <c r="R506" s="1"/>
      <c r="S506" s="1"/>
      <c r="T506" s="1"/>
      <c r="U506" s="1"/>
      <c r="V506" s="1"/>
    </row>
    <row r="507" spans="1:22" ht="12.75" customHeight="1" x14ac:dyDescent="0.2">
      <c r="A507" s="16"/>
      <c r="B507" s="16"/>
      <c r="C507" s="16"/>
      <c r="D507" s="16"/>
      <c r="E507" s="16"/>
      <c r="F507" s="16"/>
      <c r="G507" s="16"/>
      <c r="H507" s="16"/>
      <c r="I507" s="16"/>
      <c r="J507" s="16"/>
      <c r="K507" s="16"/>
      <c r="L507" s="16"/>
      <c r="M507" s="1"/>
      <c r="N507" s="1"/>
      <c r="O507" s="1"/>
      <c r="P507" s="1"/>
      <c r="Q507" s="1"/>
      <c r="R507" s="1"/>
      <c r="S507" s="1"/>
      <c r="T507" s="1"/>
      <c r="U507" s="1"/>
      <c r="V507" s="1"/>
    </row>
    <row r="508" spans="1:22" ht="12.75" customHeight="1" x14ac:dyDescent="0.2">
      <c r="A508" s="16"/>
      <c r="B508" s="16"/>
      <c r="C508" s="16"/>
      <c r="D508" s="16"/>
      <c r="E508" s="16"/>
      <c r="F508" s="16"/>
      <c r="G508" s="16"/>
      <c r="H508" s="16"/>
      <c r="I508" s="16"/>
      <c r="J508" s="16"/>
      <c r="K508" s="16"/>
      <c r="L508" s="16"/>
      <c r="M508" s="1"/>
      <c r="N508" s="1"/>
      <c r="O508" s="1"/>
      <c r="P508" s="1"/>
      <c r="Q508" s="1"/>
      <c r="R508" s="1"/>
      <c r="S508" s="1"/>
      <c r="T508" s="1"/>
      <c r="U508" s="1"/>
      <c r="V508" s="1"/>
    </row>
    <row r="509" spans="1:22" ht="12.75" customHeight="1" x14ac:dyDescent="0.2">
      <c r="A509" s="16"/>
      <c r="B509" s="16"/>
      <c r="C509" s="16"/>
      <c r="D509" s="16"/>
      <c r="E509" s="16"/>
      <c r="F509" s="16"/>
      <c r="G509" s="16"/>
      <c r="H509" s="16"/>
      <c r="I509" s="16"/>
      <c r="J509" s="16"/>
      <c r="K509" s="16"/>
      <c r="L509" s="16"/>
      <c r="M509" s="1"/>
      <c r="N509" s="1"/>
      <c r="O509" s="1"/>
      <c r="P509" s="1"/>
      <c r="Q509" s="1"/>
      <c r="R509" s="1"/>
      <c r="S509" s="1"/>
      <c r="T509" s="1"/>
      <c r="U509" s="1"/>
      <c r="V509" s="1"/>
    </row>
    <row r="510" spans="1:22" ht="12.75" customHeight="1" x14ac:dyDescent="0.2">
      <c r="A510" s="16"/>
      <c r="B510" s="16"/>
      <c r="C510" s="16"/>
      <c r="D510" s="16"/>
      <c r="E510" s="16"/>
      <c r="F510" s="16"/>
      <c r="G510" s="16"/>
      <c r="H510" s="16"/>
      <c r="I510" s="16"/>
      <c r="J510" s="16"/>
      <c r="K510" s="16"/>
      <c r="L510" s="16"/>
      <c r="M510" s="1"/>
      <c r="N510" s="1"/>
      <c r="O510" s="1"/>
      <c r="P510" s="1"/>
      <c r="Q510" s="1"/>
      <c r="R510" s="1"/>
      <c r="S510" s="1"/>
      <c r="T510" s="1"/>
      <c r="U510" s="1"/>
      <c r="V510" s="1"/>
    </row>
    <row r="511" spans="1:22" ht="12.75" customHeight="1" x14ac:dyDescent="0.2">
      <c r="A511" s="16"/>
      <c r="B511" s="16"/>
      <c r="C511" s="16"/>
      <c r="D511" s="16"/>
      <c r="E511" s="16"/>
      <c r="F511" s="16"/>
      <c r="G511" s="16"/>
      <c r="H511" s="16"/>
      <c r="I511" s="16"/>
      <c r="J511" s="16"/>
      <c r="K511" s="16"/>
      <c r="L511" s="16"/>
      <c r="M511" s="1"/>
      <c r="N511" s="1"/>
      <c r="O511" s="1"/>
      <c r="P511" s="1"/>
      <c r="Q511" s="1"/>
      <c r="R511" s="1"/>
      <c r="S511" s="1"/>
      <c r="T511" s="1"/>
      <c r="U511" s="1"/>
      <c r="V511" s="1"/>
    </row>
    <row r="512" spans="1:22" ht="12.75" customHeight="1" x14ac:dyDescent="0.2">
      <c r="A512" s="16"/>
      <c r="B512" s="16"/>
      <c r="C512" s="16"/>
      <c r="D512" s="16"/>
      <c r="E512" s="16"/>
      <c r="F512" s="16"/>
      <c r="G512" s="16"/>
      <c r="H512" s="16"/>
      <c r="I512" s="16"/>
      <c r="J512" s="16"/>
      <c r="K512" s="16"/>
      <c r="L512" s="16"/>
      <c r="M512" s="1"/>
      <c r="N512" s="1"/>
      <c r="O512" s="1"/>
      <c r="P512" s="1"/>
      <c r="Q512" s="1"/>
      <c r="R512" s="1"/>
      <c r="S512" s="1"/>
      <c r="T512" s="1"/>
      <c r="U512" s="1"/>
      <c r="V512" s="1"/>
    </row>
    <row r="513" spans="1:22" ht="12.75" customHeight="1" x14ac:dyDescent="0.2">
      <c r="A513" s="16"/>
      <c r="B513" s="16"/>
      <c r="C513" s="16"/>
      <c r="D513" s="16"/>
      <c r="E513" s="16"/>
      <c r="F513" s="16"/>
      <c r="G513" s="16"/>
      <c r="H513" s="16"/>
      <c r="I513" s="16"/>
      <c r="J513" s="16"/>
      <c r="K513" s="16"/>
      <c r="L513" s="16"/>
      <c r="M513" s="1"/>
      <c r="N513" s="1"/>
      <c r="O513" s="1"/>
      <c r="P513" s="1"/>
      <c r="Q513" s="1"/>
      <c r="R513" s="1"/>
      <c r="S513" s="1"/>
      <c r="T513" s="1"/>
      <c r="U513" s="1"/>
      <c r="V513" s="1"/>
    </row>
    <row r="514" spans="1:22" ht="12.75" customHeight="1" x14ac:dyDescent="0.2">
      <c r="A514" s="16"/>
      <c r="B514" s="16"/>
      <c r="C514" s="16"/>
      <c r="D514" s="16"/>
      <c r="E514" s="16"/>
      <c r="F514" s="16"/>
      <c r="G514" s="16"/>
      <c r="H514" s="16"/>
      <c r="I514" s="16"/>
      <c r="J514" s="16"/>
      <c r="K514" s="16"/>
      <c r="L514" s="16"/>
      <c r="M514" s="1"/>
      <c r="N514" s="1"/>
      <c r="O514" s="1"/>
      <c r="P514" s="1"/>
      <c r="Q514" s="1"/>
      <c r="R514" s="1"/>
      <c r="S514" s="1"/>
      <c r="T514" s="1"/>
      <c r="U514" s="1"/>
      <c r="V514" s="1"/>
    </row>
    <row r="515" spans="1:22" ht="12.75" customHeight="1" x14ac:dyDescent="0.2">
      <c r="A515" s="16"/>
      <c r="B515" s="16"/>
      <c r="C515" s="16"/>
      <c r="D515" s="16"/>
      <c r="E515" s="16"/>
      <c r="F515" s="16"/>
      <c r="G515" s="16"/>
      <c r="H515" s="16"/>
      <c r="I515" s="16"/>
      <c r="J515" s="16"/>
      <c r="K515" s="16"/>
      <c r="L515" s="16"/>
      <c r="M515" s="1"/>
      <c r="N515" s="1"/>
      <c r="O515" s="1"/>
      <c r="P515" s="1"/>
      <c r="Q515" s="1"/>
      <c r="R515" s="1"/>
      <c r="S515" s="1"/>
      <c r="T515" s="1"/>
      <c r="U515" s="1"/>
      <c r="V515" s="1"/>
    </row>
    <row r="516" spans="1:22" ht="12.75" customHeight="1" x14ac:dyDescent="0.2">
      <c r="A516" s="16"/>
      <c r="B516" s="16"/>
      <c r="C516" s="16"/>
      <c r="D516" s="16"/>
      <c r="E516" s="16"/>
      <c r="F516" s="16"/>
      <c r="G516" s="16"/>
      <c r="H516" s="16"/>
      <c r="I516" s="16"/>
      <c r="J516" s="16"/>
      <c r="K516" s="16"/>
      <c r="L516" s="16"/>
      <c r="M516" s="1"/>
      <c r="N516" s="1"/>
      <c r="O516" s="1"/>
      <c r="P516" s="1"/>
      <c r="Q516" s="1"/>
      <c r="R516" s="1"/>
      <c r="S516" s="1"/>
      <c r="T516" s="1"/>
      <c r="U516" s="1"/>
      <c r="V516" s="1"/>
    </row>
    <row r="517" spans="1:22" ht="12.75" customHeight="1" x14ac:dyDescent="0.2">
      <c r="A517" s="16"/>
      <c r="B517" s="16"/>
      <c r="C517" s="16"/>
      <c r="D517" s="16"/>
      <c r="E517" s="16"/>
      <c r="F517" s="16"/>
      <c r="G517" s="16"/>
      <c r="H517" s="16"/>
      <c r="I517" s="16"/>
      <c r="J517" s="16"/>
      <c r="K517" s="16"/>
      <c r="L517" s="16"/>
      <c r="M517" s="1"/>
      <c r="N517" s="1"/>
      <c r="O517" s="1"/>
      <c r="P517" s="1"/>
      <c r="Q517" s="1"/>
      <c r="R517" s="1"/>
      <c r="S517" s="1"/>
      <c r="T517" s="1"/>
      <c r="U517" s="1"/>
      <c r="V517" s="1"/>
    </row>
    <row r="518" spans="1:22" ht="12.75" customHeight="1" x14ac:dyDescent="0.2">
      <c r="A518" s="16"/>
      <c r="B518" s="16"/>
      <c r="C518" s="16"/>
      <c r="D518" s="16"/>
      <c r="E518" s="16"/>
      <c r="F518" s="16"/>
      <c r="G518" s="16"/>
      <c r="H518" s="16"/>
      <c r="I518" s="16"/>
      <c r="J518" s="16"/>
      <c r="K518" s="16"/>
      <c r="L518" s="16"/>
      <c r="M518" s="1"/>
      <c r="N518" s="1"/>
      <c r="O518" s="1"/>
      <c r="P518" s="1"/>
      <c r="Q518" s="1"/>
      <c r="R518" s="1"/>
      <c r="S518" s="1"/>
      <c r="T518" s="1"/>
      <c r="U518" s="1"/>
      <c r="V518" s="1"/>
    </row>
    <row r="519" spans="1:22" ht="12.75" customHeight="1" x14ac:dyDescent="0.2">
      <c r="A519" s="16"/>
      <c r="B519" s="16"/>
      <c r="C519" s="16"/>
      <c r="D519" s="16"/>
      <c r="E519" s="16"/>
      <c r="F519" s="16"/>
      <c r="G519" s="16"/>
      <c r="H519" s="16"/>
      <c r="I519" s="16"/>
      <c r="J519" s="16"/>
      <c r="K519" s="16"/>
      <c r="L519" s="16"/>
      <c r="M519" s="1"/>
      <c r="N519" s="1"/>
      <c r="O519" s="1"/>
      <c r="P519" s="1"/>
      <c r="Q519" s="1"/>
      <c r="R519" s="1"/>
      <c r="S519" s="1"/>
      <c r="T519" s="1"/>
      <c r="U519" s="1"/>
      <c r="V519" s="1"/>
    </row>
    <row r="520" spans="1:22" ht="12.75" customHeight="1" x14ac:dyDescent="0.2">
      <c r="A520" s="16"/>
      <c r="B520" s="16"/>
      <c r="C520" s="16"/>
      <c r="D520" s="16"/>
      <c r="E520" s="16"/>
      <c r="F520" s="16"/>
      <c r="G520" s="16"/>
      <c r="H520" s="16"/>
      <c r="I520" s="16"/>
      <c r="J520" s="16"/>
      <c r="K520" s="16"/>
      <c r="L520" s="16"/>
      <c r="M520" s="1"/>
      <c r="N520" s="1"/>
      <c r="O520" s="1"/>
      <c r="P520" s="1"/>
      <c r="Q520" s="1"/>
      <c r="R520" s="1"/>
      <c r="S520" s="1"/>
      <c r="T520" s="1"/>
      <c r="U520" s="1"/>
      <c r="V520" s="1"/>
    </row>
    <row r="521" spans="1:22" ht="12.75" customHeight="1" x14ac:dyDescent="0.2">
      <c r="A521" s="16"/>
      <c r="B521" s="16"/>
      <c r="C521" s="16"/>
      <c r="D521" s="16"/>
      <c r="E521" s="16"/>
      <c r="F521" s="16"/>
      <c r="G521" s="16"/>
      <c r="H521" s="16"/>
      <c r="I521" s="16"/>
      <c r="J521" s="16"/>
      <c r="K521" s="16"/>
      <c r="L521" s="16"/>
      <c r="M521" s="1"/>
      <c r="N521" s="1"/>
      <c r="O521" s="1"/>
      <c r="P521" s="1"/>
      <c r="Q521" s="1"/>
      <c r="R521" s="1"/>
      <c r="S521" s="1"/>
      <c r="T521" s="1"/>
      <c r="U521" s="1"/>
      <c r="V521" s="1"/>
    </row>
    <row r="522" spans="1:22" ht="12.75" customHeight="1" x14ac:dyDescent="0.2">
      <c r="A522" s="16"/>
      <c r="B522" s="16"/>
      <c r="C522" s="16"/>
      <c r="D522" s="16"/>
      <c r="E522" s="16"/>
      <c r="F522" s="16"/>
      <c r="G522" s="16"/>
      <c r="H522" s="16"/>
      <c r="I522" s="16"/>
      <c r="J522" s="16"/>
      <c r="K522" s="16"/>
      <c r="L522" s="16"/>
      <c r="M522" s="1"/>
      <c r="N522" s="1"/>
      <c r="O522" s="1"/>
      <c r="P522" s="1"/>
      <c r="Q522" s="1"/>
      <c r="R522" s="1"/>
      <c r="S522" s="1"/>
      <c r="T522" s="1"/>
      <c r="U522" s="1"/>
      <c r="V522" s="1"/>
    </row>
    <row r="523" spans="1:22" ht="12.75" customHeight="1" x14ac:dyDescent="0.2">
      <c r="A523" s="16"/>
      <c r="B523" s="16"/>
      <c r="C523" s="16"/>
      <c r="D523" s="16"/>
      <c r="E523" s="16"/>
      <c r="F523" s="16"/>
      <c r="G523" s="16"/>
      <c r="H523" s="16"/>
      <c r="I523" s="16"/>
      <c r="J523" s="16"/>
      <c r="K523" s="16"/>
      <c r="L523" s="16"/>
      <c r="M523" s="1"/>
      <c r="N523" s="1"/>
      <c r="O523" s="1"/>
      <c r="P523" s="1"/>
      <c r="Q523" s="1"/>
      <c r="R523" s="1"/>
      <c r="S523" s="1"/>
      <c r="T523" s="1"/>
      <c r="U523" s="1"/>
      <c r="V523" s="1"/>
    </row>
    <row r="524" spans="1:22" ht="12.75" customHeight="1" x14ac:dyDescent="0.2">
      <c r="A524" s="16"/>
      <c r="B524" s="16"/>
      <c r="C524" s="16"/>
      <c r="D524" s="16"/>
      <c r="E524" s="16"/>
      <c r="F524" s="16"/>
      <c r="G524" s="16"/>
      <c r="H524" s="16"/>
      <c r="I524" s="16"/>
      <c r="J524" s="16"/>
      <c r="K524" s="16"/>
      <c r="L524" s="16"/>
      <c r="M524" s="1"/>
      <c r="N524" s="1"/>
      <c r="O524" s="1"/>
      <c r="P524" s="1"/>
      <c r="Q524" s="1"/>
      <c r="R524" s="1"/>
      <c r="S524" s="1"/>
      <c r="T524" s="1"/>
      <c r="U524" s="1"/>
      <c r="V524" s="1"/>
    </row>
    <row r="525" spans="1:22" ht="12.75" customHeight="1" x14ac:dyDescent="0.2">
      <c r="A525" s="16"/>
      <c r="B525" s="16"/>
      <c r="C525" s="16"/>
      <c r="D525" s="16"/>
      <c r="E525" s="16"/>
      <c r="F525" s="16"/>
      <c r="G525" s="16"/>
      <c r="H525" s="16"/>
      <c r="I525" s="16"/>
      <c r="J525" s="16"/>
      <c r="K525" s="16"/>
      <c r="L525" s="16"/>
      <c r="M525" s="1"/>
      <c r="N525" s="1"/>
      <c r="O525" s="1"/>
      <c r="P525" s="1"/>
      <c r="Q525" s="1"/>
      <c r="R525" s="1"/>
      <c r="S525" s="1"/>
      <c r="T525" s="1"/>
      <c r="U525" s="1"/>
      <c r="V525" s="1"/>
    </row>
    <row r="526" spans="1:22" ht="12.75" customHeight="1" x14ac:dyDescent="0.2">
      <c r="A526" s="16"/>
      <c r="B526" s="16"/>
      <c r="C526" s="16"/>
      <c r="D526" s="16"/>
      <c r="E526" s="16"/>
      <c r="F526" s="16"/>
      <c r="G526" s="16"/>
      <c r="H526" s="16"/>
      <c r="I526" s="16"/>
      <c r="J526" s="16"/>
      <c r="K526" s="16"/>
      <c r="L526" s="16"/>
      <c r="M526" s="1"/>
      <c r="N526" s="1"/>
      <c r="O526" s="1"/>
      <c r="P526" s="1"/>
      <c r="Q526" s="1"/>
      <c r="R526" s="1"/>
      <c r="S526" s="1"/>
      <c r="T526" s="1"/>
      <c r="U526" s="1"/>
      <c r="V526" s="1"/>
    </row>
    <row r="527" spans="1:22" ht="12.75" customHeight="1" x14ac:dyDescent="0.2">
      <c r="A527" s="16"/>
      <c r="B527" s="16"/>
      <c r="C527" s="16"/>
      <c r="D527" s="16"/>
      <c r="E527" s="16"/>
      <c r="F527" s="16"/>
      <c r="G527" s="16"/>
      <c r="H527" s="16"/>
      <c r="I527" s="16"/>
      <c r="J527" s="16"/>
      <c r="K527" s="16"/>
      <c r="L527" s="16"/>
      <c r="M527" s="1"/>
      <c r="N527" s="1"/>
      <c r="O527" s="1"/>
      <c r="P527" s="1"/>
      <c r="Q527" s="1"/>
      <c r="R527" s="1"/>
      <c r="S527" s="1"/>
      <c r="T527" s="1"/>
      <c r="U527" s="1"/>
      <c r="V527" s="1"/>
    </row>
    <row r="528" spans="1:22" ht="12.75" customHeight="1" x14ac:dyDescent="0.2">
      <c r="A528" s="16"/>
      <c r="B528" s="16"/>
      <c r="C528" s="16"/>
      <c r="D528" s="16"/>
      <c r="E528" s="16"/>
      <c r="F528" s="16"/>
      <c r="G528" s="16"/>
      <c r="H528" s="16"/>
      <c r="I528" s="16"/>
      <c r="J528" s="16"/>
      <c r="K528" s="16"/>
      <c r="L528" s="16"/>
      <c r="M528" s="1"/>
      <c r="N528" s="1"/>
      <c r="O528" s="1"/>
      <c r="P528" s="1"/>
      <c r="Q528" s="1"/>
      <c r="R528" s="1"/>
      <c r="S528" s="1"/>
      <c r="T528" s="1"/>
      <c r="U528" s="1"/>
      <c r="V528" s="1"/>
    </row>
    <row r="529" spans="1:22" ht="12.75" customHeight="1" x14ac:dyDescent="0.2">
      <c r="A529" s="16"/>
      <c r="B529" s="16"/>
      <c r="C529" s="16"/>
      <c r="D529" s="16"/>
      <c r="E529" s="16"/>
      <c r="F529" s="16"/>
      <c r="G529" s="16"/>
      <c r="H529" s="16"/>
      <c r="I529" s="16"/>
      <c r="J529" s="16"/>
      <c r="K529" s="16"/>
      <c r="L529" s="16"/>
      <c r="M529" s="1"/>
      <c r="N529" s="1"/>
      <c r="O529" s="1"/>
      <c r="P529" s="1"/>
      <c r="Q529" s="1"/>
      <c r="R529" s="1"/>
      <c r="S529" s="1"/>
      <c r="T529" s="1"/>
      <c r="U529" s="1"/>
      <c r="V529" s="1"/>
    </row>
    <row r="530" spans="1:22" ht="12.75" customHeight="1" x14ac:dyDescent="0.2">
      <c r="A530" s="16"/>
      <c r="B530" s="16"/>
      <c r="C530" s="16"/>
      <c r="D530" s="16"/>
      <c r="E530" s="16"/>
      <c r="F530" s="16"/>
      <c r="G530" s="16"/>
      <c r="H530" s="16"/>
      <c r="I530" s="16"/>
      <c r="J530" s="16"/>
      <c r="K530" s="16"/>
      <c r="L530" s="16"/>
      <c r="M530" s="1"/>
      <c r="N530" s="1"/>
      <c r="O530" s="1"/>
      <c r="P530" s="1"/>
      <c r="Q530" s="1"/>
      <c r="R530" s="1"/>
      <c r="S530" s="1"/>
      <c r="T530" s="1"/>
      <c r="U530" s="1"/>
      <c r="V530" s="1"/>
    </row>
    <row r="531" spans="1:22" ht="12.75" customHeight="1" x14ac:dyDescent="0.2">
      <c r="A531" s="16"/>
      <c r="B531" s="16"/>
      <c r="C531" s="16"/>
      <c r="D531" s="16"/>
      <c r="E531" s="16"/>
      <c r="F531" s="16"/>
      <c r="G531" s="16"/>
      <c r="H531" s="16"/>
      <c r="I531" s="16"/>
      <c r="J531" s="16"/>
      <c r="K531" s="16"/>
      <c r="L531" s="16"/>
      <c r="M531" s="1"/>
      <c r="N531" s="1"/>
      <c r="O531" s="1"/>
      <c r="P531" s="1"/>
      <c r="Q531" s="1"/>
      <c r="R531" s="1"/>
      <c r="S531" s="1"/>
      <c r="T531" s="1"/>
      <c r="U531" s="1"/>
      <c r="V531" s="1"/>
    </row>
    <row r="532" spans="1:22" ht="12.75" customHeight="1" x14ac:dyDescent="0.2">
      <c r="A532" s="16"/>
      <c r="B532" s="16"/>
      <c r="C532" s="16"/>
      <c r="D532" s="16"/>
      <c r="E532" s="16"/>
      <c r="F532" s="16"/>
      <c r="G532" s="16"/>
      <c r="H532" s="16"/>
      <c r="I532" s="16"/>
      <c r="J532" s="16"/>
      <c r="K532" s="16"/>
      <c r="L532" s="16"/>
      <c r="M532" s="1"/>
      <c r="N532" s="1"/>
      <c r="O532" s="1"/>
      <c r="P532" s="1"/>
      <c r="Q532" s="1"/>
      <c r="R532" s="1"/>
      <c r="S532" s="1"/>
      <c r="T532" s="1"/>
      <c r="U532" s="1"/>
      <c r="V532" s="1"/>
    </row>
    <row r="533" spans="1:22" ht="12.75" customHeight="1" x14ac:dyDescent="0.2">
      <c r="A533" s="16"/>
      <c r="B533" s="16"/>
      <c r="C533" s="16"/>
      <c r="D533" s="16"/>
      <c r="E533" s="16"/>
      <c r="F533" s="16"/>
      <c r="G533" s="16"/>
      <c r="H533" s="16"/>
      <c r="I533" s="16"/>
      <c r="J533" s="16"/>
      <c r="K533" s="16"/>
      <c r="L533" s="16"/>
      <c r="M533" s="1"/>
      <c r="N533" s="1"/>
      <c r="O533" s="1"/>
      <c r="P533" s="1"/>
      <c r="Q533" s="1"/>
      <c r="R533" s="1"/>
      <c r="S533" s="1"/>
      <c r="T533" s="1"/>
      <c r="U533" s="1"/>
      <c r="V533" s="1"/>
    </row>
    <row r="534" spans="1:22" ht="12.75" customHeight="1" x14ac:dyDescent="0.2">
      <c r="A534" s="16"/>
      <c r="B534" s="16"/>
      <c r="C534" s="16"/>
      <c r="D534" s="16"/>
      <c r="E534" s="16"/>
      <c r="F534" s="16"/>
      <c r="G534" s="16"/>
      <c r="H534" s="16"/>
      <c r="I534" s="16"/>
      <c r="J534" s="16"/>
      <c r="K534" s="16"/>
      <c r="L534" s="16"/>
      <c r="M534" s="1"/>
      <c r="N534" s="1"/>
      <c r="O534" s="1"/>
      <c r="P534" s="1"/>
      <c r="Q534" s="1"/>
      <c r="R534" s="1"/>
      <c r="S534" s="1"/>
      <c r="T534" s="1"/>
      <c r="U534" s="1"/>
      <c r="V534" s="1"/>
    </row>
    <row r="535" spans="1:22" ht="12.75" customHeight="1" x14ac:dyDescent="0.2">
      <c r="A535" s="16"/>
      <c r="B535" s="16"/>
      <c r="C535" s="16"/>
      <c r="D535" s="16"/>
      <c r="E535" s="16"/>
      <c r="F535" s="16"/>
      <c r="G535" s="16"/>
      <c r="H535" s="16"/>
      <c r="I535" s="16"/>
      <c r="J535" s="16"/>
      <c r="K535" s="16"/>
      <c r="L535" s="16"/>
      <c r="M535" s="1"/>
      <c r="N535" s="1"/>
      <c r="O535" s="1"/>
      <c r="P535" s="1"/>
      <c r="Q535" s="1"/>
      <c r="R535" s="1"/>
      <c r="S535" s="1"/>
      <c r="T535" s="1"/>
      <c r="U535" s="1"/>
      <c r="V535" s="1"/>
    </row>
    <row r="536" spans="1:22" ht="12.75" customHeight="1" x14ac:dyDescent="0.2">
      <c r="A536" s="16"/>
      <c r="B536" s="16"/>
      <c r="C536" s="16"/>
      <c r="D536" s="16"/>
      <c r="E536" s="16"/>
      <c r="F536" s="16"/>
      <c r="G536" s="16"/>
      <c r="H536" s="16"/>
      <c r="I536" s="16"/>
      <c r="J536" s="16"/>
      <c r="K536" s="16"/>
      <c r="L536" s="16"/>
      <c r="M536" s="1"/>
      <c r="N536" s="1"/>
      <c r="O536" s="1"/>
      <c r="P536" s="1"/>
      <c r="Q536" s="1"/>
      <c r="R536" s="1"/>
      <c r="S536" s="1"/>
      <c r="T536" s="1"/>
      <c r="U536" s="1"/>
      <c r="V536" s="1"/>
    </row>
    <row r="537" spans="1:22" ht="12.75" customHeight="1" x14ac:dyDescent="0.2">
      <c r="A537" s="16"/>
      <c r="B537" s="16"/>
      <c r="C537" s="16"/>
      <c r="D537" s="16"/>
      <c r="E537" s="16"/>
      <c r="F537" s="16"/>
      <c r="G537" s="16"/>
      <c r="H537" s="16"/>
      <c r="I537" s="16"/>
      <c r="J537" s="16"/>
      <c r="K537" s="16"/>
      <c r="L537" s="16"/>
      <c r="M537" s="1"/>
      <c r="N537" s="1"/>
      <c r="O537" s="1"/>
      <c r="P537" s="1"/>
      <c r="Q537" s="1"/>
      <c r="R537" s="1"/>
      <c r="S537" s="1"/>
      <c r="T537" s="1"/>
      <c r="U537" s="1"/>
      <c r="V537" s="1"/>
    </row>
    <row r="538" spans="1:22" ht="12.75" customHeight="1" x14ac:dyDescent="0.2">
      <c r="A538" s="16"/>
      <c r="B538" s="16"/>
      <c r="C538" s="16"/>
      <c r="D538" s="16"/>
      <c r="E538" s="16"/>
      <c r="F538" s="16"/>
      <c r="G538" s="16"/>
      <c r="H538" s="16"/>
      <c r="I538" s="16"/>
      <c r="J538" s="16"/>
      <c r="K538" s="16"/>
      <c r="L538" s="16"/>
      <c r="M538" s="1"/>
      <c r="N538" s="1"/>
      <c r="O538" s="1"/>
      <c r="P538" s="1"/>
      <c r="Q538" s="1"/>
      <c r="R538" s="1"/>
      <c r="S538" s="1"/>
      <c r="T538" s="1"/>
      <c r="U538" s="1"/>
      <c r="V538" s="1"/>
    </row>
    <row r="539" spans="1:22" ht="12.75" customHeight="1" x14ac:dyDescent="0.2">
      <c r="A539" s="16"/>
      <c r="B539" s="16"/>
      <c r="C539" s="16"/>
      <c r="D539" s="16"/>
      <c r="E539" s="16"/>
      <c r="F539" s="16"/>
      <c r="G539" s="16"/>
      <c r="H539" s="16"/>
      <c r="I539" s="16"/>
      <c r="J539" s="16"/>
      <c r="K539" s="16"/>
      <c r="L539" s="16"/>
      <c r="M539" s="1"/>
      <c r="N539" s="1"/>
      <c r="O539" s="1"/>
      <c r="P539" s="1"/>
      <c r="Q539" s="1"/>
      <c r="R539" s="1"/>
      <c r="S539" s="1"/>
      <c r="T539" s="1"/>
      <c r="U539" s="1"/>
      <c r="V539" s="1"/>
    </row>
    <row r="540" spans="1:22" ht="12.75" customHeight="1" x14ac:dyDescent="0.2">
      <c r="A540" s="16"/>
      <c r="B540" s="16"/>
      <c r="C540" s="16"/>
      <c r="D540" s="16"/>
      <c r="E540" s="16"/>
      <c r="F540" s="16"/>
      <c r="G540" s="16"/>
      <c r="H540" s="16"/>
      <c r="I540" s="16"/>
      <c r="J540" s="16"/>
      <c r="K540" s="16"/>
      <c r="L540" s="16"/>
      <c r="M540" s="1"/>
      <c r="N540" s="1"/>
      <c r="O540" s="1"/>
      <c r="P540" s="1"/>
      <c r="Q540" s="1"/>
      <c r="R540" s="1"/>
      <c r="S540" s="1"/>
      <c r="T540" s="1"/>
      <c r="U540" s="1"/>
      <c r="V540" s="1"/>
    </row>
    <row r="541" spans="1:22" ht="12.75" customHeight="1" x14ac:dyDescent="0.2">
      <c r="A541" s="16"/>
      <c r="B541" s="16"/>
      <c r="C541" s="16"/>
      <c r="D541" s="16"/>
      <c r="E541" s="16"/>
      <c r="F541" s="16"/>
      <c r="G541" s="16"/>
      <c r="H541" s="16"/>
      <c r="I541" s="16"/>
      <c r="J541" s="16"/>
      <c r="K541" s="16"/>
      <c r="L541" s="16"/>
      <c r="M541" s="1"/>
      <c r="N541" s="1"/>
      <c r="O541" s="1"/>
      <c r="P541" s="1"/>
      <c r="Q541" s="1"/>
      <c r="R541" s="1"/>
      <c r="S541" s="1"/>
      <c r="T541" s="1"/>
      <c r="U541" s="1"/>
      <c r="V541" s="1"/>
    </row>
    <row r="542" spans="1:22" ht="12.75" customHeight="1" x14ac:dyDescent="0.2">
      <c r="A542" s="16"/>
      <c r="B542" s="16"/>
      <c r="C542" s="16"/>
      <c r="D542" s="16"/>
      <c r="E542" s="16"/>
      <c r="F542" s="16"/>
      <c r="G542" s="16"/>
      <c r="H542" s="16"/>
      <c r="I542" s="16"/>
      <c r="J542" s="16"/>
      <c r="K542" s="16"/>
      <c r="L542" s="16"/>
      <c r="M542" s="1"/>
      <c r="N542" s="1"/>
      <c r="O542" s="1"/>
      <c r="P542" s="1"/>
      <c r="Q542" s="1"/>
      <c r="R542" s="1"/>
      <c r="S542" s="1"/>
      <c r="T542" s="1"/>
      <c r="U542" s="1"/>
      <c r="V542" s="1"/>
    </row>
    <row r="543" spans="1:22" ht="12.75" customHeight="1" x14ac:dyDescent="0.2">
      <c r="A543" s="16"/>
      <c r="B543" s="16"/>
      <c r="C543" s="16"/>
      <c r="D543" s="16"/>
      <c r="E543" s="16"/>
      <c r="F543" s="16"/>
      <c r="G543" s="16"/>
      <c r="H543" s="16"/>
      <c r="I543" s="16"/>
      <c r="J543" s="16"/>
      <c r="K543" s="16"/>
      <c r="L543" s="16"/>
      <c r="M543" s="1"/>
      <c r="N543" s="1"/>
      <c r="O543" s="1"/>
      <c r="P543" s="1"/>
      <c r="Q543" s="1"/>
      <c r="R543" s="1"/>
      <c r="S543" s="1"/>
      <c r="T543" s="1"/>
      <c r="U543" s="1"/>
      <c r="V543" s="1"/>
    </row>
    <row r="544" spans="1:22" ht="12.75" customHeight="1" x14ac:dyDescent="0.2">
      <c r="A544" s="16"/>
      <c r="B544" s="16"/>
      <c r="C544" s="16"/>
      <c r="D544" s="16"/>
      <c r="E544" s="16"/>
      <c r="F544" s="16"/>
      <c r="G544" s="16"/>
      <c r="H544" s="16"/>
      <c r="I544" s="16"/>
      <c r="J544" s="16"/>
      <c r="K544" s="16"/>
      <c r="L544" s="16"/>
      <c r="M544" s="1"/>
      <c r="N544" s="1"/>
      <c r="O544" s="1"/>
      <c r="P544" s="1"/>
      <c r="Q544" s="1"/>
      <c r="R544" s="1"/>
      <c r="S544" s="1"/>
      <c r="T544" s="1"/>
      <c r="U544" s="1"/>
      <c r="V544" s="1"/>
    </row>
    <row r="545" spans="1:22" ht="12.75" customHeight="1" x14ac:dyDescent="0.2">
      <c r="A545" s="16"/>
      <c r="B545" s="16"/>
      <c r="C545" s="16"/>
      <c r="D545" s="16"/>
      <c r="E545" s="16"/>
      <c r="F545" s="16"/>
      <c r="G545" s="16"/>
      <c r="H545" s="16"/>
      <c r="I545" s="16"/>
      <c r="J545" s="16"/>
      <c r="K545" s="16"/>
      <c r="L545" s="16"/>
      <c r="M545" s="1"/>
      <c r="N545" s="1"/>
      <c r="O545" s="1"/>
      <c r="P545" s="1"/>
      <c r="Q545" s="1"/>
      <c r="R545" s="1"/>
      <c r="S545" s="1"/>
      <c r="T545" s="1"/>
      <c r="U545" s="1"/>
      <c r="V545" s="1"/>
    </row>
    <row r="546" spans="1:22" ht="12.75" customHeight="1" x14ac:dyDescent="0.2">
      <c r="A546" s="16"/>
      <c r="B546" s="16"/>
      <c r="C546" s="16"/>
      <c r="D546" s="16"/>
      <c r="E546" s="16"/>
      <c r="F546" s="16"/>
      <c r="G546" s="16"/>
      <c r="H546" s="16"/>
      <c r="I546" s="16"/>
      <c r="J546" s="16"/>
      <c r="K546" s="16"/>
      <c r="L546" s="16"/>
      <c r="M546" s="1"/>
      <c r="N546" s="1"/>
      <c r="O546" s="1"/>
      <c r="P546" s="1"/>
      <c r="Q546" s="1"/>
      <c r="R546" s="1"/>
      <c r="S546" s="1"/>
      <c r="T546" s="1"/>
      <c r="U546" s="1"/>
      <c r="V546" s="1"/>
    </row>
    <row r="547" spans="1:22" ht="12.75" customHeight="1" x14ac:dyDescent="0.2">
      <c r="A547" s="16"/>
      <c r="B547" s="16"/>
      <c r="C547" s="16"/>
      <c r="D547" s="16"/>
      <c r="E547" s="16"/>
      <c r="F547" s="16"/>
      <c r="G547" s="16"/>
      <c r="H547" s="16"/>
      <c r="I547" s="16"/>
      <c r="J547" s="16"/>
      <c r="K547" s="16"/>
      <c r="L547" s="16"/>
      <c r="M547" s="1"/>
      <c r="N547" s="1"/>
      <c r="O547" s="1"/>
      <c r="P547" s="1"/>
      <c r="Q547" s="1"/>
      <c r="R547" s="1"/>
      <c r="S547" s="1"/>
      <c r="T547" s="1"/>
      <c r="U547" s="1"/>
      <c r="V547" s="1"/>
    </row>
    <row r="548" spans="1:22" ht="12.75" customHeight="1" x14ac:dyDescent="0.2">
      <c r="A548" s="16"/>
      <c r="B548" s="16"/>
      <c r="C548" s="16"/>
      <c r="D548" s="16"/>
      <c r="E548" s="16"/>
      <c r="F548" s="16"/>
      <c r="G548" s="16"/>
      <c r="H548" s="16"/>
      <c r="I548" s="16"/>
      <c r="J548" s="16"/>
      <c r="K548" s="16"/>
      <c r="L548" s="16"/>
      <c r="M548" s="1"/>
      <c r="N548" s="1"/>
      <c r="O548" s="1"/>
      <c r="P548" s="1"/>
      <c r="Q548" s="1"/>
      <c r="R548" s="1"/>
      <c r="S548" s="1"/>
      <c r="T548" s="1"/>
      <c r="U548" s="1"/>
      <c r="V548" s="1"/>
    </row>
    <row r="549" spans="1:22" ht="12.75" customHeight="1" x14ac:dyDescent="0.2">
      <c r="A549" s="16"/>
      <c r="B549" s="16"/>
      <c r="C549" s="16"/>
      <c r="D549" s="16"/>
      <c r="E549" s="16"/>
      <c r="F549" s="16"/>
      <c r="G549" s="16"/>
      <c r="H549" s="16"/>
      <c r="I549" s="16"/>
      <c r="J549" s="16"/>
      <c r="K549" s="16"/>
      <c r="L549" s="16"/>
      <c r="M549" s="1"/>
      <c r="N549" s="1"/>
      <c r="O549" s="1"/>
      <c r="P549" s="1"/>
      <c r="Q549" s="1"/>
      <c r="R549" s="1"/>
      <c r="S549" s="1"/>
      <c r="T549" s="1"/>
      <c r="U549" s="1"/>
      <c r="V549" s="1"/>
    </row>
    <row r="550" spans="1:22" ht="12.75" customHeight="1" x14ac:dyDescent="0.2">
      <c r="A550" s="16"/>
      <c r="B550" s="16"/>
      <c r="C550" s="16"/>
      <c r="D550" s="16"/>
      <c r="E550" s="16"/>
      <c r="F550" s="16"/>
      <c r="G550" s="16"/>
      <c r="H550" s="16"/>
      <c r="I550" s="16"/>
      <c r="J550" s="16"/>
      <c r="K550" s="16"/>
      <c r="L550" s="16"/>
      <c r="M550" s="1"/>
      <c r="N550" s="1"/>
      <c r="O550" s="1"/>
      <c r="P550" s="1"/>
      <c r="Q550" s="1"/>
      <c r="R550" s="1"/>
      <c r="S550" s="1"/>
      <c r="T550" s="1"/>
      <c r="U550" s="1"/>
      <c r="V550" s="1"/>
    </row>
    <row r="551" spans="1:22" ht="12.75" customHeight="1" x14ac:dyDescent="0.2">
      <c r="A551" s="16"/>
      <c r="B551" s="16"/>
      <c r="C551" s="16"/>
      <c r="D551" s="16"/>
      <c r="E551" s="16"/>
      <c r="F551" s="16"/>
      <c r="G551" s="16"/>
      <c r="H551" s="16"/>
      <c r="I551" s="16"/>
      <c r="J551" s="16"/>
      <c r="K551" s="16"/>
      <c r="L551" s="16"/>
      <c r="M551" s="1"/>
      <c r="N551" s="1"/>
      <c r="O551" s="1"/>
      <c r="P551" s="1"/>
      <c r="Q551" s="1"/>
      <c r="R551" s="1"/>
      <c r="S551" s="1"/>
      <c r="T551" s="1"/>
      <c r="U551" s="1"/>
      <c r="V551" s="1"/>
    </row>
    <row r="552" spans="1:22" ht="12.75" customHeight="1" x14ac:dyDescent="0.2">
      <c r="A552" s="16"/>
      <c r="B552" s="16"/>
      <c r="C552" s="16"/>
      <c r="D552" s="16"/>
      <c r="E552" s="16"/>
      <c r="F552" s="16"/>
      <c r="G552" s="16"/>
      <c r="H552" s="16"/>
      <c r="I552" s="16"/>
      <c r="J552" s="16"/>
      <c r="K552" s="16"/>
      <c r="L552" s="16"/>
      <c r="M552" s="1"/>
      <c r="N552" s="1"/>
      <c r="O552" s="1"/>
      <c r="P552" s="1"/>
      <c r="Q552" s="1"/>
      <c r="R552" s="1"/>
      <c r="S552" s="1"/>
      <c r="T552" s="1"/>
      <c r="U552" s="1"/>
      <c r="V552" s="1"/>
    </row>
    <row r="553" spans="1:22" ht="12.75" customHeight="1" x14ac:dyDescent="0.2">
      <c r="A553" s="16"/>
      <c r="B553" s="16"/>
      <c r="C553" s="16"/>
      <c r="D553" s="16"/>
      <c r="E553" s="16"/>
      <c r="F553" s="16"/>
      <c r="G553" s="16"/>
      <c r="H553" s="16"/>
      <c r="I553" s="16"/>
      <c r="J553" s="16"/>
      <c r="K553" s="16"/>
      <c r="L553" s="16"/>
      <c r="M553" s="1"/>
      <c r="N553" s="1"/>
      <c r="O553" s="1"/>
      <c r="P553" s="1"/>
      <c r="Q553" s="1"/>
      <c r="R553" s="1"/>
      <c r="S553" s="1"/>
      <c r="T553" s="1"/>
      <c r="U553" s="1"/>
      <c r="V553" s="1"/>
    </row>
    <row r="554" spans="1:22" ht="12.75" customHeight="1" x14ac:dyDescent="0.2">
      <c r="A554" s="16"/>
      <c r="B554" s="16"/>
      <c r="C554" s="16"/>
      <c r="D554" s="16"/>
      <c r="E554" s="16"/>
      <c r="F554" s="16"/>
      <c r="G554" s="16"/>
      <c r="H554" s="16"/>
      <c r="I554" s="16"/>
      <c r="J554" s="16"/>
      <c r="K554" s="16"/>
      <c r="L554" s="16"/>
      <c r="M554" s="1"/>
      <c r="N554" s="1"/>
      <c r="O554" s="1"/>
      <c r="P554" s="1"/>
      <c r="Q554" s="1"/>
      <c r="R554" s="1"/>
      <c r="S554" s="1"/>
      <c r="T554" s="1"/>
      <c r="U554" s="1"/>
      <c r="V554" s="1"/>
    </row>
    <row r="555" spans="1:22" ht="12.75" customHeight="1" x14ac:dyDescent="0.2">
      <c r="A555" s="16"/>
      <c r="B555" s="16"/>
      <c r="C555" s="16"/>
      <c r="D555" s="16"/>
      <c r="E555" s="16"/>
      <c r="F555" s="16"/>
      <c r="G555" s="16"/>
      <c r="H555" s="16"/>
      <c r="I555" s="16"/>
      <c r="J555" s="16"/>
      <c r="K555" s="16"/>
      <c r="L555" s="16"/>
      <c r="M555" s="1"/>
      <c r="N555" s="1"/>
      <c r="O555" s="1"/>
      <c r="P555" s="1"/>
      <c r="Q555" s="1"/>
      <c r="R555" s="1"/>
      <c r="S555" s="1"/>
      <c r="T555" s="1"/>
      <c r="U555" s="1"/>
      <c r="V555" s="1"/>
    </row>
    <row r="556" spans="1:22" ht="12.75" customHeight="1" x14ac:dyDescent="0.2">
      <c r="A556" s="16"/>
      <c r="B556" s="16"/>
      <c r="C556" s="16"/>
      <c r="D556" s="16"/>
      <c r="E556" s="16"/>
      <c r="F556" s="16"/>
      <c r="G556" s="16"/>
      <c r="H556" s="16"/>
      <c r="I556" s="16"/>
      <c r="J556" s="16"/>
      <c r="K556" s="16"/>
      <c r="L556" s="16"/>
      <c r="M556" s="1"/>
      <c r="N556" s="1"/>
      <c r="O556" s="1"/>
      <c r="P556" s="1"/>
      <c r="Q556" s="1"/>
      <c r="R556" s="1"/>
      <c r="S556" s="1"/>
      <c r="T556" s="1"/>
      <c r="U556" s="1"/>
      <c r="V556" s="1"/>
    </row>
    <row r="557" spans="1:22" ht="12.75" customHeight="1" x14ac:dyDescent="0.2">
      <c r="A557" s="16"/>
      <c r="B557" s="16"/>
      <c r="C557" s="16"/>
      <c r="D557" s="16"/>
      <c r="E557" s="16"/>
      <c r="F557" s="16"/>
      <c r="G557" s="16"/>
      <c r="H557" s="16"/>
      <c r="I557" s="16"/>
      <c r="J557" s="16"/>
      <c r="K557" s="16"/>
      <c r="L557" s="16"/>
      <c r="M557" s="1"/>
      <c r="N557" s="1"/>
      <c r="O557" s="1"/>
      <c r="P557" s="1"/>
      <c r="Q557" s="1"/>
      <c r="R557" s="1"/>
      <c r="S557" s="1"/>
      <c r="T557" s="1"/>
      <c r="U557" s="1"/>
      <c r="V557" s="1"/>
    </row>
    <row r="558" spans="1:22" ht="12.75" customHeight="1" x14ac:dyDescent="0.2">
      <c r="A558" s="16"/>
      <c r="B558" s="16"/>
      <c r="C558" s="16"/>
      <c r="D558" s="16"/>
      <c r="E558" s="16"/>
      <c r="F558" s="16"/>
      <c r="G558" s="16"/>
      <c r="H558" s="16"/>
      <c r="I558" s="16"/>
      <c r="J558" s="16"/>
      <c r="K558" s="16"/>
      <c r="L558" s="16"/>
      <c r="M558" s="1"/>
      <c r="N558" s="1"/>
      <c r="O558" s="1"/>
      <c r="P558" s="1"/>
      <c r="Q558" s="1"/>
      <c r="R558" s="1"/>
      <c r="S558" s="1"/>
      <c r="T558" s="1"/>
      <c r="U558" s="1"/>
      <c r="V558" s="1"/>
    </row>
    <row r="559" spans="1:22" ht="12.75" customHeight="1" x14ac:dyDescent="0.2">
      <c r="A559" s="16"/>
      <c r="B559" s="16"/>
      <c r="C559" s="16"/>
      <c r="D559" s="16"/>
      <c r="E559" s="16"/>
      <c r="F559" s="16"/>
      <c r="G559" s="16"/>
      <c r="H559" s="16"/>
      <c r="I559" s="16"/>
      <c r="J559" s="16"/>
      <c r="K559" s="16"/>
      <c r="L559" s="16"/>
      <c r="M559" s="1"/>
      <c r="N559" s="1"/>
      <c r="O559" s="1"/>
      <c r="P559" s="1"/>
      <c r="Q559" s="1"/>
      <c r="R559" s="1"/>
      <c r="S559" s="1"/>
      <c r="T559" s="1"/>
      <c r="U559" s="1"/>
      <c r="V559" s="1"/>
    </row>
    <row r="560" spans="1:22" ht="12.75" customHeight="1" x14ac:dyDescent="0.2">
      <c r="A560" s="16"/>
      <c r="B560" s="16"/>
      <c r="C560" s="16"/>
      <c r="D560" s="16"/>
      <c r="E560" s="16"/>
      <c r="F560" s="16"/>
      <c r="G560" s="16"/>
      <c r="H560" s="16"/>
      <c r="I560" s="16"/>
      <c r="J560" s="16"/>
      <c r="K560" s="16"/>
      <c r="L560" s="16"/>
      <c r="M560" s="1"/>
      <c r="N560" s="1"/>
      <c r="O560" s="1"/>
      <c r="P560" s="1"/>
      <c r="Q560" s="1"/>
      <c r="R560" s="1"/>
      <c r="S560" s="1"/>
      <c r="T560" s="1"/>
      <c r="U560" s="1"/>
      <c r="V560" s="1"/>
    </row>
    <row r="561" spans="1:22" ht="12.75" customHeight="1" x14ac:dyDescent="0.2">
      <c r="A561" s="16"/>
      <c r="B561" s="16"/>
      <c r="C561" s="16"/>
      <c r="D561" s="16"/>
      <c r="E561" s="16"/>
      <c r="F561" s="16"/>
      <c r="G561" s="16"/>
      <c r="H561" s="16"/>
      <c r="I561" s="16"/>
      <c r="J561" s="16"/>
      <c r="K561" s="16"/>
      <c r="L561" s="16"/>
      <c r="M561" s="1"/>
      <c r="N561" s="1"/>
      <c r="O561" s="1"/>
      <c r="P561" s="1"/>
      <c r="Q561" s="1"/>
      <c r="R561" s="1"/>
      <c r="S561" s="1"/>
      <c r="T561" s="1"/>
      <c r="U561" s="1"/>
      <c r="V561" s="1"/>
    </row>
    <row r="562" spans="1:22" ht="12.75" customHeight="1" x14ac:dyDescent="0.2">
      <c r="A562" s="16"/>
      <c r="B562" s="16"/>
      <c r="C562" s="16"/>
      <c r="D562" s="16"/>
      <c r="E562" s="16"/>
      <c r="F562" s="16"/>
      <c r="G562" s="16"/>
      <c r="H562" s="16"/>
      <c r="I562" s="16"/>
      <c r="J562" s="16"/>
      <c r="K562" s="16"/>
      <c r="L562" s="16"/>
      <c r="M562" s="1"/>
      <c r="N562" s="1"/>
      <c r="O562" s="1"/>
      <c r="P562" s="1"/>
      <c r="Q562" s="1"/>
      <c r="R562" s="1"/>
      <c r="S562" s="1"/>
      <c r="T562" s="1"/>
      <c r="U562" s="1"/>
      <c r="V562" s="1"/>
    </row>
    <row r="563" spans="1:22" ht="12.75" customHeight="1" x14ac:dyDescent="0.2">
      <c r="A563" s="16"/>
      <c r="B563" s="16"/>
      <c r="C563" s="16"/>
      <c r="D563" s="16"/>
      <c r="E563" s="16"/>
      <c r="F563" s="16"/>
      <c r="G563" s="16"/>
      <c r="H563" s="16"/>
      <c r="I563" s="16"/>
      <c r="J563" s="16"/>
      <c r="K563" s="16"/>
      <c r="L563" s="16"/>
      <c r="M563" s="1"/>
      <c r="N563" s="1"/>
      <c r="O563" s="1"/>
      <c r="P563" s="1"/>
      <c r="Q563" s="1"/>
      <c r="R563" s="1"/>
      <c r="S563" s="1"/>
      <c r="T563" s="1"/>
      <c r="U563" s="1"/>
      <c r="V563" s="1"/>
    </row>
    <row r="564" spans="1:22" ht="12.75" customHeight="1" x14ac:dyDescent="0.2">
      <c r="A564" s="16"/>
      <c r="B564" s="16"/>
      <c r="C564" s="16"/>
      <c r="D564" s="16"/>
      <c r="E564" s="16"/>
      <c r="F564" s="16"/>
      <c r="G564" s="16"/>
      <c r="H564" s="16"/>
      <c r="I564" s="16"/>
      <c r="J564" s="16"/>
      <c r="K564" s="16"/>
      <c r="L564" s="16"/>
      <c r="M564" s="1"/>
      <c r="N564" s="1"/>
      <c r="O564" s="1"/>
      <c r="P564" s="1"/>
      <c r="Q564" s="1"/>
      <c r="R564" s="1"/>
      <c r="S564" s="1"/>
      <c r="T564" s="1"/>
      <c r="U564" s="1"/>
      <c r="V564" s="1"/>
    </row>
    <row r="565" spans="1:22" ht="12.75" customHeight="1" x14ac:dyDescent="0.2">
      <c r="A565" s="16"/>
      <c r="B565" s="16"/>
      <c r="C565" s="16"/>
      <c r="D565" s="16"/>
      <c r="E565" s="16"/>
      <c r="F565" s="16"/>
      <c r="G565" s="16"/>
      <c r="H565" s="16"/>
      <c r="I565" s="16"/>
      <c r="J565" s="16"/>
      <c r="K565" s="16"/>
      <c r="L565" s="16"/>
      <c r="M565" s="1"/>
      <c r="N565" s="1"/>
      <c r="O565" s="1"/>
      <c r="P565" s="1"/>
      <c r="Q565" s="1"/>
      <c r="R565" s="1"/>
      <c r="S565" s="1"/>
      <c r="T565" s="1"/>
      <c r="U565" s="1"/>
      <c r="V565" s="1"/>
    </row>
    <row r="566" spans="1:22" ht="12.75" customHeight="1" x14ac:dyDescent="0.2">
      <c r="A566" s="16"/>
      <c r="B566" s="16"/>
      <c r="C566" s="16"/>
      <c r="D566" s="16"/>
      <c r="E566" s="16"/>
      <c r="F566" s="16"/>
      <c r="G566" s="16"/>
      <c r="H566" s="16"/>
      <c r="I566" s="16"/>
      <c r="J566" s="16"/>
      <c r="K566" s="16"/>
      <c r="L566" s="16"/>
      <c r="M566" s="1"/>
      <c r="N566" s="1"/>
      <c r="O566" s="1"/>
      <c r="P566" s="1"/>
      <c r="Q566" s="1"/>
      <c r="R566" s="1"/>
      <c r="S566" s="1"/>
      <c r="T566" s="1"/>
      <c r="U566" s="1"/>
      <c r="V566" s="1"/>
    </row>
    <row r="567" spans="1:22" ht="12.75" customHeight="1" x14ac:dyDescent="0.2">
      <c r="A567" s="16"/>
      <c r="B567" s="16"/>
      <c r="C567" s="16"/>
      <c r="D567" s="16"/>
      <c r="E567" s="16"/>
      <c r="F567" s="16"/>
      <c r="G567" s="16"/>
      <c r="H567" s="16"/>
      <c r="I567" s="16"/>
      <c r="J567" s="16"/>
      <c r="K567" s="16"/>
      <c r="L567" s="16"/>
      <c r="M567" s="1"/>
      <c r="N567" s="1"/>
      <c r="O567" s="1"/>
      <c r="P567" s="1"/>
      <c r="Q567" s="1"/>
      <c r="R567" s="1"/>
      <c r="S567" s="1"/>
      <c r="T567" s="1"/>
      <c r="U567" s="1"/>
      <c r="V567" s="1"/>
    </row>
    <row r="568" spans="1:22" ht="12.75" customHeight="1" x14ac:dyDescent="0.2">
      <c r="A568" s="16"/>
      <c r="B568" s="16"/>
      <c r="C568" s="16"/>
      <c r="D568" s="16"/>
      <c r="E568" s="16"/>
      <c r="F568" s="16"/>
      <c r="G568" s="16"/>
      <c r="H568" s="16"/>
      <c r="I568" s="16"/>
      <c r="J568" s="16"/>
      <c r="K568" s="16"/>
      <c r="L568" s="16"/>
      <c r="M568" s="1"/>
      <c r="N568" s="1"/>
      <c r="O568" s="1"/>
      <c r="P568" s="1"/>
      <c r="Q568" s="1"/>
      <c r="R568" s="1"/>
      <c r="S568" s="1"/>
      <c r="T568" s="1"/>
      <c r="U568" s="1"/>
      <c r="V568" s="1"/>
    </row>
    <row r="569" spans="1:22" ht="12.75" customHeight="1" x14ac:dyDescent="0.2">
      <c r="A569" s="16"/>
      <c r="B569" s="16"/>
      <c r="C569" s="16"/>
      <c r="D569" s="16"/>
      <c r="E569" s="16"/>
      <c r="F569" s="16"/>
      <c r="G569" s="16"/>
      <c r="H569" s="16"/>
      <c r="I569" s="16"/>
      <c r="J569" s="16"/>
      <c r="K569" s="16"/>
      <c r="L569" s="16"/>
      <c r="M569" s="1"/>
      <c r="N569" s="1"/>
      <c r="O569" s="1"/>
      <c r="P569" s="1"/>
      <c r="Q569" s="1"/>
      <c r="R569" s="1"/>
      <c r="S569" s="1"/>
      <c r="T569" s="1"/>
      <c r="U569" s="1"/>
      <c r="V569" s="1"/>
    </row>
    <row r="570" spans="1:22" ht="12.75" customHeight="1" x14ac:dyDescent="0.2">
      <c r="A570" s="16"/>
      <c r="B570" s="16"/>
      <c r="C570" s="16"/>
      <c r="D570" s="16"/>
      <c r="E570" s="16"/>
      <c r="F570" s="16"/>
      <c r="G570" s="16"/>
      <c r="H570" s="16"/>
      <c r="I570" s="16"/>
      <c r="J570" s="16"/>
      <c r="K570" s="16"/>
      <c r="L570" s="16"/>
      <c r="M570" s="1"/>
      <c r="N570" s="1"/>
      <c r="O570" s="1"/>
      <c r="P570" s="1"/>
      <c r="Q570" s="1"/>
      <c r="R570" s="1"/>
      <c r="S570" s="1"/>
      <c r="T570" s="1"/>
      <c r="U570" s="1"/>
      <c r="V570" s="1"/>
    </row>
    <row r="571" spans="1:22" ht="12.75" customHeight="1" x14ac:dyDescent="0.2">
      <c r="A571" s="16"/>
      <c r="B571" s="16"/>
      <c r="C571" s="16"/>
      <c r="D571" s="16"/>
      <c r="E571" s="16"/>
      <c r="F571" s="16"/>
      <c r="G571" s="16"/>
      <c r="H571" s="16"/>
      <c r="I571" s="16"/>
      <c r="J571" s="16"/>
      <c r="K571" s="16"/>
      <c r="L571" s="16"/>
      <c r="M571" s="1"/>
      <c r="N571" s="1"/>
      <c r="O571" s="1"/>
      <c r="P571" s="1"/>
      <c r="Q571" s="1"/>
      <c r="R571" s="1"/>
      <c r="S571" s="1"/>
      <c r="T571" s="1"/>
      <c r="U571" s="1"/>
      <c r="V571" s="1"/>
    </row>
    <row r="572" spans="1:22" ht="12.75" customHeight="1" x14ac:dyDescent="0.2">
      <c r="A572" s="16"/>
      <c r="B572" s="16"/>
      <c r="C572" s="16"/>
      <c r="D572" s="16"/>
      <c r="E572" s="16"/>
      <c r="F572" s="16"/>
      <c r="G572" s="16"/>
      <c r="H572" s="16"/>
      <c r="I572" s="16"/>
      <c r="J572" s="16"/>
      <c r="K572" s="16"/>
      <c r="L572" s="16"/>
      <c r="M572" s="1"/>
      <c r="N572" s="1"/>
      <c r="O572" s="1"/>
      <c r="P572" s="1"/>
      <c r="Q572" s="1"/>
      <c r="R572" s="1"/>
      <c r="S572" s="1"/>
      <c r="T572" s="1"/>
      <c r="U572" s="1"/>
      <c r="V572" s="1"/>
    </row>
    <row r="573" spans="1:22" ht="12.75" customHeight="1" x14ac:dyDescent="0.2">
      <c r="A573" s="16"/>
      <c r="B573" s="16"/>
      <c r="C573" s="16"/>
      <c r="D573" s="16"/>
      <c r="E573" s="16"/>
      <c r="F573" s="16"/>
      <c r="G573" s="16"/>
      <c r="H573" s="16"/>
      <c r="I573" s="16"/>
      <c r="J573" s="16"/>
      <c r="K573" s="16"/>
      <c r="L573" s="16"/>
      <c r="M573" s="1"/>
      <c r="N573" s="1"/>
      <c r="O573" s="1"/>
      <c r="P573" s="1"/>
      <c r="Q573" s="1"/>
      <c r="R573" s="1"/>
      <c r="S573" s="1"/>
      <c r="T573" s="1"/>
      <c r="U573" s="1"/>
      <c r="V573" s="1"/>
    </row>
    <row r="574" spans="1:22" ht="12.75" customHeight="1" x14ac:dyDescent="0.2">
      <c r="A574" s="16"/>
      <c r="B574" s="16"/>
      <c r="C574" s="16"/>
      <c r="D574" s="16"/>
      <c r="E574" s="16"/>
      <c r="F574" s="16"/>
      <c r="G574" s="16"/>
      <c r="H574" s="16"/>
      <c r="I574" s="16"/>
      <c r="J574" s="16"/>
      <c r="K574" s="16"/>
      <c r="L574" s="16"/>
      <c r="M574" s="1"/>
      <c r="N574" s="1"/>
      <c r="O574" s="1"/>
      <c r="P574" s="1"/>
      <c r="Q574" s="1"/>
      <c r="R574" s="1"/>
      <c r="S574" s="1"/>
      <c r="T574" s="1"/>
      <c r="U574" s="1"/>
      <c r="V574" s="1"/>
    </row>
    <row r="575" spans="1:22" ht="12.75" customHeight="1" x14ac:dyDescent="0.2">
      <c r="A575" s="16"/>
      <c r="B575" s="16"/>
      <c r="C575" s="16"/>
      <c r="D575" s="16"/>
      <c r="E575" s="16"/>
      <c r="F575" s="16"/>
      <c r="G575" s="16"/>
      <c r="H575" s="16"/>
      <c r="I575" s="16"/>
      <c r="J575" s="16"/>
      <c r="K575" s="16"/>
      <c r="L575" s="16"/>
      <c r="M575" s="1"/>
      <c r="N575" s="1"/>
      <c r="O575" s="1"/>
      <c r="P575" s="1"/>
      <c r="Q575" s="1"/>
      <c r="R575" s="1"/>
      <c r="S575" s="1"/>
      <c r="T575" s="1"/>
      <c r="U575" s="1"/>
      <c r="V575" s="1"/>
    </row>
    <row r="576" spans="1:22" ht="12.75" customHeight="1" x14ac:dyDescent="0.2">
      <c r="A576" s="16"/>
      <c r="B576" s="16"/>
      <c r="C576" s="16"/>
      <c r="D576" s="16"/>
      <c r="E576" s="16"/>
      <c r="F576" s="16"/>
      <c r="G576" s="16"/>
      <c r="H576" s="16"/>
      <c r="I576" s="16"/>
      <c r="J576" s="16"/>
      <c r="K576" s="16"/>
      <c r="L576" s="16"/>
      <c r="M576" s="1"/>
      <c r="N576" s="1"/>
      <c r="O576" s="1"/>
      <c r="P576" s="1"/>
      <c r="Q576" s="1"/>
      <c r="R576" s="1"/>
      <c r="S576" s="1"/>
      <c r="T576" s="1"/>
      <c r="U576" s="1"/>
      <c r="V576" s="1"/>
    </row>
    <row r="577" spans="1:22" ht="12.75" customHeight="1" x14ac:dyDescent="0.2">
      <c r="A577" s="16"/>
      <c r="B577" s="16"/>
      <c r="C577" s="16"/>
      <c r="D577" s="16"/>
      <c r="E577" s="16"/>
      <c r="F577" s="16"/>
      <c r="G577" s="16"/>
      <c r="H577" s="16"/>
      <c r="I577" s="16"/>
      <c r="J577" s="16"/>
      <c r="K577" s="16"/>
      <c r="L577" s="16"/>
      <c r="M577" s="1"/>
      <c r="N577" s="1"/>
      <c r="O577" s="1"/>
      <c r="P577" s="1"/>
      <c r="Q577" s="1"/>
      <c r="R577" s="1"/>
      <c r="S577" s="1"/>
      <c r="T577" s="1"/>
      <c r="U577" s="1"/>
      <c r="V577" s="1"/>
    </row>
    <row r="578" spans="1:22" ht="12.75" customHeight="1" x14ac:dyDescent="0.2">
      <c r="A578" s="16"/>
      <c r="B578" s="16"/>
      <c r="C578" s="16"/>
      <c r="D578" s="16"/>
      <c r="E578" s="16"/>
      <c r="F578" s="16"/>
      <c r="G578" s="16"/>
      <c r="H578" s="16"/>
      <c r="I578" s="16"/>
      <c r="J578" s="16"/>
      <c r="K578" s="16"/>
      <c r="L578" s="16"/>
      <c r="M578" s="1"/>
      <c r="N578" s="1"/>
      <c r="O578" s="1"/>
      <c r="P578" s="1"/>
      <c r="Q578" s="1"/>
      <c r="R578" s="1"/>
      <c r="S578" s="1"/>
      <c r="T578" s="1"/>
      <c r="U578" s="1"/>
      <c r="V578" s="1"/>
    </row>
    <row r="579" spans="1:22" ht="12.75" customHeight="1" x14ac:dyDescent="0.2">
      <c r="A579" s="16"/>
      <c r="B579" s="16"/>
      <c r="C579" s="16"/>
      <c r="D579" s="16"/>
      <c r="E579" s="16"/>
      <c r="F579" s="16"/>
      <c r="G579" s="16"/>
      <c r="H579" s="16"/>
      <c r="I579" s="16"/>
      <c r="J579" s="16"/>
      <c r="K579" s="16"/>
      <c r="L579" s="16"/>
      <c r="M579" s="1"/>
      <c r="N579" s="1"/>
      <c r="O579" s="1"/>
      <c r="P579" s="1"/>
      <c r="Q579" s="1"/>
      <c r="R579" s="1"/>
      <c r="S579" s="1"/>
      <c r="T579" s="1"/>
      <c r="U579" s="1"/>
      <c r="V579" s="1"/>
    </row>
    <row r="580" spans="1:22" ht="12.75" customHeight="1" x14ac:dyDescent="0.2">
      <c r="A580" s="16"/>
      <c r="B580" s="16"/>
      <c r="C580" s="16"/>
      <c r="D580" s="16"/>
      <c r="E580" s="16"/>
      <c r="F580" s="16"/>
      <c r="G580" s="16"/>
      <c r="H580" s="16"/>
      <c r="I580" s="16"/>
      <c r="J580" s="16"/>
      <c r="K580" s="16"/>
      <c r="L580" s="16"/>
      <c r="M580" s="1"/>
      <c r="N580" s="1"/>
      <c r="O580" s="1"/>
      <c r="P580" s="1"/>
      <c r="Q580" s="1"/>
      <c r="R580" s="1"/>
      <c r="S580" s="1"/>
      <c r="T580" s="1"/>
      <c r="U580" s="1"/>
      <c r="V580" s="1"/>
    </row>
    <row r="581" spans="1:22" ht="12.75" customHeight="1" x14ac:dyDescent="0.2">
      <c r="A581" s="16"/>
      <c r="B581" s="16"/>
      <c r="C581" s="16"/>
      <c r="D581" s="16"/>
      <c r="E581" s="16"/>
      <c r="F581" s="16"/>
      <c r="G581" s="16"/>
      <c r="H581" s="16"/>
      <c r="I581" s="16"/>
      <c r="J581" s="16"/>
      <c r="K581" s="16"/>
      <c r="L581" s="16"/>
      <c r="M581" s="1"/>
      <c r="N581" s="1"/>
      <c r="O581" s="1"/>
      <c r="P581" s="1"/>
      <c r="Q581" s="1"/>
      <c r="R581" s="1"/>
      <c r="S581" s="1"/>
      <c r="T581" s="1"/>
      <c r="U581" s="1"/>
      <c r="V581" s="1"/>
    </row>
    <row r="582" spans="1:22" ht="12.75" customHeight="1" x14ac:dyDescent="0.2">
      <c r="A582" s="16"/>
      <c r="B582" s="16"/>
      <c r="C582" s="16"/>
      <c r="D582" s="16"/>
      <c r="E582" s="16"/>
      <c r="F582" s="16"/>
      <c r="G582" s="16"/>
      <c r="H582" s="16"/>
      <c r="I582" s="16"/>
      <c r="J582" s="16"/>
      <c r="K582" s="16"/>
      <c r="L582" s="16"/>
      <c r="M582" s="1"/>
      <c r="N582" s="1"/>
      <c r="O582" s="1"/>
      <c r="P582" s="1"/>
      <c r="Q582" s="1"/>
      <c r="R582" s="1"/>
      <c r="S582" s="1"/>
      <c r="T582" s="1"/>
      <c r="U582" s="1"/>
      <c r="V582" s="1"/>
    </row>
    <row r="583" spans="1:22" ht="12.75" customHeight="1" x14ac:dyDescent="0.2">
      <c r="A583" s="16"/>
      <c r="B583" s="16"/>
      <c r="C583" s="16"/>
      <c r="D583" s="16"/>
      <c r="E583" s="16"/>
      <c r="F583" s="16"/>
      <c r="G583" s="16"/>
      <c r="H583" s="16"/>
      <c r="I583" s="16"/>
      <c r="J583" s="16"/>
      <c r="K583" s="16"/>
      <c r="L583" s="16"/>
      <c r="M583" s="1"/>
      <c r="N583" s="1"/>
      <c r="O583" s="1"/>
      <c r="P583" s="1"/>
      <c r="Q583" s="1"/>
      <c r="R583" s="1"/>
      <c r="S583" s="1"/>
      <c r="T583" s="1"/>
      <c r="U583" s="1"/>
      <c r="V583" s="1"/>
    </row>
    <row r="584" spans="1:22" ht="12.75" customHeight="1" x14ac:dyDescent="0.2">
      <c r="A584" s="16"/>
      <c r="B584" s="16"/>
      <c r="C584" s="16"/>
      <c r="D584" s="16"/>
      <c r="E584" s="16"/>
      <c r="F584" s="16"/>
      <c r="G584" s="16"/>
      <c r="H584" s="16"/>
      <c r="I584" s="16"/>
      <c r="J584" s="16"/>
      <c r="K584" s="16"/>
      <c r="L584" s="16"/>
      <c r="M584" s="1"/>
      <c r="N584" s="1"/>
      <c r="O584" s="1"/>
      <c r="P584" s="1"/>
      <c r="Q584" s="1"/>
      <c r="R584" s="1"/>
      <c r="S584" s="1"/>
      <c r="T584" s="1"/>
      <c r="U584" s="1"/>
      <c r="V584" s="1"/>
    </row>
    <row r="585" spans="1:22" ht="12.75" customHeight="1" x14ac:dyDescent="0.2">
      <c r="A585" s="16"/>
      <c r="B585" s="16"/>
      <c r="C585" s="16"/>
      <c r="D585" s="16"/>
      <c r="E585" s="16"/>
      <c r="F585" s="16"/>
      <c r="G585" s="16"/>
      <c r="H585" s="16"/>
      <c r="I585" s="16"/>
      <c r="J585" s="16"/>
      <c r="K585" s="16"/>
      <c r="L585" s="16"/>
      <c r="M585" s="1"/>
      <c r="N585" s="1"/>
      <c r="O585" s="1"/>
      <c r="P585" s="1"/>
      <c r="Q585" s="1"/>
      <c r="R585" s="1"/>
      <c r="S585" s="1"/>
      <c r="T585" s="1"/>
      <c r="U585" s="1"/>
      <c r="V585" s="1"/>
    </row>
    <row r="586" spans="1:22" ht="12.75" customHeight="1" x14ac:dyDescent="0.2">
      <c r="A586" s="16"/>
      <c r="B586" s="16"/>
      <c r="C586" s="16"/>
      <c r="D586" s="16"/>
      <c r="E586" s="16"/>
      <c r="F586" s="16"/>
      <c r="G586" s="16"/>
      <c r="H586" s="16"/>
      <c r="I586" s="16"/>
      <c r="J586" s="16"/>
      <c r="K586" s="16"/>
      <c r="L586" s="16"/>
      <c r="M586" s="1"/>
      <c r="N586" s="1"/>
      <c r="O586" s="1"/>
      <c r="P586" s="1"/>
      <c r="Q586" s="1"/>
      <c r="R586" s="1"/>
      <c r="S586" s="1"/>
      <c r="T586" s="1"/>
      <c r="U586" s="1"/>
      <c r="V586" s="1"/>
    </row>
    <row r="587" spans="1:22" ht="12.75" customHeight="1" x14ac:dyDescent="0.2">
      <c r="A587" s="16"/>
      <c r="B587" s="16"/>
      <c r="C587" s="16"/>
      <c r="D587" s="16"/>
      <c r="E587" s="16"/>
      <c r="F587" s="16"/>
      <c r="G587" s="16"/>
      <c r="H587" s="16"/>
      <c r="I587" s="16"/>
      <c r="J587" s="16"/>
      <c r="K587" s="16"/>
      <c r="L587" s="16"/>
      <c r="M587" s="1"/>
      <c r="N587" s="1"/>
      <c r="O587" s="1"/>
      <c r="P587" s="1"/>
      <c r="Q587" s="1"/>
      <c r="R587" s="1"/>
      <c r="S587" s="1"/>
      <c r="T587" s="1"/>
      <c r="U587" s="1"/>
      <c r="V587" s="1"/>
    </row>
    <row r="588" spans="1:22" ht="12.75" customHeight="1" x14ac:dyDescent="0.2">
      <c r="A588" s="16"/>
      <c r="B588" s="16"/>
      <c r="C588" s="16"/>
      <c r="D588" s="16"/>
      <c r="E588" s="16"/>
      <c r="F588" s="16"/>
      <c r="G588" s="16"/>
      <c r="H588" s="16"/>
      <c r="I588" s="16"/>
      <c r="J588" s="16"/>
      <c r="K588" s="16"/>
      <c r="L588" s="16"/>
      <c r="M588" s="1"/>
      <c r="N588" s="1"/>
      <c r="O588" s="1"/>
      <c r="P588" s="1"/>
      <c r="Q588" s="1"/>
      <c r="R588" s="1"/>
      <c r="S588" s="1"/>
      <c r="T588" s="1"/>
      <c r="U588" s="1"/>
      <c r="V588" s="1"/>
    </row>
    <row r="589" spans="1:22" ht="12.75" customHeight="1" x14ac:dyDescent="0.2">
      <c r="A589" s="16"/>
      <c r="B589" s="16"/>
      <c r="C589" s="16"/>
      <c r="D589" s="16"/>
      <c r="E589" s="16"/>
      <c r="F589" s="16"/>
      <c r="G589" s="16"/>
      <c r="H589" s="16"/>
      <c r="I589" s="16"/>
      <c r="J589" s="16"/>
      <c r="K589" s="16"/>
      <c r="L589" s="16"/>
      <c r="M589" s="1"/>
      <c r="N589" s="1"/>
      <c r="O589" s="1"/>
      <c r="P589" s="1"/>
      <c r="Q589" s="1"/>
      <c r="R589" s="1"/>
      <c r="S589" s="1"/>
      <c r="T589" s="1"/>
      <c r="U589" s="1"/>
      <c r="V589" s="1"/>
    </row>
    <row r="590" spans="1:22" ht="12.75" customHeight="1" x14ac:dyDescent="0.2">
      <c r="A590" s="16"/>
      <c r="B590" s="16"/>
      <c r="C590" s="16"/>
      <c r="D590" s="16"/>
      <c r="E590" s="16"/>
      <c r="F590" s="16"/>
      <c r="G590" s="16"/>
      <c r="H590" s="16"/>
      <c r="I590" s="16"/>
      <c r="J590" s="16"/>
      <c r="K590" s="16"/>
      <c r="L590" s="16"/>
      <c r="M590" s="1"/>
      <c r="N590" s="1"/>
      <c r="O590" s="1"/>
      <c r="P590" s="1"/>
      <c r="Q590" s="1"/>
      <c r="R590" s="1"/>
      <c r="S590" s="1"/>
      <c r="T590" s="1"/>
      <c r="U590" s="1"/>
      <c r="V590" s="1"/>
    </row>
    <row r="591" spans="1:22" ht="12.75" customHeight="1" x14ac:dyDescent="0.2">
      <c r="A591" s="16"/>
      <c r="B591" s="16"/>
      <c r="C591" s="16"/>
      <c r="D591" s="16"/>
      <c r="E591" s="16"/>
      <c r="F591" s="16"/>
      <c r="G591" s="16"/>
      <c r="H591" s="16"/>
      <c r="I591" s="16"/>
      <c r="J591" s="16"/>
      <c r="K591" s="16"/>
      <c r="L591" s="16"/>
      <c r="M591" s="1"/>
      <c r="N591" s="1"/>
      <c r="O591" s="1"/>
      <c r="P591" s="1"/>
      <c r="Q591" s="1"/>
      <c r="R591" s="1"/>
      <c r="S591" s="1"/>
      <c r="T591" s="1"/>
      <c r="U591" s="1"/>
      <c r="V591" s="1"/>
    </row>
    <row r="592" spans="1:22" ht="12.75" customHeight="1" x14ac:dyDescent="0.2">
      <c r="A592" s="16"/>
      <c r="B592" s="16"/>
      <c r="C592" s="16"/>
      <c r="D592" s="16"/>
      <c r="E592" s="16"/>
      <c r="F592" s="16"/>
      <c r="G592" s="16"/>
      <c r="H592" s="16"/>
      <c r="I592" s="16"/>
      <c r="J592" s="16"/>
      <c r="K592" s="16"/>
      <c r="L592" s="16"/>
      <c r="M592" s="1"/>
      <c r="N592" s="1"/>
      <c r="O592" s="1"/>
      <c r="P592" s="1"/>
      <c r="Q592" s="1"/>
      <c r="R592" s="1"/>
      <c r="S592" s="1"/>
      <c r="T592" s="1"/>
      <c r="U592" s="1"/>
      <c r="V592" s="1"/>
    </row>
    <row r="593" spans="1:22" ht="12.75" customHeight="1" x14ac:dyDescent="0.2">
      <c r="A593" s="16"/>
      <c r="B593" s="16"/>
      <c r="C593" s="16"/>
      <c r="D593" s="16"/>
      <c r="E593" s="16"/>
      <c r="F593" s="16"/>
      <c r="G593" s="16"/>
      <c r="H593" s="16"/>
      <c r="I593" s="16"/>
      <c r="J593" s="16"/>
      <c r="K593" s="16"/>
      <c r="L593" s="16"/>
      <c r="M593" s="1"/>
      <c r="N593" s="1"/>
      <c r="O593" s="1"/>
      <c r="P593" s="1"/>
      <c r="Q593" s="1"/>
      <c r="R593" s="1"/>
      <c r="S593" s="1"/>
      <c r="T593" s="1"/>
      <c r="U593" s="1"/>
      <c r="V593" s="1"/>
    </row>
    <row r="594" spans="1:22" ht="12.75" customHeight="1" x14ac:dyDescent="0.2">
      <c r="A594" s="16"/>
      <c r="B594" s="16"/>
      <c r="C594" s="16"/>
      <c r="D594" s="16"/>
      <c r="E594" s="16"/>
      <c r="F594" s="16"/>
      <c r="G594" s="16"/>
      <c r="H594" s="16"/>
      <c r="I594" s="16"/>
      <c r="J594" s="16"/>
      <c r="K594" s="16"/>
      <c r="L594" s="16"/>
      <c r="M594" s="1"/>
      <c r="N594" s="1"/>
      <c r="O594" s="1"/>
      <c r="P594" s="1"/>
      <c r="Q594" s="1"/>
      <c r="R594" s="1"/>
      <c r="S594" s="1"/>
      <c r="T594" s="1"/>
      <c r="U594" s="1"/>
      <c r="V594" s="1"/>
    </row>
    <row r="595" spans="1:22" ht="12.75" customHeight="1" x14ac:dyDescent="0.2">
      <c r="A595" s="16"/>
      <c r="B595" s="16"/>
      <c r="C595" s="16"/>
      <c r="D595" s="16"/>
      <c r="E595" s="16"/>
      <c r="F595" s="16"/>
      <c r="G595" s="16"/>
      <c r="H595" s="16"/>
      <c r="I595" s="16"/>
      <c r="J595" s="16"/>
      <c r="K595" s="16"/>
      <c r="L595" s="16"/>
      <c r="M595" s="1"/>
      <c r="N595" s="1"/>
      <c r="O595" s="1"/>
      <c r="P595" s="1"/>
      <c r="Q595" s="1"/>
      <c r="R595" s="1"/>
      <c r="S595" s="1"/>
      <c r="T595" s="1"/>
      <c r="U595" s="1"/>
      <c r="V595" s="1"/>
    </row>
    <row r="596" spans="1:22" ht="12.75" customHeight="1" x14ac:dyDescent="0.2">
      <c r="A596" s="16"/>
      <c r="B596" s="16"/>
      <c r="C596" s="16"/>
      <c r="D596" s="16"/>
      <c r="E596" s="16"/>
      <c r="F596" s="16"/>
      <c r="G596" s="16"/>
      <c r="H596" s="16"/>
      <c r="I596" s="16"/>
      <c r="J596" s="16"/>
      <c r="K596" s="16"/>
      <c r="L596" s="16"/>
      <c r="M596" s="1"/>
      <c r="N596" s="1"/>
      <c r="O596" s="1"/>
      <c r="P596" s="1"/>
      <c r="Q596" s="1"/>
      <c r="R596" s="1"/>
      <c r="S596" s="1"/>
      <c r="T596" s="1"/>
      <c r="U596" s="1"/>
      <c r="V596" s="1"/>
    </row>
    <row r="597" spans="1:22" ht="12.75" customHeight="1" x14ac:dyDescent="0.2">
      <c r="A597" s="16"/>
      <c r="B597" s="16"/>
      <c r="C597" s="16"/>
      <c r="D597" s="16"/>
      <c r="E597" s="16"/>
      <c r="F597" s="16"/>
      <c r="G597" s="16"/>
      <c r="H597" s="16"/>
      <c r="I597" s="16"/>
      <c r="J597" s="16"/>
      <c r="K597" s="16"/>
      <c r="L597" s="16"/>
      <c r="M597" s="1"/>
      <c r="N597" s="1"/>
      <c r="O597" s="1"/>
      <c r="P597" s="1"/>
      <c r="Q597" s="1"/>
      <c r="R597" s="1"/>
      <c r="S597" s="1"/>
      <c r="T597" s="1"/>
      <c r="U597" s="1"/>
      <c r="V597" s="1"/>
    </row>
    <row r="598" spans="1:22" ht="12.75" customHeight="1" x14ac:dyDescent="0.2">
      <c r="A598" s="16"/>
      <c r="B598" s="16"/>
      <c r="C598" s="16"/>
      <c r="D598" s="16"/>
      <c r="E598" s="16"/>
      <c r="F598" s="16"/>
      <c r="G598" s="16"/>
      <c r="H598" s="16"/>
      <c r="I598" s="16"/>
      <c r="J598" s="16"/>
      <c r="K598" s="16"/>
      <c r="L598" s="16"/>
      <c r="M598" s="1"/>
      <c r="N598" s="1"/>
      <c r="O598" s="1"/>
      <c r="P598" s="1"/>
      <c r="Q598" s="1"/>
      <c r="R598" s="1"/>
      <c r="S598" s="1"/>
      <c r="T598" s="1"/>
      <c r="U598" s="1"/>
      <c r="V598" s="1"/>
    </row>
    <row r="599" spans="1:22" ht="12.75" customHeight="1" x14ac:dyDescent="0.2">
      <c r="A599" s="16"/>
      <c r="B599" s="16"/>
      <c r="C599" s="16"/>
      <c r="D599" s="16"/>
      <c r="E599" s="16"/>
      <c r="F599" s="16"/>
      <c r="G599" s="16"/>
      <c r="H599" s="16"/>
      <c r="I599" s="16"/>
      <c r="J599" s="16"/>
      <c r="K599" s="16"/>
      <c r="L599" s="16"/>
      <c r="M599" s="1"/>
      <c r="N599" s="1"/>
      <c r="O599" s="1"/>
      <c r="P599" s="1"/>
      <c r="Q599" s="1"/>
      <c r="R599" s="1"/>
      <c r="S599" s="1"/>
      <c r="T599" s="1"/>
      <c r="U599" s="1"/>
      <c r="V599" s="1"/>
    </row>
    <row r="600" spans="1:22" ht="12.75" customHeight="1" x14ac:dyDescent="0.2">
      <c r="A600" s="16"/>
      <c r="B600" s="16"/>
      <c r="C600" s="16"/>
      <c r="D600" s="16"/>
      <c r="E600" s="16"/>
      <c r="F600" s="16"/>
      <c r="G600" s="16"/>
      <c r="H600" s="16"/>
      <c r="I600" s="16"/>
      <c r="J600" s="16"/>
      <c r="K600" s="16"/>
      <c r="L600" s="16"/>
      <c r="M600" s="1"/>
      <c r="N600" s="1"/>
      <c r="O600" s="1"/>
      <c r="P600" s="1"/>
      <c r="Q600" s="1"/>
      <c r="R600" s="1"/>
      <c r="S600" s="1"/>
      <c r="T600" s="1"/>
      <c r="U600" s="1"/>
      <c r="V600" s="1"/>
    </row>
    <row r="601" spans="1:22" ht="12.75" customHeight="1" x14ac:dyDescent="0.2">
      <c r="A601" s="16"/>
      <c r="B601" s="16"/>
      <c r="C601" s="16"/>
      <c r="D601" s="16"/>
      <c r="E601" s="16"/>
      <c r="F601" s="16"/>
      <c r="G601" s="16"/>
      <c r="H601" s="16"/>
      <c r="I601" s="16"/>
      <c r="J601" s="16"/>
      <c r="K601" s="16"/>
      <c r="L601" s="16"/>
      <c r="M601" s="1"/>
      <c r="N601" s="1"/>
      <c r="O601" s="1"/>
      <c r="P601" s="1"/>
      <c r="Q601" s="1"/>
      <c r="R601" s="1"/>
      <c r="S601" s="1"/>
      <c r="T601" s="1"/>
      <c r="U601" s="1"/>
      <c r="V601" s="1"/>
    </row>
    <row r="602" spans="1:22" ht="12.75" customHeight="1" x14ac:dyDescent="0.2">
      <c r="A602" s="16"/>
      <c r="B602" s="16"/>
      <c r="C602" s="16"/>
      <c r="D602" s="16"/>
      <c r="E602" s="16"/>
      <c r="F602" s="16"/>
      <c r="G602" s="16"/>
      <c r="H602" s="16"/>
      <c r="I602" s="16"/>
      <c r="J602" s="16"/>
      <c r="K602" s="16"/>
      <c r="L602" s="16"/>
      <c r="M602" s="1"/>
      <c r="N602" s="1"/>
      <c r="O602" s="1"/>
      <c r="P602" s="1"/>
      <c r="Q602" s="1"/>
      <c r="R602" s="1"/>
      <c r="S602" s="1"/>
      <c r="T602" s="1"/>
      <c r="U602" s="1"/>
      <c r="V602" s="1"/>
    </row>
    <row r="603" spans="1:22" ht="12.75" customHeight="1" x14ac:dyDescent="0.2">
      <c r="A603" s="16"/>
      <c r="B603" s="16"/>
      <c r="C603" s="16"/>
      <c r="D603" s="16"/>
      <c r="E603" s="16"/>
      <c r="F603" s="16"/>
      <c r="G603" s="16"/>
      <c r="H603" s="16"/>
      <c r="I603" s="16"/>
      <c r="J603" s="16"/>
      <c r="K603" s="16"/>
      <c r="L603" s="16"/>
      <c r="M603" s="1"/>
      <c r="N603" s="1"/>
      <c r="O603" s="1"/>
      <c r="P603" s="1"/>
      <c r="Q603" s="1"/>
      <c r="R603" s="1"/>
      <c r="S603" s="1"/>
      <c r="T603" s="1"/>
      <c r="U603" s="1"/>
      <c r="V603" s="1"/>
    </row>
    <row r="604" spans="1:22" ht="12.75" customHeight="1" x14ac:dyDescent="0.2">
      <c r="A604" s="16"/>
      <c r="B604" s="16"/>
      <c r="C604" s="16"/>
      <c r="D604" s="16"/>
      <c r="E604" s="16"/>
      <c r="F604" s="16"/>
      <c r="G604" s="16"/>
      <c r="H604" s="16"/>
      <c r="I604" s="16"/>
      <c r="J604" s="16"/>
      <c r="K604" s="16"/>
      <c r="L604" s="16"/>
      <c r="M604" s="1"/>
      <c r="N604" s="1"/>
      <c r="O604" s="1"/>
      <c r="P604" s="1"/>
      <c r="Q604" s="1"/>
      <c r="R604" s="1"/>
      <c r="S604" s="1"/>
      <c r="T604" s="1"/>
      <c r="U604" s="1"/>
      <c r="V604" s="1"/>
    </row>
    <row r="605" spans="1:22" ht="12.75" customHeight="1" x14ac:dyDescent="0.2">
      <c r="A605" s="16"/>
      <c r="B605" s="16"/>
      <c r="C605" s="16"/>
      <c r="D605" s="16"/>
      <c r="E605" s="16"/>
      <c r="F605" s="16"/>
      <c r="G605" s="16"/>
      <c r="H605" s="16"/>
      <c r="I605" s="16"/>
      <c r="J605" s="16"/>
      <c r="K605" s="16"/>
      <c r="L605" s="16"/>
      <c r="M605" s="1"/>
      <c r="N605" s="1"/>
      <c r="O605" s="1"/>
      <c r="P605" s="1"/>
      <c r="Q605" s="1"/>
      <c r="R605" s="1"/>
      <c r="S605" s="1"/>
      <c r="T605" s="1"/>
      <c r="U605" s="1"/>
      <c r="V605" s="1"/>
    </row>
    <row r="606" spans="1:22" ht="12.75" customHeight="1" x14ac:dyDescent="0.2">
      <c r="A606" s="16"/>
      <c r="B606" s="16"/>
      <c r="C606" s="16"/>
      <c r="D606" s="16"/>
      <c r="E606" s="16"/>
      <c r="F606" s="16"/>
      <c r="G606" s="16"/>
      <c r="H606" s="16"/>
      <c r="I606" s="16"/>
      <c r="J606" s="16"/>
      <c r="K606" s="16"/>
      <c r="L606" s="16"/>
      <c r="M606" s="1"/>
      <c r="N606" s="1"/>
      <c r="O606" s="1"/>
      <c r="P606" s="1"/>
      <c r="Q606" s="1"/>
      <c r="R606" s="1"/>
      <c r="S606" s="1"/>
      <c r="T606" s="1"/>
      <c r="U606" s="1"/>
      <c r="V606" s="1"/>
    </row>
    <row r="607" spans="1:22" ht="12.75" customHeight="1" x14ac:dyDescent="0.2">
      <c r="A607" s="16"/>
      <c r="B607" s="16"/>
      <c r="C607" s="16"/>
      <c r="D607" s="16"/>
      <c r="E607" s="16"/>
      <c r="F607" s="16"/>
      <c r="G607" s="16"/>
      <c r="H607" s="16"/>
      <c r="I607" s="16"/>
      <c r="J607" s="16"/>
      <c r="K607" s="16"/>
      <c r="L607" s="16"/>
      <c r="M607" s="1"/>
      <c r="N607" s="1"/>
      <c r="O607" s="1"/>
      <c r="P607" s="1"/>
      <c r="Q607" s="1"/>
      <c r="R607" s="1"/>
      <c r="S607" s="1"/>
      <c r="T607" s="1"/>
      <c r="U607" s="1"/>
      <c r="V607" s="1"/>
    </row>
    <row r="608" spans="1:22" ht="12.75" customHeight="1" x14ac:dyDescent="0.2">
      <c r="A608" s="16"/>
      <c r="B608" s="16"/>
      <c r="C608" s="16"/>
      <c r="D608" s="16"/>
      <c r="E608" s="16"/>
      <c r="F608" s="16"/>
      <c r="G608" s="16"/>
      <c r="H608" s="16"/>
      <c r="I608" s="16"/>
      <c r="J608" s="16"/>
      <c r="K608" s="16"/>
      <c r="L608" s="16"/>
      <c r="M608" s="1"/>
      <c r="N608" s="1"/>
      <c r="O608" s="1"/>
      <c r="P608" s="1"/>
      <c r="Q608" s="1"/>
      <c r="R608" s="1"/>
      <c r="S608" s="1"/>
      <c r="T608" s="1"/>
      <c r="U608" s="1"/>
      <c r="V608" s="1"/>
    </row>
    <row r="609" spans="1:22" ht="12.75" customHeight="1" x14ac:dyDescent="0.2">
      <c r="A609" s="16"/>
      <c r="B609" s="16"/>
      <c r="C609" s="16"/>
      <c r="D609" s="16"/>
      <c r="E609" s="16"/>
      <c r="F609" s="16"/>
      <c r="G609" s="16"/>
      <c r="H609" s="16"/>
      <c r="I609" s="16"/>
      <c r="J609" s="16"/>
      <c r="K609" s="16"/>
      <c r="L609" s="16"/>
      <c r="M609" s="1"/>
      <c r="N609" s="1"/>
      <c r="O609" s="1"/>
      <c r="P609" s="1"/>
      <c r="Q609" s="1"/>
      <c r="R609" s="1"/>
      <c r="S609" s="1"/>
      <c r="T609" s="1"/>
      <c r="U609" s="1"/>
      <c r="V609" s="1"/>
    </row>
    <row r="610" spans="1:22" ht="12.75" customHeight="1" x14ac:dyDescent="0.2">
      <c r="A610" s="16"/>
      <c r="B610" s="16"/>
      <c r="C610" s="16"/>
      <c r="D610" s="16"/>
      <c r="E610" s="16"/>
      <c r="F610" s="16"/>
      <c r="G610" s="16"/>
      <c r="H610" s="16"/>
      <c r="I610" s="16"/>
      <c r="J610" s="16"/>
      <c r="K610" s="16"/>
      <c r="L610" s="16"/>
      <c r="M610" s="1"/>
      <c r="N610" s="1"/>
      <c r="O610" s="1"/>
      <c r="P610" s="1"/>
      <c r="Q610" s="1"/>
      <c r="R610" s="1"/>
      <c r="S610" s="1"/>
      <c r="T610" s="1"/>
      <c r="U610" s="1"/>
      <c r="V610" s="1"/>
    </row>
    <row r="611" spans="1:22" ht="12.75" customHeight="1" x14ac:dyDescent="0.2">
      <c r="A611" s="16"/>
      <c r="B611" s="16"/>
      <c r="C611" s="16"/>
      <c r="D611" s="16"/>
      <c r="E611" s="16"/>
      <c r="F611" s="16"/>
      <c r="G611" s="16"/>
      <c r="H611" s="16"/>
      <c r="I611" s="16"/>
      <c r="J611" s="16"/>
      <c r="K611" s="16"/>
      <c r="L611" s="16"/>
      <c r="M611" s="1"/>
      <c r="N611" s="1"/>
      <c r="O611" s="1"/>
      <c r="P611" s="1"/>
      <c r="Q611" s="1"/>
      <c r="R611" s="1"/>
      <c r="S611" s="1"/>
      <c r="T611" s="1"/>
      <c r="U611" s="1"/>
      <c r="V611" s="1"/>
    </row>
    <row r="612" spans="1:22" ht="12.75" customHeight="1" x14ac:dyDescent="0.2">
      <c r="A612" s="16"/>
      <c r="B612" s="16"/>
      <c r="C612" s="16"/>
      <c r="D612" s="16"/>
      <c r="E612" s="16"/>
      <c r="F612" s="16"/>
      <c r="G612" s="16"/>
      <c r="H612" s="16"/>
      <c r="I612" s="16"/>
      <c r="J612" s="16"/>
      <c r="K612" s="16"/>
      <c r="L612" s="16"/>
      <c r="M612" s="1"/>
      <c r="N612" s="1"/>
      <c r="O612" s="1"/>
      <c r="P612" s="1"/>
      <c r="Q612" s="1"/>
      <c r="R612" s="1"/>
      <c r="S612" s="1"/>
      <c r="T612" s="1"/>
      <c r="U612" s="1"/>
      <c r="V612" s="1"/>
    </row>
    <row r="613" spans="1:22" ht="12.75" customHeight="1" x14ac:dyDescent="0.2">
      <c r="A613" s="16"/>
      <c r="B613" s="16"/>
      <c r="C613" s="16"/>
      <c r="D613" s="16"/>
      <c r="E613" s="16"/>
      <c r="F613" s="16"/>
      <c r="G613" s="16"/>
      <c r="H613" s="16"/>
      <c r="I613" s="16"/>
      <c r="J613" s="16"/>
      <c r="K613" s="16"/>
      <c r="L613" s="16"/>
      <c r="M613" s="1"/>
      <c r="N613" s="1"/>
      <c r="O613" s="1"/>
      <c r="P613" s="1"/>
      <c r="Q613" s="1"/>
      <c r="R613" s="1"/>
      <c r="S613" s="1"/>
      <c r="T613" s="1"/>
      <c r="U613" s="1"/>
      <c r="V613" s="1"/>
    </row>
    <row r="614" spans="1:22" ht="12.75" customHeight="1" x14ac:dyDescent="0.2">
      <c r="A614" s="16"/>
      <c r="B614" s="16"/>
      <c r="C614" s="16"/>
      <c r="D614" s="16"/>
      <c r="E614" s="16"/>
      <c r="F614" s="16"/>
      <c r="G614" s="16"/>
      <c r="H614" s="16"/>
      <c r="I614" s="16"/>
      <c r="J614" s="16"/>
      <c r="K614" s="16"/>
      <c r="L614" s="16"/>
      <c r="M614" s="1"/>
      <c r="N614" s="1"/>
      <c r="O614" s="1"/>
      <c r="P614" s="1"/>
      <c r="Q614" s="1"/>
      <c r="R614" s="1"/>
      <c r="S614" s="1"/>
      <c r="T614" s="1"/>
      <c r="U614" s="1"/>
      <c r="V614" s="1"/>
    </row>
    <row r="615" spans="1:22" ht="12.75" customHeight="1" x14ac:dyDescent="0.2">
      <c r="A615" s="16"/>
      <c r="B615" s="16"/>
      <c r="C615" s="16"/>
      <c r="D615" s="16"/>
      <c r="E615" s="16"/>
      <c r="F615" s="16"/>
      <c r="G615" s="16"/>
      <c r="H615" s="16"/>
      <c r="I615" s="16"/>
      <c r="J615" s="16"/>
      <c r="K615" s="16"/>
      <c r="L615" s="16"/>
      <c r="M615" s="1"/>
      <c r="N615" s="1"/>
      <c r="O615" s="1"/>
      <c r="P615" s="1"/>
      <c r="Q615" s="1"/>
      <c r="R615" s="1"/>
      <c r="S615" s="1"/>
      <c r="T615" s="1"/>
      <c r="U615" s="1"/>
      <c r="V615" s="1"/>
    </row>
    <row r="616" spans="1:22" ht="12.75" customHeight="1" x14ac:dyDescent="0.2">
      <c r="A616" s="16"/>
      <c r="B616" s="16"/>
      <c r="C616" s="16"/>
      <c r="D616" s="16"/>
      <c r="E616" s="16"/>
      <c r="F616" s="16"/>
      <c r="G616" s="16"/>
      <c r="H616" s="16"/>
      <c r="I616" s="16"/>
      <c r="J616" s="16"/>
      <c r="K616" s="16"/>
      <c r="L616" s="16"/>
      <c r="M616" s="1"/>
      <c r="N616" s="1"/>
      <c r="O616" s="1"/>
      <c r="P616" s="1"/>
      <c r="Q616" s="1"/>
      <c r="R616" s="1"/>
      <c r="S616" s="1"/>
      <c r="T616" s="1"/>
      <c r="U616" s="1"/>
      <c r="V616" s="1"/>
    </row>
    <row r="617" spans="1:22" ht="12.75" customHeight="1" x14ac:dyDescent="0.2">
      <c r="A617" s="16"/>
      <c r="B617" s="16"/>
      <c r="C617" s="16"/>
      <c r="D617" s="16"/>
      <c r="E617" s="16"/>
      <c r="F617" s="16"/>
      <c r="G617" s="16"/>
      <c r="H617" s="16"/>
      <c r="I617" s="16"/>
      <c r="J617" s="16"/>
      <c r="K617" s="16"/>
      <c r="L617" s="16"/>
      <c r="M617" s="1"/>
      <c r="N617" s="1"/>
      <c r="O617" s="1"/>
      <c r="P617" s="1"/>
      <c r="Q617" s="1"/>
      <c r="R617" s="1"/>
      <c r="S617" s="1"/>
      <c r="T617" s="1"/>
      <c r="U617" s="1"/>
      <c r="V617" s="1"/>
    </row>
    <row r="618" spans="1:22" ht="12.75" customHeight="1" x14ac:dyDescent="0.2">
      <c r="A618" s="16"/>
      <c r="B618" s="16"/>
      <c r="C618" s="16"/>
      <c r="D618" s="16"/>
      <c r="E618" s="16"/>
      <c r="F618" s="16"/>
      <c r="G618" s="16"/>
      <c r="H618" s="16"/>
      <c r="I618" s="16"/>
      <c r="J618" s="16"/>
      <c r="K618" s="16"/>
      <c r="L618" s="16"/>
      <c r="M618" s="1"/>
      <c r="N618" s="1"/>
      <c r="O618" s="1"/>
      <c r="P618" s="1"/>
      <c r="Q618" s="1"/>
      <c r="R618" s="1"/>
      <c r="S618" s="1"/>
      <c r="T618" s="1"/>
      <c r="U618" s="1"/>
      <c r="V618" s="1"/>
    </row>
    <row r="619" spans="1:22" ht="12.75" customHeight="1" x14ac:dyDescent="0.2">
      <c r="A619" s="16"/>
      <c r="B619" s="16"/>
      <c r="C619" s="16"/>
      <c r="D619" s="16"/>
      <c r="E619" s="16"/>
      <c r="F619" s="16"/>
      <c r="G619" s="16"/>
      <c r="H619" s="16"/>
      <c r="I619" s="16"/>
      <c r="J619" s="16"/>
      <c r="K619" s="16"/>
      <c r="L619" s="16"/>
      <c r="M619" s="1"/>
      <c r="N619" s="1"/>
      <c r="O619" s="1"/>
      <c r="P619" s="1"/>
      <c r="Q619" s="1"/>
      <c r="R619" s="1"/>
      <c r="S619" s="1"/>
      <c r="T619" s="1"/>
      <c r="U619" s="1"/>
      <c r="V619" s="1"/>
    </row>
    <row r="620" spans="1:22" ht="12.75" customHeight="1" x14ac:dyDescent="0.2">
      <c r="A620" s="16"/>
      <c r="B620" s="16"/>
      <c r="C620" s="16"/>
      <c r="D620" s="16"/>
      <c r="E620" s="16"/>
      <c r="F620" s="16"/>
      <c r="G620" s="16"/>
      <c r="H620" s="16"/>
      <c r="I620" s="16"/>
      <c r="J620" s="16"/>
      <c r="K620" s="16"/>
      <c r="L620" s="16"/>
      <c r="M620" s="1"/>
      <c r="N620" s="1"/>
      <c r="O620" s="1"/>
      <c r="P620" s="1"/>
      <c r="Q620" s="1"/>
      <c r="R620" s="1"/>
      <c r="S620" s="1"/>
      <c r="T620" s="1"/>
      <c r="U620" s="1"/>
      <c r="V620" s="1"/>
    </row>
    <row r="621" spans="1:22" ht="12.75" customHeight="1" x14ac:dyDescent="0.2">
      <c r="A621" s="16"/>
      <c r="B621" s="16"/>
      <c r="C621" s="16"/>
      <c r="D621" s="16"/>
      <c r="E621" s="16"/>
      <c r="F621" s="16"/>
      <c r="G621" s="16"/>
      <c r="H621" s="16"/>
      <c r="I621" s="16"/>
      <c r="J621" s="16"/>
      <c r="K621" s="16"/>
      <c r="L621" s="16"/>
      <c r="M621" s="1"/>
      <c r="N621" s="1"/>
      <c r="O621" s="1"/>
      <c r="P621" s="1"/>
      <c r="Q621" s="1"/>
      <c r="R621" s="1"/>
      <c r="S621" s="1"/>
      <c r="T621" s="1"/>
      <c r="U621" s="1"/>
      <c r="V621" s="1"/>
    </row>
    <row r="622" spans="1:22" ht="12.75" customHeight="1" x14ac:dyDescent="0.2">
      <c r="A622" s="16"/>
      <c r="B622" s="16"/>
      <c r="C622" s="16"/>
      <c r="D622" s="16"/>
      <c r="E622" s="16"/>
      <c r="F622" s="16"/>
      <c r="G622" s="16"/>
      <c r="H622" s="16"/>
      <c r="I622" s="16"/>
      <c r="J622" s="16"/>
      <c r="K622" s="16"/>
      <c r="L622" s="16"/>
      <c r="M622" s="1"/>
      <c r="N622" s="1"/>
      <c r="O622" s="1"/>
      <c r="P622" s="1"/>
      <c r="Q622" s="1"/>
      <c r="R622" s="1"/>
      <c r="S622" s="1"/>
      <c r="T622" s="1"/>
      <c r="U622" s="1"/>
      <c r="V622" s="1"/>
    </row>
    <row r="623" spans="1:22" ht="12.75" customHeight="1" x14ac:dyDescent="0.2">
      <c r="A623" s="16"/>
      <c r="B623" s="16"/>
      <c r="C623" s="16"/>
      <c r="D623" s="16"/>
      <c r="E623" s="16"/>
      <c r="F623" s="16"/>
      <c r="G623" s="16"/>
      <c r="H623" s="16"/>
      <c r="I623" s="16"/>
      <c r="J623" s="16"/>
      <c r="K623" s="16"/>
      <c r="L623" s="16"/>
      <c r="M623" s="1"/>
      <c r="N623" s="1"/>
      <c r="O623" s="1"/>
      <c r="P623" s="1"/>
      <c r="Q623" s="1"/>
      <c r="R623" s="1"/>
      <c r="S623" s="1"/>
      <c r="T623" s="1"/>
      <c r="U623" s="1"/>
      <c r="V623" s="1"/>
    </row>
    <row r="624" spans="1:22" ht="12.75" customHeight="1" x14ac:dyDescent="0.2">
      <c r="A624" s="16"/>
      <c r="B624" s="16"/>
      <c r="C624" s="16"/>
      <c r="D624" s="16"/>
      <c r="E624" s="16"/>
      <c r="F624" s="16"/>
      <c r="G624" s="16"/>
      <c r="H624" s="16"/>
      <c r="I624" s="16"/>
      <c r="J624" s="16"/>
      <c r="K624" s="16"/>
      <c r="L624" s="16"/>
      <c r="M624" s="1"/>
      <c r="N624" s="1"/>
      <c r="O624" s="1"/>
      <c r="P624" s="1"/>
      <c r="Q624" s="1"/>
      <c r="R624" s="1"/>
      <c r="S624" s="1"/>
      <c r="T624" s="1"/>
      <c r="U624" s="1"/>
      <c r="V624" s="1"/>
    </row>
    <row r="625" spans="1:22" ht="12.75" customHeight="1" x14ac:dyDescent="0.2">
      <c r="A625" s="16"/>
      <c r="B625" s="16"/>
      <c r="C625" s="16"/>
      <c r="D625" s="16"/>
      <c r="E625" s="16"/>
      <c r="F625" s="16"/>
      <c r="G625" s="16"/>
      <c r="H625" s="16"/>
      <c r="I625" s="16"/>
      <c r="J625" s="16"/>
      <c r="K625" s="16"/>
      <c r="L625" s="16"/>
      <c r="M625" s="1"/>
      <c r="N625" s="1"/>
      <c r="O625" s="1"/>
      <c r="P625" s="1"/>
      <c r="Q625" s="1"/>
      <c r="R625" s="1"/>
      <c r="S625" s="1"/>
      <c r="T625" s="1"/>
      <c r="U625" s="1"/>
      <c r="V625" s="1"/>
    </row>
    <row r="626" spans="1:22" ht="12.75" customHeight="1" x14ac:dyDescent="0.2">
      <c r="A626" s="16"/>
      <c r="B626" s="16"/>
      <c r="C626" s="16"/>
      <c r="D626" s="16"/>
      <c r="E626" s="16"/>
      <c r="F626" s="16"/>
      <c r="G626" s="16"/>
      <c r="H626" s="16"/>
      <c r="I626" s="16"/>
      <c r="J626" s="16"/>
      <c r="K626" s="16"/>
      <c r="L626" s="16"/>
      <c r="M626" s="1"/>
      <c r="N626" s="1"/>
      <c r="O626" s="1"/>
      <c r="P626" s="1"/>
      <c r="Q626" s="1"/>
      <c r="R626" s="1"/>
      <c r="S626" s="1"/>
      <c r="T626" s="1"/>
      <c r="U626" s="1"/>
      <c r="V626" s="1"/>
    </row>
    <row r="627" spans="1:22" ht="12.75" customHeight="1" x14ac:dyDescent="0.2">
      <c r="A627" s="16"/>
      <c r="B627" s="16"/>
      <c r="C627" s="16"/>
      <c r="D627" s="16"/>
      <c r="E627" s="16"/>
      <c r="F627" s="16"/>
      <c r="G627" s="16"/>
      <c r="H627" s="16"/>
      <c r="I627" s="16"/>
      <c r="J627" s="16"/>
      <c r="K627" s="16"/>
      <c r="L627" s="16"/>
      <c r="M627" s="1"/>
      <c r="N627" s="1"/>
      <c r="O627" s="1"/>
      <c r="P627" s="1"/>
      <c r="Q627" s="1"/>
      <c r="R627" s="1"/>
      <c r="S627" s="1"/>
      <c r="T627" s="1"/>
      <c r="U627" s="1"/>
      <c r="V627" s="1"/>
    </row>
    <row r="628" spans="1:22" ht="12.75" customHeight="1" x14ac:dyDescent="0.2">
      <c r="A628" s="16"/>
      <c r="B628" s="16"/>
      <c r="C628" s="16"/>
      <c r="D628" s="16"/>
      <c r="E628" s="16"/>
      <c r="F628" s="16"/>
      <c r="G628" s="16"/>
      <c r="H628" s="16"/>
      <c r="I628" s="16"/>
      <c r="J628" s="16"/>
      <c r="K628" s="16"/>
      <c r="L628" s="16"/>
      <c r="M628" s="1"/>
      <c r="N628" s="1"/>
      <c r="O628" s="1"/>
      <c r="P628" s="1"/>
      <c r="Q628" s="1"/>
      <c r="R628" s="1"/>
      <c r="S628" s="1"/>
      <c r="T628" s="1"/>
      <c r="U628" s="1"/>
      <c r="V628" s="1"/>
    </row>
    <row r="629" spans="1:22" ht="12.75" customHeight="1" x14ac:dyDescent="0.2">
      <c r="A629" s="16"/>
      <c r="B629" s="16"/>
      <c r="C629" s="16"/>
      <c r="D629" s="16"/>
      <c r="E629" s="16"/>
      <c r="F629" s="16"/>
      <c r="G629" s="16"/>
      <c r="H629" s="16"/>
      <c r="I629" s="16"/>
      <c r="J629" s="16"/>
      <c r="K629" s="16"/>
      <c r="L629" s="16"/>
      <c r="M629" s="1"/>
      <c r="N629" s="1"/>
      <c r="O629" s="1"/>
      <c r="P629" s="1"/>
      <c r="Q629" s="1"/>
      <c r="R629" s="1"/>
      <c r="S629" s="1"/>
      <c r="T629" s="1"/>
      <c r="U629" s="1"/>
      <c r="V629" s="1"/>
    </row>
    <row r="630" spans="1:22" ht="12.75" customHeight="1" x14ac:dyDescent="0.2">
      <c r="A630" s="16"/>
      <c r="B630" s="16"/>
      <c r="C630" s="16"/>
      <c r="D630" s="16"/>
      <c r="E630" s="16"/>
      <c r="F630" s="16"/>
      <c r="G630" s="16"/>
      <c r="H630" s="16"/>
      <c r="I630" s="16"/>
      <c r="J630" s="16"/>
      <c r="K630" s="16"/>
      <c r="L630" s="16"/>
      <c r="M630" s="1"/>
      <c r="N630" s="1"/>
      <c r="O630" s="1"/>
      <c r="P630" s="1"/>
      <c r="Q630" s="1"/>
      <c r="R630" s="1"/>
      <c r="S630" s="1"/>
      <c r="T630" s="1"/>
      <c r="U630" s="1"/>
      <c r="V630" s="1"/>
    </row>
    <row r="631" spans="1:22" ht="12.75" customHeight="1" x14ac:dyDescent="0.2">
      <c r="A631" s="16"/>
      <c r="B631" s="16"/>
      <c r="C631" s="16"/>
      <c r="D631" s="16"/>
      <c r="E631" s="16"/>
      <c r="F631" s="16"/>
      <c r="G631" s="16"/>
      <c r="H631" s="16"/>
      <c r="I631" s="16"/>
      <c r="J631" s="16"/>
      <c r="K631" s="16"/>
      <c r="L631" s="16"/>
      <c r="M631" s="1"/>
      <c r="N631" s="1"/>
      <c r="O631" s="1"/>
      <c r="P631" s="1"/>
      <c r="Q631" s="1"/>
      <c r="R631" s="1"/>
      <c r="S631" s="1"/>
      <c r="T631" s="1"/>
      <c r="U631" s="1"/>
      <c r="V631" s="1"/>
    </row>
    <row r="632" spans="1:22" ht="12.75" customHeight="1" x14ac:dyDescent="0.2">
      <c r="A632" s="16"/>
      <c r="B632" s="16"/>
      <c r="C632" s="16"/>
      <c r="D632" s="16"/>
      <c r="E632" s="16"/>
      <c r="F632" s="16"/>
      <c r="G632" s="16"/>
      <c r="H632" s="16"/>
      <c r="I632" s="16"/>
      <c r="J632" s="16"/>
      <c r="K632" s="16"/>
      <c r="L632" s="16"/>
      <c r="M632" s="1"/>
      <c r="N632" s="1"/>
      <c r="O632" s="1"/>
      <c r="P632" s="1"/>
      <c r="Q632" s="1"/>
      <c r="R632" s="1"/>
      <c r="S632" s="1"/>
      <c r="T632" s="1"/>
      <c r="U632" s="1"/>
      <c r="V632" s="1"/>
    </row>
    <row r="633" spans="1:22" ht="12.75" customHeight="1" x14ac:dyDescent="0.2">
      <c r="A633" s="16"/>
      <c r="B633" s="16"/>
      <c r="C633" s="16"/>
      <c r="D633" s="16"/>
      <c r="E633" s="16"/>
      <c r="F633" s="16"/>
      <c r="G633" s="16"/>
      <c r="H633" s="16"/>
      <c r="I633" s="16"/>
      <c r="J633" s="16"/>
      <c r="K633" s="16"/>
      <c r="L633" s="16"/>
      <c r="M633" s="1"/>
      <c r="N633" s="1"/>
      <c r="O633" s="1"/>
      <c r="P633" s="1"/>
      <c r="Q633" s="1"/>
      <c r="R633" s="1"/>
      <c r="S633" s="1"/>
      <c r="T633" s="1"/>
      <c r="U633" s="1"/>
      <c r="V633" s="1"/>
    </row>
    <row r="634" spans="1:22" ht="12.75" customHeight="1" x14ac:dyDescent="0.2">
      <c r="A634" s="16"/>
      <c r="B634" s="16"/>
      <c r="C634" s="16"/>
      <c r="D634" s="16"/>
      <c r="E634" s="16"/>
      <c r="F634" s="16"/>
      <c r="G634" s="16"/>
      <c r="H634" s="16"/>
      <c r="I634" s="16"/>
      <c r="J634" s="16"/>
      <c r="K634" s="16"/>
      <c r="L634" s="16"/>
      <c r="M634" s="1"/>
      <c r="N634" s="1"/>
      <c r="O634" s="1"/>
      <c r="P634" s="1"/>
      <c r="Q634" s="1"/>
      <c r="R634" s="1"/>
      <c r="S634" s="1"/>
      <c r="T634" s="1"/>
      <c r="U634" s="1"/>
      <c r="V634" s="1"/>
    </row>
    <row r="635" spans="1:22" ht="12.75" customHeight="1" x14ac:dyDescent="0.2">
      <c r="A635" s="16"/>
      <c r="B635" s="16"/>
      <c r="C635" s="16"/>
      <c r="D635" s="16"/>
      <c r="E635" s="16"/>
      <c r="F635" s="16"/>
      <c r="G635" s="16"/>
      <c r="H635" s="16"/>
      <c r="I635" s="16"/>
      <c r="J635" s="16"/>
      <c r="K635" s="16"/>
      <c r="L635" s="16"/>
      <c r="M635" s="1"/>
      <c r="N635" s="1"/>
      <c r="O635" s="1"/>
      <c r="P635" s="1"/>
      <c r="Q635" s="1"/>
      <c r="R635" s="1"/>
      <c r="S635" s="1"/>
      <c r="T635" s="1"/>
      <c r="U635" s="1"/>
      <c r="V635" s="1"/>
    </row>
    <row r="636" spans="1:22" ht="12.75" customHeight="1" x14ac:dyDescent="0.2">
      <c r="A636" s="16"/>
      <c r="B636" s="16"/>
      <c r="C636" s="16"/>
      <c r="D636" s="16"/>
      <c r="E636" s="16"/>
      <c r="F636" s="16"/>
      <c r="G636" s="16"/>
      <c r="H636" s="16"/>
      <c r="I636" s="16"/>
      <c r="J636" s="16"/>
      <c r="K636" s="16"/>
      <c r="L636" s="16"/>
      <c r="M636" s="1"/>
      <c r="N636" s="1"/>
      <c r="O636" s="1"/>
      <c r="P636" s="1"/>
      <c r="Q636" s="1"/>
      <c r="R636" s="1"/>
      <c r="S636" s="1"/>
      <c r="T636" s="1"/>
      <c r="U636" s="1"/>
      <c r="V636" s="1"/>
    </row>
    <row r="637" spans="1:22" ht="12.75" customHeight="1" x14ac:dyDescent="0.2">
      <c r="A637" s="16"/>
      <c r="B637" s="16"/>
      <c r="C637" s="16"/>
      <c r="D637" s="16"/>
      <c r="E637" s="16"/>
      <c r="F637" s="16"/>
      <c r="G637" s="16"/>
      <c r="H637" s="16"/>
      <c r="I637" s="16"/>
      <c r="J637" s="16"/>
      <c r="K637" s="16"/>
      <c r="L637" s="16"/>
      <c r="M637" s="1"/>
      <c r="N637" s="1"/>
      <c r="O637" s="1"/>
      <c r="P637" s="1"/>
      <c r="Q637" s="1"/>
      <c r="R637" s="1"/>
      <c r="S637" s="1"/>
      <c r="T637" s="1"/>
      <c r="U637" s="1"/>
      <c r="V637" s="1"/>
    </row>
    <row r="638" spans="1:22" ht="12.75" customHeight="1" x14ac:dyDescent="0.2">
      <c r="A638" s="16"/>
      <c r="B638" s="16"/>
      <c r="C638" s="16"/>
      <c r="D638" s="16"/>
      <c r="E638" s="16"/>
      <c r="F638" s="16"/>
      <c r="G638" s="16"/>
      <c r="H638" s="16"/>
      <c r="I638" s="16"/>
      <c r="J638" s="16"/>
      <c r="K638" s="16"/>
      <c r="L638" s="16"/>
      <c r="M638" s="1"/>
      <c r="N638" s="1"/>
      <c r="O638" s="1"/>
      <c r="P638" s="1"/>
      <c r="Q638" s="1"/>
      <c r="R638" s="1"/>
      <c r="S638" s="1"/>
      <c r="T638" s="1"/>
      <c r="U638" s="1"/>
      <c r="V638" s="1"/>
    </row>
    <row r="639" spans="1:22" ht="12.75" customHeight="1" x14ac:dyDescent="0.2">
      <c r="A639" s="16"/>
      <c r="B639" s="16"/>
      <c r="C639" s="16"/>
      <c r="D639" s="16"/>
      <c r="E639" s="16"/>
      <c r="F639" s="16"/>
      <c r="G639" s="16"/>
      <c r="H639" s="16"/>
      <c r="I639" s="16"/>
      <c r="J639" s="16"/>
      <c r="K639" s="16"/>
      <c r="L639" s="16"/>
      <c r="M639" s="1"/>
      <c r="N639" s="1"/>
      <c r="O639" s="1"/>
      <c r="P639" s="1"/>
      <c r="Q639" s="1"/>
      <c r="R639" s="1"/>
      <c r="S639" s="1"/>
      <c r="T639" s="1"/>
      <c r="U639" s="1"/>
      <c r="V639" s="1"/>
    </row>
    <row r="640" spans="1:22" ht="12.75" customHeight="1" x14ac:dyDescent="0.2">
      <c r="A640" s="16"/>
      <c r="B640" s="16"/>
      <c r="C640" s="16"/>
      <c r="D640" s="16"/>
      <c r="E640" s="16"/>
      <c r="F640" s="16"/>
      <c r="G640" s="16"/>
      <c r="H640" s="16"/>
      <c r="I640" s="16"/>
      <c r="J640" s="16"/>
      <c r="K640" s="16"/>
      <c r="L640" s="16"/>
      <c r="M640" s="1"/>
      <c r="N640" s="1"/>
      <c r="O640" s="1"/>
      <c r="P640" s="1"/>
      <c r="Q640" s="1"/>
      <c r="R640" s="1"/>
      <c r="S640" s="1"/>
      <c r="T640" s="1"/>
      <c r="U640" s="1"/>
      <c r="V640" s="1"/>
    </row>
    <row r="641" spans="1:22" ht="12.75" customHeight="1" x14ac:dyDescent="0.2">
      <c r="A641" s="16"/>
      <c r="B641" s="16"/>
      <c r="C641" s="16"/>
      <c r="D641" s="16"/>
      <c r="E641" s="16"/>
      <c r="F641" s="16"/>
      <c r="G641" s="16"/>
      <c r="H641" s="16"/>
      <c r="I641" s="16"/>
      <c r="J641" s="16"/>
      <c r="K641" s="16"/>
      <c r="L641" s="16"/>
      <c r="M641" s="1"/>
      <c r="N641" s="1"/>
      <c r="O641" s="1"/>
      <c r="P641" s="1"/>
      <c r="Q641" s="1"/>
      <c r="R641" s="1"/>
      <c r="S641" s="1"/>
      <c r="T641" s="1"/>
      <c r="U641" s="1"/>
      <c r="V641" s="1"/>
    </row>
    <row r="642" spans="1:22" ht="12.75" customHeight="1" x14ac:dyDescent="0.2">
      <c r="A642" s="16"/>
      <c r="B642" s="16"/>
      <c r="C642" s="16"/>
      <c r="D642" s="16"/>
      <c r="E642" s="16"/>
      <c r="F642" s="16"/>
      <c r="G642" s="16"/>
      <c r="H642" s="16"/>
      <c r="I642" s="16"/>
      <c r="J642" s="16"/>
      <c r="K642" s="16"/>
      <c r="L642" s="16"/>
      <c r="M642" s="1"/>
      <c r="N642" s="1"/>
      <c r="O642" s="1"/>
      <c r="P642" s="1"/>
      <c r="Q642" s="1"/>
      <c r="R642" s="1"/>
      <c r="S642" s="1"/>
      <c r="T642" s="1"/>
      <c r="U642" s="1"/>
      <c r="V642" s="1"/>
    </row>
    <row r="643" spans="1:22" ht="12.75" customHeight="1" x14ac:dyDescent="0.2">
      <c r="A643" s="16"/>
      <c r="B643" s="16"/>
      <c r="C643" s="16"/>
      <c r="D643" s="16"/>
      <c r="E643" s="16"/>
      <c r="F643" s="16"/>
      <c r="G643" s="16"/>
      <c r="H643" s="16"/>
      <c r="I643" s="16"/>
      <c r="J643" s="16"/>
      <c r="K643" s="16"/>
      <c r="L643" s="16"/>
      <c r="M643" s="1"/>
      <c r="N643" s="1"/>
      <c r="O643" s="1"/>
      <c r="P643" s="1"/>
      <c r="Q643" s="1"/>
      <c r="R643" s="1"/>
      <c r="S643" s="1"/>
      <c r="T643" s="1"/>
      <c r="U643" s="1"/>
      <c r="V643" s="1"/>
    </row>
    <row r="644" spans="1:22" ht="12.75" customHeight="1" x14ac:dyDescent="0.2">
      <c r="A644" s="16"/>
      <c r="B644" s="16"/>
      <c r="C644" s="16"/>
      <c r="D644" s="16"/>
      <c r="E644" s="16"/>
      <c r="F644" s="16"/>
      <c r="G644" s="16"/>
      <c r="H644" s="16"/>
      <c r="I644" s="16"/>
      <c r="J644" s="16"/>
      <c r="K644" s="16"/>
      <c r="L644" s="16"/>
      <c r="M644" s="1"/>
      <c r="N644" s="1"/>
      <c r="O644" s="1"/>
      <c r="P644" s="1"/>
      <c r="Q644" s="1"/>
      <c r="R644" s="1"/>
      <c r="S644" s="1"/>
      <c r="T644" s="1"/>
      <c r="U644" s="1"/>
      <c r="V644" s="1"/>
    </row>
    <row r="645" spans="1:22" ht="12.75" customHeight="1" x14ac:dyDescent="0.2">
      <c r="A645" s="16"/>
      <c r="B645" s="16"/>
      <c r="C645" s="16"/>
      <c r="D645" s="16"/>
      <c r="E645" s="16"/>
      <c r="F645" s="16"/>
      <c r="G645" s="16"/>
      <c r="H645" s="16"/>
      <c r="I645" s="16"/>
      <c r="J645" s="16"/>
      <c r="K645" s="16"/>
      <c r="L645" s="16"/>
      <c r="M645" s="1"/>
      <c r="N645" s="1"/>
      <c r="O645" s="1"/>
      <c r="P645" s="1"/>
      <c r="Q645" s="1"/>
      <c r="R645" s="1"/>
      <c r="S645" s="1"/>
      <c r="T645" s="1"/>
      <c r="U645" s="1"/>
      <c r="V645" s="1"/>
    </row>
    <row r="646" spans="1:22" ht="12.75" customHeight="1" x14ac:dyDescent="0.2">
      <c r="A646" s="16"/>
      <c r="B646" s="16"/>
      <c r="C646" s="16"/>
      <c r="D646" s="16"/>
      <c r="E646" s="16"/>
      <c r="F646" s="16"/>
      <c r="G646" s="16"/>
      <c r="H646" s="16"/>
      <c r="I646" s="16"/>
      <c r="J646" s="16"/>
      <c r="K646" s="16"/>
      <c r="L646" s="16"/>
      <c r="M646" s="1"/>
      <c r="N646" s="1"/>
      <c r="O646" s="1"/>
      <c r="P646" s="1"/>
      <c r="Q646" s="1"/>
      <c r="R646" s="1"/>
      <c r="S646" s="1"/>
      <c r="T646" s="1"/>
      <c r="U646" s="1"/>
      <c r="V646" s="1"/>
    </row>
    <row r="647" spans="1:22" ht="12.75" customHeight="1" x14ac:dyDescent="0.2">
      <c r="A647" s="16"/>
      <c r="B647" s="16"/>
      <c r="C647" s="16"/>
      <c r="D647" s="16"/>
      <c r="E647" s="16"/>
      <c r="F647" s="16"/>
      <c r="G647" s="16"/>
      <c r="H647" s="16"/>
      <c r="I647" s="16"/>
      <c r="J647" s="16"/>
      <c r="K647" s="16"/>
      <c r="L647" s="16"/>
      <c r="M647" s="1"/>
      <c r="N647" s="1"/>
      <c r="O647" s="1"/>
      <c r="P647" s="1"/>
      <c r="Q647" s="1"/>
      <c r="R647" s="1"/>
      <c r="S647" s="1"/>
      <c r="T647" s="1"/>
      <c r="U647" s="1"/>
      <c r="V647" s="1"/>
    </row>
    <row r="648" spans="1:22" ht="12.75" customHeight="1" x14ac:dyDescent="0.2">
      <c r="A648" s="16"/>
      <c r="B648" s="16"/>
      <c r="C648" s="16"/>
      <c r="D648" s="16"/>
      <c r="E648" s="16"/>
      <c r="F648" s="16"/>
      <c r="G648" s="16"/>
      <c r="H648" s="16"/>
      <c r="I648" s="16"/>
      <c r="J648" s="16"/>
      <c r="K648" s="16"/>
      <c r="L648" s="16"/>
      <c r="M648" s="1"/>
      <c r="N648" s="1"/>
      <c r="O648" s="1"/>
      <c r="P648" s="1"/>
      <c r="Q648" s="1"/>
      <c r="R648" s="1"/>
      <c r="S648" s="1"/>
      <c r="T648" s="1"/>
      <c r="U648" s="1"/>
      <c r="V648" s="1"/>
    </row>
    <row r="649" spans="1:22" ht="12.75" customHeight="1" x14ac:dyDescent="0.2">
      <c r="A649" s="16"/>
      <c r="B649" s="16"/>
      <c r="C649" s="16"/>
      <c r="D649" s="16"/>
      <c r="E649" s="16"/>
      <c r="F649" s="16"/>
      <c r="G649" s="16"/>
      <c r="H649" s="16"/>
      <c r="I649" s="16"/>
      <c r="J649" s="16"/>
      <c r="K649" s="16"/>
      <c r="L649" s="16"/>
      <c r="M649" s="1"/>
      <c r="N649" s="1"/>
      <c r="O649" s="1"/>
      <c r="P649" s="1"/>
      <c r="Q649" s="1"/>
      <c r="R649" s="1"/>
      <c r="S649" s="1"/>
      <c r="T649" s="1"/>
      <c r="U649" s="1"/>
      <c r="V649" s="1"/>
    </row>
    <row r="650" spans="1:22" ht="12.75" customHeight="1" x14ac:dyDescent="0.2">
      <c r="A650" s="16"/>
      <c r="B650" s="16"/>
      <c r="C650" s="16"/>
      <c r="D650" s="16"/>
      <c r="E650" s="16"/>
      <c r="F650" s="16"/>
      <c r="G650" s="16"/>
      <c r="H650" s="16"/>
      <c r="I650" s="16"/>
      <c r="J650" s="16"/>
      <c r="K650" s="16"/>
      <c r="L650" s="16"/>
      <c r="M650" s="1"/>
      <c r="N650" s="1"/>
      <c r="O650" s="1"/>
      <c r="P650" s="1"/>
      <c r="Q650" s="1"/>
      <c r="R650" s="1"/>
      <c r="S650" s="1"/>
      <c r="T650" s="1"/>
      <c r="U650" s="1"/>
      <c r="V650" s="1"/>
    </row>
    <row r="651" spans="1:22" ht="12.75" customHeight="1" x14ac:dyDescent="0.2">
      <c r="A651" s="16"/>
      <c r="B651" s="16"/>
      <c r="C651" s="16"/>
      <c r="D651" s="16"/>
      <c r="E651" s="16"/>
      <c r="F651" s="16"/>
      <c r="G651" s="16"/>
      <c r="H651" s="16"/>
      <c r="I651" s="16"/>
      <c r="J651" s="16"/>
      <c r="K651" s="16"/>
      <c r="L651" s="16"/>
      <c r="M651" s="1"/>
      <c r="N651" s="1"/>
      <c r="O651" s="1"/>
      <c r="P651" s="1"/>
      <c r="Q651" s="1"/>
      <c r="R651" s="1"/>
      <c r="S651" s="1"/>
      <c r="T651" s="1"/>
      <c r="U651" s="1"/>
      <c r="V651" s="1"/>
    </row>
    <row r="652" spans="1:22" ht="12.75" customHeight="1" x14ac:dyDescent="0.2">
      <c r="A652" s="16"/>
      <c r="B652" s="16"/>
      <c r="C652" s="16"/>
      <c r="D652" s="16"/>
      <c r="E652" s="16"/>
      <c r="F652" s="16"/>
      <c r="G652" s="16"/>
      <c r="H652" s="16"/>
      <c r="I652" s="16"/>
      <c r="J652" s="16"/>
      <c r="K652" s="16"/>
      <c r="L652" s="16"/>
      <c r="M652" s="1"/>
      <c r="N652" s="1"/>
      <c r="O652" s="1"/>
      <c r="P652" s="1"/>
      <c r="Q652" s="1"/>
      <c r="R652" s="1"/>
      <c r="S652" s="1"/>
      <c r="T652" s="1"/>
      <c r="U652" s="1"/>
      <c r="V652" s="1"/>
    </row>
    <row r="653" spans="1:22" ht="12.75" customHeight="1" x14ac:dyDescent="0.2">
      <c r="A653" s="16"/>
      <c r="B653" s="16"/>
      <c r="C653" s="16"/>
      <c r="D653" s="16"/>
      <c r="E653" s="16"/>
      <c r="F653" s="16"/>
      <c r="G653" s="16"/>
      <c r="H653" s="16"/>
      <c r="I653" s="16"/>
      <c r="J653" s="16"/>
      <c r="K653" s="16"/>
      <c r="L653" s="16"/>
      <c r="M653" s="1"/>
      <c r="N653" s="1"/>
      <c r="O653" s="1"/>
      <c r="P653" s="1"/>
      <c r="Q653" s="1"/>
      <c r="R653" s="1"/>
      <c r="S653" s="1"/>
      <c r="T653" s="1"/>
      <c r="U653" s="1"/>
      <c r="V653" s="1"/>
    </row>
    <row r="654" spans="1:22" ht="12.75" customHeight="1" x14ac:dyDescent="0.2">
      <c r="A654" s="16"/>
      <c r="B654" s="16"/>
      <c r="C654" s="16"/>
      <c r="D654" s="16"/>
      <c r="E654" s="16"/>
      <c r="F654" s="16"/>
      <c r="G654" s="16"/>
      <c r="H654" s="16"/>
      <c r="I654" s="16"/>
      <c r="J654" s="16"/>
      <c r="K654" s="16"/>
      <c r="L654" s="16"/>
      <c r="M654" s="1"/>
      <c r="N654" s="1"/>
      <c r="O654" s="1"/>
      <c r="P654" s="1"/>
      <c r="Q654" s="1"/>
      <c r="R654" s="1"/>
      <c r="S654" s="1"/>
      <c r="T654" s="1"/>
      <c r="U654" s="1"/>
      <c r="V654" s="1"/>
    </row>
    <row r="655" spans="1:22" ht="12.75" customHeight="1" x14ac:dyDescent="0.2">
      <c r="A655" s="16"/>
      <c r="B655" s="16"/>
      <c r="C655" s="16"/>
      <c r="D655" s="16"/>
      <c r="E655" s="16"/>
      <c r="F655" s="16"/>
      <c r="G655" s="16"/>
      <c r="H655" s="16"/>
      <c r="I655" s="16"/>
      <c r="J655" s="16"/>
      <c r="K655" s="16"/>
      <c r="L655" s="16"/>
      <c r="M655" s="1"/>
      <c r="N655" s="1"/>
      <c r="O655" s="1"/>
      <c r="P655" s="1"/>
      <c r="Q655" s="1"/>
      <c r="R655" s="1"/>
      <c r="S655" s="1"/>
      <c r="T655" s="1"/>
      <c r="U655" s="1"/>
      <c r="V655" s="1"/>
    </row>
    <row r="656" spans="1:22" ht="12.75" customHeight="1" x14ac:dyDescent="0.2">
      <c r="A656" s="16"/>
      <c r="B656" s="16"/>
      <c r="C656" s="16"/>
      <c r="D656" s="16"/>
      <c r="E656" s="16"/>
      <c r="F656" s="16"/>
      <c r="G656" s="16"/>
      <c r="H656" s="16"/>
      <c r="I656" s="16"/>
      <c r="J656" s="16"/>
      <c r="K656" s="16"/>
      <c r="L656" s="16"/>
      <c r="M656" s="1"/>
      <c r="N656" s="1"/>
      <c r="O656" s="1"/>
      <c r="P656" s="1"/>
      <c r="Q656" s="1"/>
      <c r="R656" s="1"/>
      <c r="S656" s="1"/>
      <c r="T656" s="1"/>
      <c r="U656" s="1"/>
      <c r="V656" s="1"/>
    </row>
    <row r="657" spans="1:22" ht="12.75" customHeight="1" x14ac:dyDescent="0.2">
      <c r="A657" s="16"/>
      <c r="B657" s="16"/>
      <c r="C657" s="16"/>
      <c r="D657" s="16"/>
      <c r="E657" s="16"/>
      <c r="F657" s="16"/>
      <c r="G657" s="16"/>
      <c r="H657" s="16"/>
      <c r="I657" s="16"/>
      <c r="J657" s="16"/>
      <c r="K657" s="16"/>
      <c r="L657" s="16"/>
      <c r="M657" s="1"/>
      <c r="N657" s="1"/>
      <c r="O657" s="1"/>
      <c r="P657" s="1"/>
      <c r="Q657" s="1"/>
      <c r="R657" s="1"/>
      <c r="S657" s="1"/>
      <c r="T657" s="1"/>
      <c r="U657" s="1"/>
      <c r="V657" s="1"/>
    </row>
    <row r="658" spans="1:22" ht="12.75" customHeight="1" x14ac:dyDescent="0.2">
      <c r="A658" s="16"/>
      <c r="B658" s="16"/>
      <c r="C658" s="16"/>
      <c r="D658" s="16"/>
      <c r="E658" s="16"/>
      <c r="F658" s="16"/>
      <c r="G658" s="16"/>
      <c r="H658" s="16"/>
      <c r="I658" s="16"/>
      <c r="J658" s="16"/>
      <c r="K658" s="16"/>
      <c r="L658" s="16"/>
      <c r="M658" s="1"/>
      <c r="N658" s="1"/>
      <c r="O658" s="1"/>
      <c r="P658" s="1"/>
      <c r="Q658" s="1"/>
      <c r="R658" s="1"/>
      <c r="S658" s="1"/>
      <c r="T658" s="1"/>
      <c r="U658" s="1"/>
      <c r="V658" s="1"/>
    </row>
    <row r="659" spans="1:22" ht="12.75" customHeight="1" x14ac:dyDescent="0.2">
      <c r="A659" s="16"/>
      <c r="B659" s="16"/>
      <c r="C659" s="16"/>
      <c r="D659" s="16"/>
      <c r="E659" s="16"/>
      <c r="F659" s="16"/>
      <c r="G659" s="16"/>
      <c r="H659" s="16"/>
      <c r="I659" s="16"/>
      <c r="J659" s="16"/>
      <c r="K659" s="16"/>
      <c r="L659" s="16"/>
      <c r="M659" s="1"/>
      <c r="N659" s="1"/>
      <c r="O659" s="1"/>
      <c r="P659" s="1"/>
      <c r="Q659" s="1"/>
      <c r="R659" s="1"/>
      <c r="S659" s="1"/>
      <c r="T659" s="1"/>
      <c r="U659" s="1"/>
      <c r="V659" s="1"/>
    </row>
    <row r="660" spans="1:22" ht="12.75" customHeight="1" x14ac:dyDescent="0.2">
      <c r="A660" s="16"/>
      <c r="B660" s="16"/>
      <c r="C660" s="16"/>
      <c r="D660" s="16"/>
      <c r="E660" s="16"/>
      <c r="F660" s="16"/>
      <c r="G660" s="16"/>
      <c r="H660" s="16"/>
      <c r="I660" s="16"/>
      <c r="J660" s="16"/>
      <c r="K660" s="16"/>
      <c r="L660" s="16"/>
      <c r="M660" s="1"/>
      <c r="N660" s="1"/>
      <c r="O660" s="1"/>
      <c r="P660" s="1"/>
      <c r="Q660" s="1"/>
      <c r="R660" s="1"/>
      <c r="S660" s="1"/>
      <c r="T660" s="1"/>
      <c r="U660" s="1"/>
      <c r="V660" s="1"/>
    </row>
    <row r="661" spans="1:22" ht="12.75" customHeight="1" x14ac:dyDescent="0.2">
      <c r="A661" s="16"/>
      <c r="B661" s="16"/>
      <c r="C661" s="16"/>
      <c r="D661" s="16"/>
      <c r="E661" s="16"/>
      <c r="F661" s="16"/>
      <c r="G661" s="16"/>
      <c r="H661" s="16"/>
      <c r="I661" s="16"/>
      <c r="J661" s="16"/>
      <c r="K661" s="16"/>
      <c r="L661" s="16"/>
      <c r="M661" s="1"/>
      <c r="N661" s="1"/>
      <c r="O661" s="1"/>
      <c r="P661" s="1"/>
      <c r="Q661" s="1"/>
      <c r="R661" s="1"/>
      <c r="S661" s="1"/>
      <c r="T661" s="1"/>
      <c r="U661" s="1"/>
      <c r="V661" s="1"/>
    </row>
    <row r="662" spans="1:22" ht="12.75" customHeight="1" x14ac:dyDescent="0.2">
      <c r="A662" s="16"/>
      <c r="B662" s="16"/>
      <c r="C662" s="16"/>
      <c r="D662" s="16"/>
      <c r="E662" s="16"/>
      <c r="F662" s="16"/>
      <c r="G662" s="16"/>
      <c r="H662" s="16"/>
      <c r="I662" s="16"/>
      <c r="J662" s="16"/>
      <c r="K662" s="16"/>
      <c r="L662" s="16"/>
      <c r="M662" s="1"/>
      <c r="N662" s="1"/>
      <c r="O662" s="1"/>
      <c r="P662" s="1"/>
      <c r="Q662" s="1"/>
      <c r="R662" s="1"/>
      <c r="S662" s="1"/>
      <c r="T662" s="1"/>
      <c r="U662" s="1"/>
      <c r="V662" s="1"/>
    </row>
    <row r="663" spans="1:22" ht="12.75" customHeight="1" x14ac:dyDescent="0.2">
      <c r="A663" s="16"/>
      <c r="B663" s="16"/>
      <c r="C663" s="16"/>
      <c r="D663" s="16"/>
      <c r="E663" s="16"/>
      <c r="F663" s="16"/>
      <c r="G663" s="16"/>
      <c r="H663" s="16"/>
      <c r="I663" s="16"/>
      <c r="J663" s="16"/>
      <c r="K663" s="16"/>
      <c r="L663" s="16"/>
      <c r="M663" s="1"/>
      <c r="N663" s="1"/>
      <c r="O663" s="1"/>
      <c r="P663" s="1"/>
      <c r="Q663" s="1"/>
      <c r="R663" s="1"/>
      <c r="S663" s="1"/>
      <c r="T663" s="1"/>
      <c r="U663" s="1"/>
      <c r="V663" s="1"/>
    </row>
    <row r="664" spans="1:22" ht="12.75" customHeight="1" x14ac:dyDescent="0.2">
      <c r="A664" s="16"/>
      <c r="B664" s="16"/>
      <c r="C664" s="16"/>
      <c r="D664" s="16"/>
      <c r="E664" s="16"/>
      <c r="F664" s="16"/>
      <c r="G664" s="16"/>
      <c r="H664" s="16"/>
      <c r="I664" s="16"/>
      <c r="J664" s="16"/>
      <c r="K664" s="16"/>
      <c r="L664" s="16"/>
      <c r="M664" s="1"/>
      <c r="N664" s="1"/>
      <c r="O664" s="1"/>
      <c r="P664" s="1"/>
      <c r="Q664" s="1"/>
      <c r="R664" s="1"/>
      <c r="S664" s="1"/>
      <c r="T664" s="1"/>
      <c r="U664" s="1"/>
      <c r="V664" s="1"/>
    </row>
    <row r="665" spans="1:22" ht="12.75" customHeight="1" x14ac:dyDescent="0.2">
      <c r="A665" s="16"/>
      <c r="B665" s="16"/>
      <c r="C665" s="16"/>
      <c r="D665" s="16"/>
      <c r="E665" s="16"/>
      <c r="F665" s="16"/>
      <c r="G665" s="16"/>
      <c r="H665" s="16"/>
      <c r="I665" s="16"/>
      <c r="J665" s="16"/>
      <c r="K665" s="16"/>
      <c r="L665" s="16"/>
      <c r="M665" s="1"/>
      <c r="N665" s="1"/>
      <c r="O665" s="1"/>
      <c r="P665" s="1"/>
      <c r="Q665" s="1"/>
      <c r="R665" s="1"/>
      <c r="S665" s="1"/>
      <c r="T665" s="1"/>
      <c r="U665" s="1"/>
      <c r="V665" s="1"/>
    </row>
    <row r="666" spans="1:22" ht="12.75" customHeight="1" x14ac:dyDescent="0.2">
      <c r="A666" s="16"/>
      <c r="B666" s="16"/>
      <c r="C666" s="16"/>
      <c r="D666" s="16"/>
      <c r="E666" s="16"/>
      <c r="F666" s="16"/>
      <c r="G666" s="16"/>
      <c r="H666" s="16"/>
      <c r="I666" s="16"/>
      <c r="J666" s="16"/>
      <c r="K666" s="16"/>
      <c r="L666" s="16"/>
      <c r="M666" s="1"/>
      <c r="N666" s="1"/>
      <c r="O666" s="1"/>
      <c r="P666" s="1"/>
      <c r="Q666" s="1"/>
      <c r="R666" s="1"/>
      <c r="S666" s="1"/>
      <c r="T666" s="1"/>
      <c r="U666" s="1"/>
      <c r="V666" s="1"/>
    </row>
    <row r="667" spans="1:22" ht="12.75" customHeight="1" x14ac:dyDescent="0.2">
      <c r="A667" s="16"/>
      <c r="B667" s="16"/>
      <c r="C667" s="16"/>
      <c r="D667" s="16"/>
      <c r="E667" s="16"/>
      <c r="F667" s="16"/>
      <c r="G667" s="16"/>
      <c r="H667" s="16"/>
      <c r="I667" s="16"/>
      <c r="J667" s="16"/>
      <c r="K667" s="16"/>
      <c r="L667" s="16"/>
      <c r="M667" s="1"/>
      <c r="N667" s="1"/>
      <c r="O667" s="1"/>
      <c r="P667" s="1"/>
      <c r="Q667" s="1"/>
      <c r="R667" s="1"/>
      <c r="S667" s="1"/>
      <c r="T667" s="1"/>
      <c r="U667" s="1"/>
      <c r="V667" s="1"/>
    </row>
    <row r="668" spans="1:22" ht="12.75" customHeight="1" x14ac:dyDescent="0.2">
      <c r="A668" s="16"/>
      <c r="B668" s="16"/>
      <c r="C668" s="16"/>
      <c r="D668" s="16"/>
      <c r="E668" s="16"/>
      <c r="F668" s="16"/>
      <c r="G668" s="16"/>
      <c r="H668" s="16"/>
      <c r="I668" s="16"/>
      <c r="J668" s="16"/>
      <c r="K668" s="16"/>
      <c r="L668" s="16"/>
      <c r="M668" s="1"/>
      <c r="N668" s="1"/>
      <c r="O668" s="1"/>
      <c r="P668" s="1"/>
      <c r="Q668" s="1"/>
      <c r="R668" s="1"/>
      <c r="S668" s="1"/>
      <c r="T668" s="1"/>
      <c r="U668" s="1"/>
      <c r="V668" s="1"/>
    </row>
    <row r="669" spans="1:22" ht="12.75" customHeight="1" x14ac:dyDescent="0.2">
      <c r="A669" s="16"/>
      <c r="B669" s="16"/>
      <c r="C669" s="16"/>
      <c r="D669" s="16"/>
      <c r="E669" s="16"/>
      <c r="F669" s="16"/>
      <c r="G669" s="16"/>
      <c r="H669" s="16"/>
      <c r="I669" s="16"/>
      <c r="J669" s="16"/>
      <c r="K669" s="16"/>
      <c r="L669" s="16"/>
      <c r="M669" s="1"/>
      <c r="N669" s="1"/>
      <c r="O669" s="1"/>
      <c r="P669" s="1"/>
      <c r="Q669" s="1"/>
      <c r="R669" s="1"/>
      <c r="S669" s="1"/>
      <c r="T669" s="1"/>
      <c r="U669" s="1"/>
      <c r="V669" s="1"/>
    </row>
    <row r="670" spans="1:22" ht="12.75" customHeight="1" x14ac:dyDescent="0.2">
      <c r="A670" s="16"/>
      <c r="B670" s="16"/>
      <c r="C670" s="16"/>
      <c r="D670" s="16"/>
      <c r="E670" s="16"/>
      <c r="F670" s="16"/>
      <c r="G670" s="16"/>
      <c r="H670" s="16"/>
      <c r="I670" s="16"/>
      <c r="J670" s="16"/>
      <c r="K670" s="16"/>
      <c r="L670" s="16"/>
      <c r="M670" s="1"/>
      <c r="N670" s="1"/>
      <c r="O670" s="1"/>
      <c r="P670" s="1"/>
      <c r="Q670" s="1"/>
      <c r="R670" s="1"/>
      <c r="S670" s="1"/>
      <c r="T670" s="1"/>
      <c r="U670" s="1"/>
      <c r="V670" s="1"/>
    </row>
    <row r="671" spans="1:22" ht="12.75" customHeight="1" x14ac:dyDescent="0.2">
      <c r="A671" s="16"/>
      <c r="B671" s="16"/>
      <c r="C671" s="16"/>
      <c r="D671" s="16"/>
      <c r="E671" s="16"/>
      <c r="F671" s="16"/>
      <c r="G671" s="16"/>
      <c r="H671" s="16"/>
      <c r="I671" s="16"/>
      <c r="J671" s="16"/>
      <c r="K671" s="16"/>
      <c r="L671" s="16"/>
      <c r="M671" s="1"/>
      <c r="N671" s="1"/>
      <c r="O671" s="1"/>
      <c r="P671" s="1"/>
      <c r="Q671" s="1"/>
      <c r="R671" s="1"/>
      <c r="S671" s="1"/>
      <c r="T671" s="1"/>
      <c r="U671" s="1"/>
      <c r="V671" s="1"/>
    </row>
    <row r="672" spans="1:22" ht="12.75" customHeight="1" x14ac:dyDescent="0.2">
      <c r="A672" s="16"/>
      <c r="B672" s="16"/>
      <c r="C672" s="16"/>
      <c r="D672" s="16"/>
      <c r="E672" s="16"/>
      <c r="F672" s="16"/>
      <c r="G672" s="16"/>
      <c r="H672" s="16"/>
      <c r="I672" s="16"/>
      <c r="J672" s="16"/>
      <c r="K672" s="16"/>
      <c r="L672" s="16"/>
      <c r="M672" s="1"/>
      <c r="N672" s="1"/>
      <c r="O672" s="1"/>
      <c r="P672" s="1"/>
      <c r="Q672" s="1"/>
      <c r="R672" s="1"/>
      <c r="S672" s="1"/>
      <c r="T672" s="1"/>
      <c r="U672" s="1"/>
      <c r="V672" s="1"/>
    </row>
    <row r="673" spans="1:22" ht="12.75" customHeight="1" x14ac:dyDescent="0.2">
      <c r="A673" s="16"/>
      <c r="B673" s="16"/>
      <c r="C673" s="16"/>
      <c r="D673" s="16"/>
      <c r="E673" s="16"/>
      <c r="F673" s="16"/>
      <c r="G673" s="16"/>
      <c r="H673" s="16"/>
      <c r="I673" s="16"/>
      <c r="J673" s="16"/>
      <c r="K673" s="16"/>
      <c r="L673" s="16"/>
      <c r="M673" s="1"/>
      <c r="N673" s="1"/>
      <c r="O673" s="1"/>
      <c r="P673" s="1"/>
      <c r="Q673" s="1"/>
      <c r="R673" s="1"/>
      <c r="S673" s="1"/>
      <c r="T673" s="1"/>
      <c r="U673" s="1"/>
      <c r="V673" s="1"/>
    </row>
    <row r="674" spans="1:22" ht="12.75" customHeight="1" x14ac:dyDescent="0.2">
      <c r="A674" s="16"/>
      <c r="B674" s="16"/>
      <c r="C674" s="16"/>
      <c r="D674" s="16"/>
      <c r="E674" s="16"/>
      <c r="F674" s="16"/>
      <c r="G674" s="16"/>
      <c r="H674" s="16"/>
      <c r="I674" s="16"/>
      <c r="J674" s="16"/>
      <c r="K674" s="16"/>
      <c r="L674" s="16"/>
      <c r="M674" s="1"/>
      <c r="N674" s="1"/>
      <c r="O674" s="1"/>
      <c r="P674" s="1"/>
      <c r="Q674" s="1"/>
      <c r="R674" s="1"/>
      <c r="S674" s="1"/>
      <c r="T674" s="1"/>
      <c r="U674" s="1"/>
      <c r="V674" s="1"/>
    </row>
    <row r="675" spans="1:22" ht="12.75" customHeight="1" x14ac:dyDescent="0.2">
      <c r="A675" s="16"/>
      <c r="B675" s="16"/>
      <c r="C675" s="16"/>
      <c r="D675" s="16"/>
      <c r="E675" s="16"/>
      <c r="F675" s="16"/>
      <c r="G675" s="16"/>
      <c r="H675" s="16"/>
      <c r="I675" s="16"/>
      <c r="J675" s="16"/>
      <c r="K675" s="16"/>
      <c r="L675" s="16"/>
      <c r="M675" s="1"/>
      <c r="N675" s="1"/>
      <c r="O675" s="1"/>
      <c r="P675" s="1"/>
      <c r="Q675" s="1"/>
      <c r="R675" s="1"/>
      <c r="S675" s="1"/>
      <c r="T675" s="1"/>
      <c r="U675" s="1"/>
      <c r="V675" s="1"/>
    </row>
    <row r="676" spans="1:22" ht="12.75" customHeight="1" x14ac:dyDescent="0.2">
      <c r="A676" s="16"/>
      <c r="B676" s="16"/>
      <c r="C676" s="16"/>
      <c r="D676" s="16"/>
      <c r="E676" s="16"/>
      <c r="F676" s="16"/>
      <c r="G676" s="16"/>
      <c r="H676" s="16"/>
      <c r="I676" s="16"/>
      <c r="J676" s="16"/>
      <c r="K676" s="16"/>
      <c r="L676" s="16"/>
      <c r="M676" s="1"/>
      <c r="N676" s="1"/>
      <c r="O676" s="1"/>
      <c r="P676" s="1"/>
      <c r="Q676" s="1"/>
      <c r="R676" s="1"/>
      <c r="S676" s="1"/>
      <c r="T676" s="1"/>
      <c r="U676" s="1"/>
      <c r="V676" s="1"/>
    </row>
    <row r="677" spans="1:22" ht="12.75" customHeight="1" x14ac:dyDescent="0.2">
      <c r="A677" s="16"/>
      <c r="B677" s="16"/>
      <c r="C677" s="16"/>
      <c r="D677" s="16"/>
      <c r="E677" s="16"/>
      <c r="F677" s="16"/>
      <c r="G677" s="16"/>
      <c r="H677" s="16"/>
      <c r="I677" s="16"/>
      <c r="J677" s="16"/>
      <c r="K677" s="16"/>
      <c r="L677" s="16"/>
      <c r="M677" s="1"/>
      <c r="N677" s="1"/>
      <c r="O677" s="1"/>
      <c r="P677" s="1"/>
      <c r="Q677" s="1"/>
      <c r="R677" s="1"/>
      <c r="S677" s="1"/>
      <c r="T677" s="1"/>
      <c r="U677" s="1"/>
      <c r="V677" s="1"/>
    </row>
    <row r="678" spans="1:22" ht="12.75" customHeight="1" x14ac:dyDescent="0.2">
      <c r="A678" s="16"/>
      <c r="B678" s="16"/>
      <c r="C678" s="16"/>
      <c r="D678" s="16"/>
      <c r="E678" s="16"/>
      <c r="F678" s="16"/>
      <c r="G678" s="16"/>
      <c r="H678" s="16"/>
      <c r="I678" s="16"/>
      <c r="J678" s="16"/>
      <c r="K678" s="16"/>
      <c r="L678" s="16"/>
      <c r="M678" s="1"/>
      <c r="N678" s="1"/>
      <c r="O678" s="1"/>
      <c r="P678" s="1"/>
      <c r="Q678" s="1"/>
      <c r="R678" s="1"/>
      <c r="S678" s="1"/>
      <c r="T678" s="1"/>
      <c r="U678" s="1"/>
      <c r="V678" s="1"/>
    </row>
    <row r="679" spans="1:22" ht="12.75" customHeight="1" x14ac:dyDescent="0.2">
      <c r="A679" s="16"/>
      <c r="B679" s="16"/>
      <c r="C679" s="16"/>
      <c r="D679" s="16"/>
      <c r="E679" s="16"/>
      <c r="F679" s="16"/>
      <c r="G679" s="16"/>
      <c r="H679" s="16"/>
      <c r="I679" s="16"/>
      <c r="J679" s="16"/>
      <c r="K679" s="16"/>
      <c r="L679" s="16"/>
      <c r="M679" s="1"/>
      <c r="N679" s="1"/>
      <c r="O679" s="1"/>
      <c r="P679" s="1"/>
      <c r="Q679" s="1"/>
      <c r="R679" s="1"/>
      <c r="S679" s="1"/>
      <c r="T679" s="1"/>
      <c r="U679" s="1"/>
      <c r="V679" s="1"/>
    </row>
    <row r="680" spans="1:22" ht="12.75" customHeight="1" x14ac:dyDescent="0.2">
      <c r="A680" s="16"/>
      <c r="B680" s="16"/>
      <c r="C680" s="16"/>
      <c r="D680" s="16"/>
      <c r="E680" s="16"/>
      <c r="F680" s="16"/>
      <c r="G680" s="16"/>
      <c r="H680" s="16"/>
      <c r="I680" s="16"/>
      <c r="J680" s="16"/>
      <c r="K680" s="16"/>
      <c r="L680" s="16"/>
      <c r="M680" s="1"/>
      <c r="N680" s="1"/>
      <c r="O680" s="1"/>
      <c r="P680" s="1"/>
      <c r="Q680" s="1"/>
      <c r="R680" s="1"/>
      <c r="S680" s="1"/>
      <c r="T680" s="1"/>
      <c r="U680" s="1"/>
      <c r="V680" s="1"/>
    </row>
    <row r="681" spans="1:22" ht="12.75" customHeight="1" x14ac:dyDescent="0.2">
      <c r="A681" s="16"/>
      <c r="B681" s="16"/>
      <c r="C681" s="16"/>
      <c r="D681" s="16"/>
      <c r="E681" s="16"/>
      <c r="F681" s="16"/>
      <c r="G681" s="16"/>
      <c r="H681" s="16"/>
      <c r="I681" s="16"/>
      <c r="J681" s="16"/>
      <c r="K681" s="16"/>
      <c r="L681" s="16"/>
      <c r="M681" s="1"/>
      <c r="N681" s="1"/>
      <c r="O681" s="1"/>
      <c r="P681" s="1"/>
      <c r="Q681" s="1"/>
      <c r="R681" s="1"/>
      <c r="S681" s="1"/>
      <c r="T681" s="1"/>
      <c r="U681" s="1"/>
      <c r="V681" s="1"/>
    </row>
    <row r="682" spans="1:22" ht="12.75" customHeight="1" x14ac:dyDescent="0.2">
      <c r="A682" s="16"/>
      <c r="B682" s="16"/>
      <c r="C682" s="16"/>
      <c r="D682" s="16"/>
      <c r="E682" s="16"/>
      <c r="F682" s="16"/>
      <c r="G682" s="16"/>
      <c r="H682" s="16"/>
      <c r="I682" s="16"/>
      <c r="J682" s="16"/>
      <c r="K682" s="16"/>
      <c r="L682" s="16"/>
      <c r="M682" s="1"/>
      <c r="N682" s="1"/>
      <c r="O682" s="1"/>
      <c r="P682" s="1"/>
      <c r="Q682" s="1"/>
      <c r="R682" s="1"/>
      <c r="S682" s="1"/>
      <c r="T682" s="1"/>
      <c r="U682" s="1"/>
      <c r="V682" s="1"/>
    </row>
    <row r="683" spans="1:22" ht="12.75" customHeight="1" x14ac:dyDescent="0.2">
      <c r="A683" s="16"/>
      <c r="B683" s="16"/>
      <c r="C683" s="16"/>
      <c r="D683" s="16"/>
      <c r="E683" s="16"/>
      <c r="F683" s="16"/>
      <c r="G683" s="16"/>
      <c r="H683" s="16"/>
      <c r="I683" s="16"/>
      <c r="J683" s="16"/>
      <c r="K683" s="16"/>
      <c r="L683" s="16"/>
      <c r="M683" s="1"/>
      <c r="N683" s="1"/>
      <c r="O683" s="1"/>
      <c r="P683" s="1"/>
      <c r="Q683" s="1"/>
      <c r="R683" s="1"/>
      <c r="S683" s="1"/>
      <c r="T683" s="1"/>
      <c r="U683" s="1"/>
      <c r="V683" s="1"/>
    </row>
    <row r="684" spans="1:22" ht="12.75" customHeight="1" x14ac:dyDescent="0.2">
      <c r="A684" s="16"/>
      <c r="B684" s="16"/>
      <c r="C684" s="16"/>
      <c r="D684" s="16"/>
      <c r="E684" s="16"/>
      <c r="F684" s="16"/>
      <c r="G684" s="16"/>
      <c r="H684" s="16"/>
      <c r="I684" s="16"/>
      <c r="J684" s="16"/>
      <c r="K684" s="16"/>
      <c r="L684" s="16"/>
      <c r="M684" s="1"/>
      <c r="N684" s="1"/>
      <c r="O684" s="1"/>
      <c r="P684" s="1"/>
      <c r="Q684" s="1"/>
      <c r="R684" s="1"/>
      <c r="S684" s="1"/>
      <c r="T684" s="1"/>
      <c r="U684" s="1"/>
      <c r="V684" s="1"/>
    </row>
    <row r="685" spans="1:22" ht="12.75" customHeight="1" x14ac:dyDescent="0.2">
      <c r="A685" s="16"/>
      <c r="B685" s="16"/>
      <c r="C685" s="16"/>
      <c r="D685" s="16"/>
      <c r="E685" s="16"/>
      <c r="F685" s="16"/>
      <c r="G685" s="16"/>
      <c r="H685" s="16"/>
      <c r="I685" s="16"/>
      <c r="J685" s="16"/>
      <c r="K685" s="16"/>
      <c r="L685" s="16"/>
      <c r="M685" s="1"/>
      <c r="N685" s="1"/>
      <c r="O685" s="1"/>
      <c r="P685" s="1"/>
      <c r="Q685" s="1"/>
      <c r="R685" s="1"/>
      <c r="S685" s="1"/>
      <c r="T685" s="1"/>
      <c r="U685" s="1"/>
      <c r="V685" s="1"/>
    </row>
    <row r="686" spans="1:22" ht="12.75" customHeight="1" x14ac:dyDescent="0.2">
      <c r="A686" s="16"/>
      <c r="B686" s="16"/>
      <c r="C686" s="16"/>
      <c r="D686" s="16"/>
      <c r="E686" s="16"/>
      <c r="F686" s="16"/>
      <c r="G686" s="16"/>
      <c r="H686" s="16"/>
      <c r="I686" s="16"/>
      <c r="J686" s="16"/>
      <c r="K686" s="16"/>
      <c r="L686" s="16"/>
      <c r="M686" s="1"/>
      <c r="N686" s="1"/>
      <c r="O686" s="1"/>
      <c r="P686" s="1"/>
      <c r="Q686" s="1"/>
      <c r="R686" s="1"/>
      <c r="S686" s="1"/>
      <c r="T686" s="1"/>
      <c r="U686" s="1"/>
      <c r="V686" s="1"/>
    </row>
    <row r="687" spans="1:22" ht="12.75" customHeight="1" x14ac:dyDescent="0.2">
      <c r="A687" s="16"/>
      <c r="B687" s="16"/>
      <c r="C687" s="16"/>
      <c r="D687" s="16"/>
      <c r="E687" s="16"/>
      <c r="F687" s="16"/>
      <c r="G687" s="16"/>
      <c r="H687" s="16"/>
      <c r="I687" s="16"/>
      <c r="J687" s="16"/>
      <c r="K687" s="16"/>
      <c r="L687" s="16"/>
      <c r="M687" s="1"/>
      <c r="N687" s="1"/>
      <c r="O687" s="1"/>
      <c r="P687" s="1"/>
      <c r="Q687" s="1"/>
      <c r="R687" s="1"/>
      <c r="S687" s="1"/>
      <c r="T687" s="1"/>
      <c r="U687" s="1"/>
      <c r="V687" s="1"/>
    </row>
    <row r="688" spans="1:22" ht="12.75" customHeight="1" x14ac:dyDescent="0.2">
      <c r="A688" s="16"/>
      <c r="B688" s="16"/>
      <c r="C688" s="16"/>
      <c r="D688" s="16"/>
      <c r="E688" s="16"/>
      <c r="F688" s="16"/>
      <c r="G688" s="16"/>
      <c r="H688" s="16"/>
      <c r="I688" s="16"/>
      <c r="J688" s="16"/>
      <c r="K688" s="16"/>
      <c r="L688" s="16"/>
      <c r="M688" s="1"/>
      <c r="N688" s="1"/>
      <c r="O688" s="1"/>
      <c r="P688" s="1"/>
      <c r="Q688" s="1"/>
      <c r="R688" s="1"/>
      <c r="S688" s="1"/>
      <c r="T688" s="1"/>
      <c r="U688" s="1"/>
      <c r="V688" s="1"/>
    </row>
    <row r="689" spans="1:22" ht="12.75" customHeight="1" x14ac:dyDescent="0.2">
      <c r="A689" s="16"/>
      <c r="B689" s="16"/>
      <c r="C689" s="16"/>
      <c r="D689" s="16"/>
      <c r="E689" s="16"/>
      <c r="F689" s="16"/>
      <c r="G689" s="16"/>
      <c r="H689" s="16"/>
      <c r="I689" s="16"/>
      <c r="J689" s="16"/>
      <c r="K689" s="16"/>
      <c r="L689" s="16"/>
      <c r="M689" s="1"/>
      <c r="N689" s="1"/>
      <c r="O689" s="1"/>
      <c r="P689" s="1"/>
      <c r="Q689" s="1"/>
      <c r="R689" s="1"/>
      <c r="S689" s="1"/>
      <c r="T689" s="1"/>
      <c r="U689" s="1"/>
      <c r="V689" s="1"/>
    </row>
    <row r="690" spans="1:22" ht="12.75" customHeight="1" x14ac:dyDescent="0.2">
      <c r="A690" s="16"/>
      <c r="B690" s="16"/>
      <c r="C690" s="16"/>
      <c r="D690" s="16"/>
      <c r="E690" s="16"/>
      <c r="F690" s="16"/>
      <c r="G690" s="16"/>
      <c r="H690" s="16"/>
      <c r="I690" s="16"/>
      <c r="J690" s="16"/>
      <c r="K690" s="16"/>
      <c r="L690" s="16"/>
      <c r="M690" s="1"/>
      <c r="N690" s="1"/>
      <c r="O690" s="1"/>
      <c r="P690" s="1"/>
      <c r="Q690" s="1"/>
      <c r="R690" s="1"/>
      <c r="S690" s="1"/>
      <c r="T690" s="1"/>
      <c r="U690" s="1"/>
      <c r="V690" s="1"/>
    </row>
    <row r="691" spans="1:22" ht="12.75" customHeight="1" x14ac:dyDescent="0.2">
      <c r="A691" s="16"/>
      <c r="B691" s="16"/>
      <c r="C691" s="16"/>
      <c r="D691" s="16"/>
      <c r="E691" s="16"/>
      <c r="F691" s="16"/>
      <c r="G691" s="16"/>
      <c r="H691" s="16"/>
      <c r="I691" s="16"/>
      <c r="J691" s="16"/>
      <c r="K691" s="16"/>
      <c r="L691" s="16"/>
      <c r="M691" s="1"/>
      <c r="N691" s="1"/>
      <c r="O691" s="1"/>
      <c r="P691" s="1"/>
      <c r="Q691" s="1"/>
      <c r="R691" s="1"/>
      <c r="S691" s="1"/>
      <c r="T691" s="1"/>
      <c r="U691" s="1"/>
      <c r="V691" s="1"/>
    </row>
    <row r="692" spans="1:22" ht="12.75" customHeight="1" x14ac:dyDescent="0.2">
      <c r="A692" s="16"/>
      <c r="B692" s="16"/>
      <c r="C692" s="16"/>
      <c r="D692" s="16"/>
      <c r="E692" s="16"/>
      <c r="F692" s="16"/>
      <c r="G692" s="16"/>
      <c r="H692" s="16"/>
      <c r="I692" s="16"/>
      <c r="J692" s="16"/>
      <c r="K692" s="16"/>
      <c r="L692" s="16"/>
      <c r="M692" s="1"/>
      <c r="N692" s="1"/>
      <c r="O692" s="1"/>
      <c r="P692" s="1"/>
      <c r="Q692" s="1"/>
      <c r="R692" s="1"/>
      <c r="S692" s="1"/>
      <c r="T692" s="1"/>
      <c r="U692" s="1"/>
      <c r="V692" s="1"/>
    </row>
    <row r="693" spans="1:22" ht="12.75" customHeight="1" x14ac:dyDescent="0.2">
      <c r="A693" s="16"/>
      <c r="B693" s="16"/>
      <c r="C693" s="16"/>
      <c r="D693" s="16"/>
      <c r="E693" s="16"/>
      <c r="F693" s="16"/>
      <c r="G693" s="16"/>
      <c r="H693" s="16"/>
      <c r="I693" s="16"/>
      <c r="J693" s="16"/>
      <c r="K693" s="16"/>
      <c r="L693" s="16"/>
      <c r="M693" s="1"/>
      <c r="N693" s="1"/>
      <c r="O693" s="1"/>
      <c r="P693" s="1"/>
      <c r="Q693" s="1"/>
      <c r="R693" s="1"/>
      <c r="S693" s="1"/>
      <c r="T693" s="1"/>
      <c r="U693" s="1"/>
      <c r="V693" s="1"/>
    </row>
    <row r="694" spans="1:22" ht="12.75" customHeight="1" x14ac:dyDescent="0.2">
      <c r="A694" s="16"/>
      <c r="B694" s="16"/>
      <c r="C694" s="16"/>
      <c r="D694" s="16"/>
      <c r="E694" s="16"/>
      <c r="F694" s="16"/>
      <c r="G694" s="16"/>
      <c r="H694" s="16"/>
      <c r="I694" s="16"/>
      <c r="J694" s="16"/>
      <c r="K694" s="16"/>
      <c r="L694" s="16"/>
      <c r="M694" s="1"/>
      <c r="N694" s="1"/>
      <c r="O694" s="1"/>
      <c r="P694" s="1"/>
      <c r="Q694" s="1"/>
      <c r="R694" s="1"/>
      <c r="S694" s="1"/>
      <c r="T694" s="1"/>
      <c r="U694" s="1"/>
      <c r="V694" s="1"/>
    </row>
    <row r="695" spans="1:22" ht="12.75" customHeight="1" x14ac:dyDescent="0.2">
      <c r="A695" s="16"/>
      <c r="B695" s="16"/>
      <c r="C695" s="16"/>
      <c r="D695" s="16"/>
      <c r="E695" s="16"/>
      <c r="F695" s="16"/>
      <c r="G695" s="16"/>
      <c r="H695" s="16"/>
      <c r="I695" s="16"/>
      <c r="J695" s="16"/>
      <c r="K695" s="16"/>
      <c r="L695" s="16"/>
      <c r="M695" s="1"/>
      <c r="N695" s="1"/>
      <c r="O695" s="1"/>
      <c r="P695" s="1"/>
      <c r="Q695" s="1"/>
      <c r="R695" s="1"/>
      <c r="S695" s="1"/>
      <c r="T695" s="1"/>
      <c r="U695" s="1"/>
      <c r="V695" s="1"/>
    </row>
    <row r="696" spans="1:22" ht="12.75" customHeight="1" x14ac:dyDescent="0.2">
      <c r="A696" s="16"/>
      <c r="B696" s="16"/>
      <c r="C696" s="16"/>
      <c r="D696" s="16"/>
      <c r="E696" s="16"/>
      <c r="F696" s="16"/>
      <c r="G696" s="16"/>
      <c r="H696" s="16"/>
      <c r="I696" s="16"/>
      <c r="J696" s="16"/>
      <c r="K696" s="16"/>
      <c r="L696" s="16"/>
      <c r="M696" s="1"/>
      <c r="N696" s="1"/>
      <c r="O696" s="1"/>
      <c r="P696" s="1"/>
      <c r="Q696" s="1"/>
      <c r="R696" s="1"/>
      <c r="S696" s="1"/>
      <c r="T696" s="1"/>
      <c r="U696" s="1"/>
      <c r="V696" s="1"/>
    </row>
    <row r="697" spans="1:22" ht="12.75" customHeight="1" x14ac:dyDescent="0.2">
      <c r="A697" s="16"/>
      <c r="B697" s="16"/>
      <c r="C697" s="16"/>
      <c r="D697" s="16"/>
      <c r="E697" s="16"/>
      <c r="F697" s="16"/>
      <c r="G697" s="16"/>
      <c r="H697" s="16"/>
      <c r="I697" s="16"/>
      <c r="J697" s="16"/>
      <c r="K697" s="16"/>
      <c r="L697" s="16"/>
      <c r="M697" s="1"/>
      <c r="N697" s="1"/>
      <c r="O697" s="1"/>
      <c r="P697" s="1"/>
      <c r="Q697" s="1"/>
      <c r="R697" s="1"/>
      <c r="S697" s="1"/>
      <c r="T697" s="1"/>
      <c r="U697" s="1"/>
      <c r="V697" s="1"/>
    </row>
    <row r="698" spans="1:22" ht="12.75" customHeight="1" x14ac:dyDescent="0.2">
      <c r="A698" s="16"/>
      <c r="B698" s="16"/>
      <c r="C698" s="16"/>
      <c r="D698" s="16"/>
      <c r="E698" s="16"/>
      <c r="F698" s="16"/>
      <c r="G698" s="16"/>
      <c r="H698" s="16"/>
      <c r="I698" s="16"/>
      <c r="J698" s="16"/>
      <c r="K698" s="16"/>
      <c r="L698" s="16"/>
      <c r="M698" s="1"/>
      <c r="N698" s="1"/>
      <c r="O698" s="1"/>
      <c r="P698" s="1"/>
      <c r="Q698" s="1"/>
      <c r="R698" s="1"/>
      <c r="S698" s="1"/>
      <c r="T698" s="1"/>
      <c r="U698" s="1"/>
      <c r="V698" s="1"/>
    </row>
    <row r="699" spans="1:22" ht="12.75" customHeight="1" x14ac:dyDescent="0.2">
      <c r="A699" s="16"/>
      <c r="B699" s="16"/>
      <c r="C699" s="16"/>
      <c r="D699" s="16"/>
      <c r="E699" s="16"/>
      <c r="F699" s="16"/>
      <c r="G699" s="16"/>
      <c r="H699" s="16"/>
      <c r="I699" s="16"/>
      <c r="J699" s="16"/>
      <c r="K699" s="16"/>
      <c r="L699" s="16"/>
      <c r="M699" s="1"/>
      <c r="N699" s="1"/>
      <c r="O699" s="1"/>
      <c r="P699" s="1"/>
      <c r="Q699" s="1"/>
      <c r="R699" s="1"/>
      <c r="S699" s="1"/>
      <c r="T699" s="1"/>
      <c r="U699" s="1"/>
      <c r="V699" s="1"/>
    </row>
    <row r="700" spans="1:22" ht="12.75" customHeight="1" x14ac:dyDescent="0.2">
      <c r="A700" s="16"/>
      <c r="B700" s="16"/>
      <c r="C700" s="16"/>
      <c r="D700" s="16"/>
      <c r="E700" s="16"/>
      <c r="F700" s="16"/>
      <c r="G700" s="16"/>
      <c r="H700" s="16"/>
      <c r="I700" s="16"/>
      <c r="J700" s="16"/>
      <c r="K700" s="16"/>
      <c r="L700" s="16"/>
      <c r="M700" s="1"/>
      <c r="N700" s="1"/>
      <c r="O700" s="1"/>
      <c r="P700" s="1"/>
      <c r="Q700" s="1"/>
      <c r="R700" s="1"/>
      <c r="S700" s="1"/>
      <c r="T700" s="1"/>
      <c r="U700" s="1"/>
      <c r="V700" s="1"/>
    </row>
    <row r="701" spans="1:22" ht="12.75" customHeight="1" x14ac:dyDescent="0.2">
      <c r="A701" s="16"/>
      <c r="B701" s="16"/>
      <c r="C701" s="16"/>
      <c r="D701" s="16"/>
      <c r="E701" s="16"/>
      <c r="F701" s="16"/>
      <c r="G701" s="16"/>
      <c r="H701" s="16"/>
      <c r="I701" s="16"/>
      <c r="J701" s="16"/>
      <c r="K701" s="16"/>
      <c r="L701" s="16"/>
      <c r="M701" s="1"/>
      <c r="N701" s="1"/>
      <c r="O701" s="1"/>
      <c r="P701" s="1"/>
      <c r="Q701" s="1"/>
      <c r="R701" s="1"/>
      <c r="S701" s="1"/>
      <c r="T701" s="1"/>
      <c r="U701" s="1"/>
      <c r="V701" s="1"/>
    </row>
    <row r="702" spans="1:22" ht="12.75" customHeight="1" x14ac:dyDescent="0.2">
      <c r="A702" s="16"/>
      <c r="B702" s="16"/>
      <c r="C702" s="16"/>
      <c r="D702" s="16"/>
      <c r="E702" s="16"/>
      <c r="F702" s="16"/>
      <c r="G702" s="16"/>
      <c r="H702" s="16"/>
      <c r="I702" s="16"/>
      <c r="J702" s="16"/>
      <c r="K702" s="16"/>
      <c r="L702" s="16"/>
      <c r="M702" s="1"/>
      <c r="N702" s="1"/>
      <c r="O702" s="1"/>
      <c r="P702" s="1"/>
      <c r="Q702" s="1"/>
      <c r="R702" s="1"/>
      <c r="S702" s="1"/>
      <c r="T702" s="1"/>
      <c r="U702" s="1"/>
      <c r="V702" s="1"/>
    </row>
    <row r="703" spans="1:22" ht="12.75" customHeight="1" x14ac:dyDescent="0.2">
      <c r="A703" s="16"/>
      <c r="B703" s="16"/>
      <c r="C703" s="16"/>
      <c r="D703" s="16"/>
      <c r="E703" s="16"/>
      <c r="F703" s="16"/>
      <c r="G703" s="16"/>
      <c r="H703" s="16"/>
      <c r="I703" s="16"/>
      <c r="J703" s="16"/>
      <c r="K703" s="16"/>
      <c r="L703" s="16"/>
      <c r="M703" s="1"/>
      <c r="N703" s="1"/>
      <c r="O703" s="1"/>
      <c r="P703" s="1"/>
      <c r="Q703" s="1"/>
      <c r="R703" s="1"/>
      <c r="S703" s="1"/>
      <c r="T703" s="1"/>
      <c r="U703" s="1"/>
      <c r="V703" s="1"/>
    </row>
    <row r="704" spans="1:22" ht="12.75" customHeight="1" x14ac:dyDescent="0.2">
      <c r="A704" s="16"/>
      <c r="B704" s="16"/>
      <c r="C704" s="16"/>
      <c r="D704" s="16"/>
      <c r="E704" s="16"/>
      <c r="F704" s="16"/>
      <c r="G704" s="16"/>
      <c r="H704" s="16"/>
      <c r="I704" s="16"/>
      <c r="J704" s="16"/>
      <c r="K704" s="16"/>
      <c r="L704" s="16"/>
      <c r="M704" s="1"/>
      <c r="N704" s="1"/>
      <c r="O704" s="1"/>
      <c r="P704" s="1"/>
      <c r="Q704" s="1"/>
      <c r="R704" s="1"/>
      <c r="S704" s="1"/>
      <c r="T704" s="1"/>
      <c r="U704" s="1"/>
      <c r="V704" s="1"/>
    </row>
    <row r="705" spans="1:22" ht="12.75" customHeight="1" x14ac:dyDescent="0.2">
      <c r="A705" s="16"/>
      <c r="B705" s="16"/>
      <c r="C705" s="16"/>
      <c r="D705" s="16"/>
      <c r="E705" s="16"/>
      <c r="F705" s="16"/>
      <c r="G705" s="16"/>
      <c r="H705" s="16"/>
      <c r="I705" s="16"/>
      <c r="J705" s="16"/>
      <c r="K705" s="16"/>
      <c r="L705" s="16"/>
      <c r="M705" s="1"/>
      <c r="N705" s="1"/>
      <c r="O705" s="1"/>
      <c r="P705" s="1"/>
      <c r="Q705" s="1"/>
      <c r="R705" s="1"/>
      <c r="S705" s="1"/>
      <c r="T705" s="1"/>
      <c r="U705" s="1"/>
      <c r="V705" s="1"/>
    </row>
    <row r="706" spans="1:22" ht="12.75" customHeight="1" x14ac:dyDescent="0.2">
      <c r="A706" s="16"/>
      <c r="B706" s="16"/>
      <c r="C706" s="16"/>
      <c r="D706" s="16"/>
      <c r="E706" s="16"/>
      <c r="F706" s="16"/>
      <c r="G706" s="16"/>
      <c r="H706" s="16"/>
      <c r="I706" s="16"/>
      <c r="J706" s="16"/>
      <c r="K706" s="16"/>
      <c r="L706" s="16"/>
      <c r="M706" s="1"/>
      <c r="N706" s="1"/>
      <c r="O706" s="1"/>
      <c r="P706" s="1"/>
      <c r="Q706" s="1"/>
      <c r="R706" s="1"/>
      <c r="S706" s="1"/>
      <c r="T706" s="1"/>
      <c r="U706" s="1"/>
      <c r="V706" s="1"/>
    </row>
    <row r="707" spans="1:22" ht="12.75" customHeight="1" x14ac:dyDescent="0.2">
      <c r="A707" s="16"/>
      <c r="B707" s="16"/>
      <c r="C707" s="16"/>
      <c r="D707" s="16"/>
      <c r="E707" s="16"/>
      <c r="F707" s="16"/>
      <c r="G707" s="16"/>
      <c r="H707" s="16"/>
      <c r="I707" s="16"/>
      <c r="J707" s="16"/>
      <c r="K707" s="16"/>
      <c r="L707" s="16"/>
      <c r="M707" s="1"/>
      <c r="N707" s="1"/>
      <c r="O707" s="1"/>
      <c r="P707" s="1"/>
      <c r="Q707" s="1"/>
      <c r="R707" s="1"/>
      <c r="S707" s="1"/>
      <c r="T707" s="1"/>
      <c r="U707" s="1"/>
      <c r="V707" s="1"/>
    </row>
    <row r="708" spans="1:22" ht="12.75" customHeight="1" x14ac:dyDescent="0.2">
      <c r="A708" s="16"/>
      <c r="B708" s="16"/>
      <c r="C708" s="16"/>
      <c r="D708" s="16"/>
      <c r="E708" s="16"/>
      <c r="F708" s="16"/>
      <c r="G708" s="16"/>
      <c r="H708" s="16"/>
      <c r="I708" s="16"/>
      <c r="J708" s="16"/>
      <c r="K708" s="16"/>
      <c r="L708" s="16"/>
      <c r="M708" s="1"/>
      <c r="N708" s="1"/>
      <c r="O708" s="1"/>
      <c r="P708" s="1"/>
      <c r="Q708" s="1"/>
      <c r="R708" s="1"/>
      <c r="S708" s="1"/>
      <c r="T708" s="1"/>
      <c r="U708" s="1"/>
      <c r="V708" s="1"/>
    </row>
    <row r="709" spans="1:22" ht="12.75" customHeight="1" x14ac:dyDescent="0.2">
      <c r="A709" s="16"/>
      <c r="B709" s="16"/>
      <c r="C709" s="16"/>
      <c r="D709" s="16"/>
      <c r="E709" s="16"/>
      <c r="F709" s="16"/>
      <c r="G709" s="16"/>
      <c r="H709" s="16"/>
      <c r="I709" s="16"/>
      <c r="J709" s="16"/>
      <c r="K709" s="16"/>
      <c r="L709" s="16"/>
      <c r="M709" s="1"/>
      <c r="N709" s="1"/>
      <c r="O709" s="1"/>
      <c r="P709" s="1"/>
      <c r="Q709" s="1"/>
      <c r="R709" s="1"/>
      <c r="S709" s="1"/>
      <c r="T709" s="1"/>
      <c r="U709" s="1"/>
      <c r="V709" s="1"/>
    </row>
    <row r="710" spans="1:22" ht="12.75" customHeight="1" x14ac:dyDescent="0.2">
      <c r="A710" s="16"/>
      <c r="B710" s="16"/>
      <c r="C710" s="16"/>
      <c r="D710" s="16"/>
      <c r="E710" s="16"/>
      <c r="F710" s="16"/>
      <c r="G710" s="16"/>
      <c r="H710" s="16"/>
      <c r="I710" s="16"/>
      <c r="J710" s="16"/>
      <c r="K710" s="16"/>
      <c r="L710" s="16"/>
      <c r="M710" s="1"/>
      <c r="N710" s="1"/>
      <c r="O710" s="1"/>
      <c r="P710" s="1"/>
      <c r="Q710" s="1"/>
      <c r="R710" s="1"/>
      <c r="S710" s="1"/>
      <c r="T710" s="1"/>
      <c r="U710" s="1"/>
      <c r="V710" s="1"/>
    </row>
    <row r="711" spans="1:22" ht="12.75" customHeight="1" x14ac:dyDescent="0.2">
      <c r="A711" s="16"/>
      <c r="B711" s="16"/>
      <c r="C711" s="16"/>
      <c r="D711" s="16"/>
      <c r="E711" s="16"/>
      <c r="F711" s="16"/>
      <c r="G711" s="16"/>
      <c r="H711" s="16"/>
      <c r="I711" s="16"/>
      <c r="J711" s="16"/>
      <c r="K711" s="16"/>
      <c r="L711" s="16"/>
      <c r="M711" s="1"/>
      <c r="N711" s="1"/>
      <c r="O711" s="1"/>
      <c r="P711" s="1"/>
      <c r="Q711" s="1"/>
      <c r="R711" s="1"/>
      <c r="S711" s="1"/>
      <c r="T711" s="1"/>
      <c r="U711" s="1"/>
      <c r="V711" s="1"/>
    </row>
    <row r="712" spans="1:22" ht="12.75" customHeight="1" x14ac:dyDescent="0.2">
      <c r="A712" s="16"/>
      <c r="B712" s="16"/>
      <c r="C712" s="16"/>
      <c r="D712" s="16"/>
      <c r="E712" s="16"/>
      <c r="F712" s="16"/>
      <c r="G712" s="16"/>
      <c r="H712" s="16"/>
      <c r="I712" s="16"/>
      <c r="J712" s="16"/>
      <c r="K712" s="16"/>
      <c r="L712" s="16"/>
      <c r="M712" s="1"/>
      <c r="N712" s="1"/>
      <c r="O712" s="1"/>
      <c r="P712" s="1"/>
      <c r="Q712" s="1"/>
      <c r="R712" s="1"/>
      <c r="S712" s="1"/>
      <c r="T712" s="1"/>
      <c r="U712" s="1"/>
      <c r="V712" s="1"/>
    </row>
    <row r="713" spans="1:22" ht="12.75" customHeight="1" x14ac:dyDescent="0.2">
      <c r="A713" s="16"/>
      <c r="B713" s="16"/>
      <c r="C713" s="16"/>
      <c r="D713" s="16"/>
      <c r="E713" s="16"/>
      <c r="F713" s="16"/>
      <c r="G713" s="16"/>
      <c r="H713" s="16"/>
      <c r="I713" s="16"/>
      <c r="J713" s="16"/>
      <c r="K713" s="16"/>
      <c r="L713" s="16"/>
      <c r="M713" s="1"/>
      <c r="N713" s="1"/>
      <c r="O713" s="1"/>
      <c r="P713" s="1"/>
      <c r="Q713" s="1"/>
      <c r="R713" s="1"/>
      <c r="S713" s="1"/>
      <c r="T713" s="1"/>
      <c r="U713" s="1"/>
      <c r="V713" s="1"/>
    </row>
    <row r="714" spans="1:22" ht="12.75" customHeight="1" x14ac:dyDescent="0.2">
      <c r="A714" s="16"/>
      <c r="B714" s="16"/>
      <c r="C714" s="16"/>
      <c r="D714" s="16"/>
      <c r="E714" s="16"/>
      <c r="F714" s="16"/>
      <c r="G714" s="16"/>
      <c r="H714" s="16"/>
      <c r="I714" s="16"/>
      <c r="J714" s="16"/>
      <c r="K714" s="16"/>
      <c r="L714" s="16"/>
      <c r="M714" s="1"/>
      <c r="N714" s="1"/>
      <c r="O714" s="1"/>
      <c r="P714" s="1"/>
      <c r="Q714" s="1"/>
      <c r="R714" s="1"/>
      <c r="S714" s="1"/>
      <c r="T714" s="1"/>
      <c r="U714" s="1"/>
      <c r="V714" s="1"/>
    </row>
    <row r="715" spans="1:22" ht="12.75" customHeight="1" x14ac:dyDescent="0.2">
      <c r="A715" s="16"/>
      <c r="B715" s="16"/>
      <c r="C715" s="16"/>
      <c r="D715" s="16"/>
      <c r="E715" s="16"/>
      <c r="F715" s="16"/>
      <c r="G715" s="16"/>
      <c r="H715" s="16"/>
      <c r="I715" s="16"/>
      <c r="J715" s="16"/>
      <c r="K715" s="16"/>
      <c r="L715" s="16"/>
      <c r="M715" s="1"/>
      <c r="N715" s="1"/>
      <c r="O715" s="1"/>
      <c r="P715" s="1"/>
      <c r="Q715" s="1"/>
      <c r="R715" s="1"/>
      <c r="S715" s="1"/>
      <c r="T715" s="1"/>
      <c r="U715" s="1"/>
      <c r="V715" s="1"/>
    </row>
    <row r="716" spans="1:22" ht="12.75" customHeight="1" x14ac:dyDescent="0.2">
      <c r="A716" s="16"/>
      <c r="B716" s="16"/>
      <c r="C716" s="16"/>
      <c r="D716" s="16"/>
      <c r="E716" s="16"/>
      <c r="F716" s="16"/>
      <c r="G716" s="16"/>
      <c r="H716" s="16"/>
      <c r="I716" s="16"/>
      <c r="J716" s="16"/>
      <c r="K716" s="16"/>
      <c r="L716" s="16"/>
      <c r="M716" s="1"/>
      <c r="N716" s="1"/>
      <c r="O716" s="1"/>
      <c r="P716" s="1"/>
      <c r="Q716" s="1"/>
      <c r="R716" s="1"/>
      <c r="S716" s="1"/>
      <c r="T716" s="1"/>
      <c r="U716" s="1"/>
      <c r="V716" s="1"/>
    </row>
    <row r="717" spans="1:22" ht="12.75" customHeight="1" x14ac:dyDescent="0.2">
      <c r="A717" s="16"/>
      <c r="B717" s="16"/>
      <c r="C717" s="16"/>
      <c r="D717" s="16"/>
      <c r="E717" s="16"/>
      <c r="F717" s="16"/>
      <c r="G717" s="16"/>
      <c r="H717" s="16"/>
      <c r="I717" s="16"/>
      <c r="J717" s="16"/>
      <c r="K717" s="16"/>
      <c r="L717" s="16"/>
      <c r="M717" s="1"/>
      <c r="N717" s="1"/>
      <c r="O717" s="1"/>
      <c r="P717" s="1"/>
      <c r="Q717" s="1"/>
      <c r="R717" s="1"/>
      <c r="S717" s="1"/>
      <c r="T717" s="1"/>
      <c r="U717" s="1"/>
      <c r="V717" s="1"/>
    </row>
    <row r="718" spans="1:22" ht="12.75" customHeight="1" x14ac:dyDescent="0.2">
      <c r="A718" s="16"/>
      <c r="B718" s="16"/>
      <c r="C718" s="16"/>
      <c r="D718" s="16"/>
      <c r="E718" s="16"/>
      <c r="F718" s="16"/>
      <c r="G718" s="16"/>
      <c r="H718" s="16"/>
      <c r="I718" s="16"/>
      <c r="J718" s="16"/>
      <c r="K718" s="16"/>
      <c r="L718" s="16"/>
      <c r="M718" s="1"/>
      <c r="N718" s="1"/>
      <c r="O718" s="1"/>
      <c r="P718" s="1"/>
      <c r="Q718" s="1"/>
      <c r="R718" s="1"/>
      <c r="S718" s="1"/>
      <c r="T718" s="1"/>
      <c r="U718" s="1"/>
      <c r="V718" s="1"/>
    </row>
    <row r="719" spans="1:22" ht="12.75" customHeight="1" x14ac:dyDescent="0.2">
      <c r="A719" s="16"/>
      <c r="B719" s="16"/>
      <c r="C719" s="16"/>
      <c r="D719" s="16"/>
      <c r="E719" s="16"/>
      <c r="F719" s="16"/>
      <c r="G719" s="16"/>
      <c r="H719" s="16"/>
      <c r="I719" s="16"/>
      <c r="J719" s="16"/>
      <c r="K719" s="16"/>
      <c r="L719" s="16"/>
      <c r="M719" s="1"/>
      <c r="N719" s="1"/>
      <c r="O719" s="1"/>
      <c r="P719" s="1"/>
      <c r="Q719" s="1"/>
      <c r="R719" s="1"/>
      <c r="S719" s="1"/>
      <c r="T719" s="1"/>
      <c r="U719" s="1"/>
      <c r="V719" s="1"/>
    </row>
    <row r="720" spans="1:22" ht="12.75" customHeight="1" x14ac:dyDescent="0.2">
      <c r="A720" s="16"/>
      <c r="B720" s="16"/>
      <c r="C720" s="16"/>
      <c r="D720" s="16"/>
      <c r="E720" s="16"/>
      <c r="F720" s="16"/>
      <c r="G720" s="16"/>
      <c r="H720" s="16"/>
      <c r="I720" s="16"/>
      <c r="J720" s="16"/>
      <c r="K720" s="16"/>
      <c r="L720" s="16"/>
      <c r="M720" s="1"/>
      <c r="N720" s="1"/>
      <c r="O720" s="1"/>
      <c r="P720" s="1"/>
      <c r="Q720" s="1"/>
      <c r="R720" s="1"/>
      <c r="S720" s="1"/>
      <c r="T720" s="1"/>
      <c r="U720" s="1"/>
      <c r="V720" s="1"/>
    </row>
    <row r="721" spans="1:22" ht="12.75" customHeight="1" x14ac:dyDescent="0.2">
      <c r="A721" s="16"/>
      <c r="B721" s="16"/>
      <c r="C721" s="16"/>
      <c r="D721" s="16"/>
      <c r="E721" s="16"/>
      <c r="F721" s="16"/>
      <c r="G721" s="16"/>
      <c r="H721" s="16"/>
      <c r="I721" s="16"/>
      <c r="J721" s="16"/>
      <c r="K721" s="16"/>
      <c r="L721" s="16"/>
      <c r="M721" s="1"/>
      <c r="N721" s="1"/>
      <c r="O721" s="1"/>
      <c r="P721" s="1"/>
      <c r="Q721" s="1"/>
      <c r="R721" s="1"/>
      <c r="S721" s="1"/>
      <c r="T721" s="1"/>
      <c r="U721" s="1"/>
      <c r="V721" s="1"/>
    </row>
    <row r="722" spans="1:22" ht="12.75" customHeight="1" x14ac:dyDescent="0.2">
      <c r="A722" s="16"/>
      <c r="B722" s="16"/>
      <c r="C722" s="16"/>
      <c r="D722" s="16"/>
      <c r="E722" s="16"/>
      <c r="F722" s="16"/>
      <c r="G722" s="16"/>
      <c r="H722" s="16"/>
      <c r="I722" s="16"/>
      <c r="J722" s="16"/>
      <c r="K722" s="16"/>
      <c r="L722" s="16"/>
      <c r="M722" s="1"/>
      <c r="N722" s="1"/>
      <c r="O722" s="1"/>
      <c r="P722" s="1"/>
      <c r="Q722" s="1"/>
      <c r="R722" s="1"/>
      <c r="S722" s="1"/>
      <c r="T722" s="1"/>
      <c r="U722" s="1"/>
      <c r="V722" s="1"/>
    </row>
    <row r="723" spans="1:22" ht="12.75" customHeight="1" x14ac:dyDescent="0.2">
      <c r="A723" s="16"/>
      <c r="B723" s="16"/>
      <c r="C723" s="16"/>
      <c r="D723" s="16"/>
      <c r="E723" s="16"/>
      <c r="F723" s="16"/>
      <c r="G723" s="16"/>
      <c r="H723" s="16"/>
      <c r="I723" s="16"/>
      <c r="J723" s="16"/>
      <c r="K723" s="16"/>
      <c r="L723" s="16"/>
      <c r="M723" s="1"/>
      <c r="N723" s="1"/>
      <c r="O723" s="1"/>
      <c r="P723" s="1"/>
      <c r="Q723" s="1"/>
      <c r="R723" s="1"/>
      <c r="S723" s="1"/>
      <c r="T723" s="1"/>
      <c r="U723" s="1"/>
      <c r="V723" s="1"/>
    </row>
    <row r="724" spans="1:22" ht="12.75" customHeight="1" x14ac:dyDescent="0.2">
      <c r="A724" s="16"/>
      <c r="B724" s="16"/>
      <c r="C724" s="16"/>
      <c r="D724" s="16"/>
      <c r="E724" s="16"/>
      <c r="F724" s="16"/>
      <c r="G724" s="16"/>
      <c r="H724" s="16"/>
      <c r="I724" s="16"/>
      <c r="J724" s="16"/>
      <c r="K724" s="16"/>
      <c r="L724" s="16"/>
      <c r="M724" s="1"/>
      <c r="N724" s="1"/>
      <c r="O724" s="1"/>
      <c r="P724" s="1"/>
      <c r="Q724" s="1"/>
      <c r="R724" s="1"/>
      <c r="S724" s="1"/>
      <c r="T724" s="1"/>
      <c r="U724" s="1"/>
      <c r="V724" s="1"/>
    </row>
    <row r="725" spans="1:22" ht="12.75" customHeight="1" x14ac:dyDescent="0.2">
      <c r="A725" s="16"/>
      <c r="B725" s="16"/>
      <c r="C725" s="16"/>
      <c r="D725" s="16"/>
      <c r="E725" s="16"/>
      <c r="F725" s="16"/>
      <c r="G725" s="16"/>
      <c r="H725" s="16"/>
      <c r="I725" s="16"/>
      <c r="J725" s="16"/>
      <c r="K725" s="16"/>
      <c r="L725" s="16"/>
      <c r="M725" s="1"/>
      <c r="N725" s="1"/>
      <c r="O725" s="1"/>
      <c r="P725" s="1"/>
      <c r="Q725" s="1"/>
      <c r="R725" s="1"/>
      <c r="S725" s="1"/>
      <c r="T725" s="1"/>
      <c r="U725" s="1"/>
      <c r="V725" s="1"/>
    </row>
    <row r="726" spans="1:22" ht="12.75" customHeight="1" x14ac:dyDescent="0.2">
      <c r="A726" s="16"/>
      <c r="B726" s="16"/>
      <c r="C726" s="16"/>
      <c r="D726" s="16"/>
      <c r="E726" s="16"/>
      <c r="F726" s="16"/>
      <c r="G726" s="16"/>
      <c r="H726" s="16"/>
      <c r="I726" s="16"/>
      <c r="J726" s="16"/>
      <c r="K726" s="16"/>
      <c r="L726" s="16"/>
      <c r="M726" s="1"/>
      <c r="N726" s="1"/>
      <c r="O726" s="1"/>
      <c r="P726" s="1"/>
      <c r="Q726" s="1"/>
      <c r="R726" s="1"/>
      <c r="S726" s="1"/>
      <c r="T726" s="1"/>
      <c r="U726" s="1"/>
      <c r="V726" s="1"/>
    </row>
    <row r="727" spans="1:22" ht="12.75" customHeight="1" x14ac:dyDescent="0.2">
      <c r="A727" s="16"/>
      <c r="B727" s="16"/>
      <c r="C727" s="16"/>
      <c r="D727" s="16"/>
      <c r="E727" s="16"/>
      <c r="F727" s="16"/>
      <c r="G727" s="16"/>
      <c r="H727" s="16"/>
      <c r="I727" s="16"/>
      <c r="J727" s="16"/>
      <c r="K727" s="16"/>
      <c r="L727" s="16"/>
      <c r="M727" s="1"/>
      <c r="N727" s="1"/>
      <c r="O727" s="1"/>
      <c r="P727" s="1"/>
      <c r="Q727" s="1"/>
      <c r="R727" s="1"/>
      <c r="S727" s="1"/>
      <c r="T727" s="1"/>
      <c r="U727" s="1"/>
      <c r="V727" s="1"/>
    </row>
    <row r="728" spans="1:22" ht="12.75" customHeight="1" x14ac:dyDescent="0.2">
      <c r="A728" s="16"/>
      <c r="B728" s="16"/>
      <c r="C728" s="16"/>
      <c r="D728" s="16"/>
      <c r="E728" s="16"/>
      <c r="F728" s="16"/>
      <c r="G728" s="16"/>
      <c r="H728" s="16"/>
      <c r="I728" s="16"/>
      <c r="J728" s="16"/>
      <c r="K728" s="16"/>
      <c r="L728" s="16"/>
      <c r="M728" s="1"/>
      <c r="N728" s="1"/>
      <c r="O728" s="1"/>
      <c r="P728" s="1"/>
      <c r="Q728" s="1"/>
      <c r="R728" s="1"/>
      <c r="S728" s="1"/>
      <c r="T728" s="1"/>
      <c r="U728" s="1"/>
      <c r="V728" s="1"/>
    </row>
    <row r="729" spans="1:22" ht="12.75" customHeight="1" x14ac:dyDescent="0.2">
      <c r="A729" s="16"/>
      <c r="B729" s="16"/>
      <c r="C729" s="16"/>
      <c r="D729" s="16"/>
      <c r="E729" s="16"/>
      <c r="F729" s="16"/>
      <c r="G729" s="16"/>
      <c r="H729" s="16"/>
      <c r="I729" s="16"/>
      <c r="J729" s="16"/>
      <c r="K729" s="16"/>
      <c r="L729" s="16"/>
      <c r="M729" s="1"/>
      <c r="N729" s="1"/>
      <c r="O729" s="1"/>
      <c r="P729" s="1"/>
      <c r="Q729" s="1"/>
      <c r="R729" s="1"/>
      <c r="S729" s="1"/>
      <c r="T729" s="1"/>
      <c r="U729" s="1"/>
      <c r="V729" s="1"/>
    </row>
    <row r="730" spans="1:22" ht="12.75" customHeight="1" x14ac:dyDescent="0.2">
      <c r="A730" s="16"/>
      <c r="B730" s="16"/>
      <c r="C730" s="16"/>
      <c r="D730" s="16"/>
      <c r="E730" s="16"/>
      <c r="F730" s="16"/>
      <c r="G730" s="16"/>
      <c r="H730" s="16"/>
      <c r="I730" s="16"/>
      <c r="J730" s="16"/>
      <c r="K730" s="16"/>
      <c r="L730" s="16"/>
      <c r="M730" s="1"/>
      <c r="N730" s="1"/>
      <c r="O730" s="1"/>
      <c r="P730" s="1"/>
      <c r="Q730" s="1"/>
      <c r="R730" s="1"/>
      <c r="S730" s="1"/>
      <c r="T730" s="1"/>
      <c r="U730" s="1"/>
      <c r="V730" s="1"/>
    </row>
    <row r="731" spans="1:22" ht="12.75" customHeight="1" x14ac:dyDescent="0.2">
      <c r="A731" s="16"/>
      <c r="B731" s="16"/>
      <c r="C731" s="16"/>
      <c r="D731" s="16"/>
      <c r="E731" s="16"/>
      <c r="F731" s="16"/>
      <c r="G731" s="16"/>
      <c r="H731" s="16"/>
      <c r="I731" s="16"/>
      <c r="J731" s="16"/>
      <c r="K731" s="16"/>
      <c r="L731" s="16"/>
      <c r="M731" s="1"/>
      <c r="N731" s="1"/>
      <c r="O731" s="1"/>
      <c r="P731" s="1"/>
      <c r="Q731" s="1"/>
      <c r="R731" s="1"/>
      <c r="S731" s="1"/>
      <c r="T731" s="1"/>
      <c r="U731" s="1"/>
      <c r="V731" s="1"/>
    </row>
    <row r="732" spans="1:22" ht="12.75" customHeight="1" x14ac:dyDescent="0.2">
      <c r="A732" s="16"/>
      <c r="B732" s="16"/>
      <c r="C732" s="16"/>
      <c r="D732" s="16"/>
      <c r="E732" s="16"/>
      <c r="F732" s="16"/>
      <c r="G732" s="16"/>
      <c r="H732" s="16"/>
      <c r="I732" s="16"/>
      <c r="J732" s="16"/>
      <c r="K732" s="16"/>
      <c r="L732" s="16"/>
      <c r="M732" s="1"/>
      <c r="N732" s="1"/>
      <c r="O732" s="1"/>
      <c r="P732" s="1"/>
      <c r="Q732" s="1"/>
      <c r="R732" s="1"/>
      <c r="S732" s="1"/>
      <c r="T732" s="1"/>
      <c r="U732" s="1"/>
      <c r="V732" s="1"/>
    </row>
    <row r="733" spans="1:22" ht="12.75" customHeight="1" x14ac:dyDescent="0.2">
      <c r="A733" s="16"/>
      <c r="B733" s="16"/>
      <c r="C733" s="16"/>
      <c r="D733" s="16"/>
      <c r="E733" s="16"/>
      <c r="F733" s="16"/>
      <c r="G733" s="16"/>
      <c r="H733" s="16"/>
      <c r="I733" s="16"/>
      <c r="J733" s="16"/>
      <c r="K733" s="16"/>
      <c r="L733" s="16"/>
      <c r="M733" s="1"/>
      <c r="N733" s="1"/>
      <c r="O733" s="1"/>
      <c r="P733" s="1"/>
      <c r="Q733" s="1"/>
      <c r="R733" s="1"/>
      <c r="S733" s="1"/>
      <c r="T733" s="1"/>
      <c r="U733" s="1"/>
      <c r="V733" s="1"/>
    </row>
    <row r="734" spans="1:22" ht="12.75" customHeight="1" x14ac:dyDescent="0.2">
      <c r="A734" s="16"/>
      <c r="B734" s="16"/>
      <c r="C734" s="16"/>
      <c r="D734" s="16"/>
      <c r="E734" s="16"/>
      <c r="F734" s="16"/>
      <c r="G734" s="16"/>
      <c r="H734" s="16"/>
      <c r="I734" s="16"/>
      <c r="J734" s="16"/>
      <c r="K734" s="16"/>
      <c r="L734" s="16"/>
      <c r="M734" s="1"/>
      <c r="N734" s="1"/>
      <c r="O734" s="1"/>
      <c r="P734" s="1"/>
      <c r="Q734" s="1"/>
      <c r="R734" s="1"/>
      <c r="S734" s="1"/>
      <c r="T734" s="1"/>
      <c r="U734" s="1"/>
      <c r="V734" s="1"/>
    </row>
    <row r="735" spans="1:22" ht="12.75" customHeight="1" x14ac:dyDescent="0.2">
      <c r="A735" s="16"/>
      <c r="B735" s="16"/>
      <c r="C735" s="16"/>
      <c r="D735" s="16"/>
      <c r="E735" s="16"/>
      <c r="F735" s="16"/>
      <c r="G735" s="16"/>
      <c r="H735" s="16"/>
      <c r="I735" s="16"/>
      <c r="J735" s="16"/>
      <c r="K735" s="16"/>
      <c r="L735" s="16"/>
      <c r="M735" s="1"/>
      <c r="N735" s="1"/>
      <c r="O735" s="1"/>
      <c r="P735" s="1"/>
      <c r="Q735" s="1"/>
      <c r="R735" s="1"/>
      <c r="S735" s="1"/>
      <c r="T735" s="1"/>
      <c r="U735" s="1"/>
      <c r="V735" s="1"/>
    </row>
    <row r="736" spans="1:22" ht="12.75" customHeight="1" x14ac:dyDescent="0.2">
      <c r="A736" s="16"/>
      <c r="B736" s="16"/>
      <c r="C736" s="16"/>
      <c r="D736" s="16"/>
      <c r="E736" s="16"/>
      <c r="F736" s="16"/>
      <c r="G736" s="16"/>
      <c r="H736" s="16"/>
      <c r="I736" s="16"/>
      <c r="J736" s="16"/>
      <c r="K736" s="16"/>
      <c r="L736" s="16"/>
      <c r="M736" s="1"/>
      <c r="N736" s="1"/>
      <c r="O736" s="1"/>
      <c r="P736" s="1"/>
      <c r="Q736" s="1"/>
      <c r="R736" s="1"/>
      <c r="S736" s="1"/>
      <c r="T736" s="1"/>
      <c r="U736" s="1"/>
      <c r="V736" s="1"/>
    </row>
    <row r="737" spans="1:22" ht="12.75" customHeight="1" x14ac:dyDescent="0.2">
      <c r="A737" s="16"/>
      <c r="B737" s="16"/>
      <c r="C737" s="16"/>
      <c r="D737" s="16"/>
      <c r="E737" s="16"/>
      <c r="F737" s="16"/>
      <c r="G737" s="16"/>
      <c r="H737" s="16"/>
      <c r="I737" s="16"/>
      <c r="J737" s="16"/>
      <c r="K737" s="16"/>
      <c r="L737" s="16"/>
      <c r="M737" s="1"/>
      <c r="N737" s="1"/>
      <c r="O737" s="1"/>
      <c r="P737" s="1"/>
      <c r="Q737" s="1"/>
      <c r="R737" s="1"/>
      <c r="S737" s="1"/>
      <c r="T737" s="1"/>
      <c r="U737" s="1"/>
      <c r="V737" s="1"/>
    </row>
    <row r="738" spans="1:22" ht="12.75" customHeight="1" x14ac:dyDescent="0.2">
      <c r="A738" s="16"/>
      <c r="B738" s="16"/>
      <c r="C738" s="16"/>
      <c r="D738" s="16"/>
      <c r="E738" s="16"/>
      <c r="F738" s="16"/>
      <c r="G738" s="16"/>
      <c r="H738" s="16"/>
      <c r="I738" s="16"/>
      <c r="J738" s="16"/>
      <c r="K738" s="16"/>
      <c r="L738" s="16"/>
      <c r="M738" s="1"/>
      <c r="N738" s="1"/>
      <c r="O738" s="1"/>
      <c r="P738" s="1"/>
      <c r="Q738" s="1"/>
      <c r="R738" s="1"/>
      <c r="S738" s="1"/>
      <c r="T738" s="1"/>
      <c r="U738" s="1"/>
      <c r="V738" s="1"/>
    </row>
    <row r="739" spans="1:22" ht="12.75" customHeight="1" x14ac:dyDescent="0.2">
      <c r="A739" s="16"/>
      <c r="B739" s="16"/>
      <c r="C739" s="16"/>
      <c r="D739" s="16"/>
      <c r="E739" s="16"/>
      <c r="F739" s="16"/>
      <c r="G739" s="16"/>
      <c r="H739" s="16"/>
      <c r="I739" s="16"/>
      <c r="J739" s="16"/>
      <c r="K739" s="16"/>
      <c r="L739" s="16"/>
      <c r="M739" s="1"/>
      <c r="N739" s="1"/>
      <c r="O739" s="1"/>
      <c r="P739" s="1"/>
      <c r="Q739" s="1"/>
      <c r="R739" s="1"/>
      <c r="S739" s="1"/>
      <c r="T739" s="1"/>
      <c r="U739" s="1"/>
      <c r="V739" s="1"/>
    </row>
    <row r="740" spans="1:22" ht="12.75" customHeight="1" x14ac:dyDescent="0.2">
      <c r="A740" s="16"/>
      <c r="B740" s="16"/>
      <c r="C740" s="16"/>
      <c r="D740" s="16"/>
      <c r="E740" s="16"/>
      <c r="F740" s="16"/>
      <c r="G740" s="16"/>
      <c r="H740" s="16"/>
      <c r="I740" s="16"/>
      <c r="J740" s="16"/>
      <c r="K740" s="16"/>
      <c r="L740" s="16"/>
      <c r="M740" s="1"/>
      <c r="N740" s="1"/>
      <c r="O740" s="1"/>
      <c r="P740" s="1"/>
      <c r="Q740" s="1"/>
      <c r="R740" s="1"/>
      <c r="S740" s="1"/>
      <c r="T740" s="1"/>
      <c r="U740" s="1"/>
      <c r="V740" s="1"/>
    </row>
    <row r="741" spans="1:22" ht="12.75" customHeight="1" x14ac:dyDescent="0.2">
      <c r="A741" s="16"/>
      <c r="B741" s="16"/>
      <c r="C741" s="16"/>
      <c r="D741" s="16"/>
      <c r="E741" s="16"/>
      <c r="F741" s="16"/>
      <c r="G741" s="16"/>
      <c r="H741" s="16"/>
      <c r="I741" s="16"/>
      <c r="J741" s="16"/>
      <c r="K741" s="16"/>
      <c r="L741" s="16"/>
      <c r="M741" s="1"/>
      <c r="N741" s="1"/>
      <c r="O741" s="1"/>
      <c r="P741" s="1"/>
      <c r="Q741" s="1"/>
      <c r="R741" s="1"/>
      <c r="S741" s="1"/>
      <c r="T741" s="1"/>
      <c r="U741" s="1"/>
      <c r="V741" s="1"/>
    </row>
    <row r="742" spans="1:22" ht="12.75" customHeight="1" x14ac:dyDescent="0.2">
      <c r="A742" s="16"/>
      <c r="B742" s="16"/>
      <c r="C742" s="16"/>
      <c r="D742" s="16"/>
      <c r="E742" s="16"/>
      <c r="F742" s="16"/>
      <c r="G742" s="16"/>
      <c r="H742" s="16"/>
      <c r="I742" s="16"/>
      <c r="J742" s="16"/>
      <c r="K742" s="16"/>
      <c r="L742" s="16"/>
      <c r="M742" s="1"/>
      <c r="N742" s="1"/>
      <c r="O742" s="1"/>
      <c r="P742" s="1"/>
      <c r="Q742" s="1"/>
      <c r="R742" s="1"/>
      <c r="S742" s="1"/>
      <c r="T742" s="1"/>
      <c r="U742" s="1"/>
      <c r="V742" s="1"/>
    </row>
    <row r="743" spans="1:22" ht="12.75" customHeight="1" x14ac:dyDescent="0.2">
      <c r="A743" s="16"/>
      <c r="B743" s="16"/>
      <c r="C743" s="16"/>
      <c r="D743" s="16"/>
      <c r="E743" s="16"/>
      <c r="F743" s="16"/>
      <c r="G743" s="16"/>
      <c r="H743" s="16"/>
      <c r="I743" s="16"/>
      <c r="J743" s="16"/>
      <c r="K743" s="16"/>
      <c r="L743" s="16"/>
      <c r="M743" s="1"/>
      <c r="N743" s="1"/>
      <c r="O743" s="1"/>
      <c r="P743" s="1"/>
      <c r="Q743" s="1"/>
      <c r="R743" s="1"/>
      <c r="S743" s="1"/>
      <c r="T743" s="1"/>
      <c r="U743" s="1"/>
      <c r="V743" s="1"/>
    </row>
    <row r="744" spans="1:22" ht="12.75" customHeight="1" x14ac:dyDescent="0.2">
      <c r="A744" s="16"/>
      <c r="B744" s="16"/>
      <c r="C744" s="16"/>
      <c r="D744" s="16"/>
      <c r="E744" s="16"/>
      <c r="F744" s="16"/>
      <c r="G744" s="16"/>
      <c r="H744" s="16"/>
      <c r="I744" s="16"/>
      <c r="J744" s="16"/>
      <c r="K744" s="16"/>
      <c r="L744" s="16"/>
      <c r="M744" s="1"/>
      <c r="N744" s="1"/>
      <c r="O744" s="1"/>
      <c r="P744" s="1"/>
      <c r="Q744" s="1"/>
      <c r="R744" s="1"/>
      <c r="S744" s="1"/>
      <c r="T744" s="1"/>
      <c r="U744" s="1"/>
      <c r="V744" s="1"/>
    </row>
    <row r="745" spans="1:22" ht="12.75" customHeight="1" x14ac:dyDescent="0.2">
      <c r="A745" s="16"/>
      <c r="B745" s="16"/>
      <c r="C745" s="16"/>
      <c r="D745" s="16"/>
      <c r="E745" s="16"/>
      <c r="F745" s="16"/>
      <c r="G745" s="16"/>
      <c r="H745" s="16"/>
      <c r="I745" s="16"/>
      <c r="J745" s="16"/>
      <c r="K745" s="16"/>
      <c r="L745" s="16"/>
      <c r="M745" s="1"/>
      <c r="N745" s="1"/>
      <c r="O745" s="1"/>
      <c r="P745" s="1"/>
      <c r="Q745" s="1"/>
      <c r="R745" s="1"/>
      <c r="S745" s="1"/>
      <c r="T745" s="1"/>
      <c r="U745" s="1"/>
      <c r="V745" s="1"/>
    </row>
    <row r="746" spans="1:22" ht="12.75" customHeight="1" x14ac:dyDescent="0.2">
      <c r="A746" s="16"/>
      <c r="B746" s="16"/>
      <c r="C746" s="16"/>
      <c r="D746" s="16"/>
      <c r="E746" s="16"/>
      <c r="F746" s="16"/>
      <c r="G746" s="16"/>
      <c r="H746" s="16"/>
      <c r="I746" s="16"/>
      <c r="J746" s="16"/>
      <c r="K746" s="16"/>
      <c r="L746" s="16"/>
      <c r="M746" s="1"/>
      <c r="N746" s="1"/>
      <c r="O746" s="1"/>
      <c r="P746" s="1"/>
      <c r="Q746" s="1"/>
      <c r="R746" s="1"/>
      <c r="S746" s="1"/>
      <c r="T746" s="1"/>
      <c r="U746" s="1"/>
      <c r="V746" s="1"/>
    </row>
    <row r="747" spans="1:22" ht="12.75" customHeight="1" x14ac:dyDescent="0.2">
      <c r="A747" s="16"/>
      <c r="B747" s="16"/>
      <c r="C747" s="16"/>
      <c r="D747" s="16"/>
      <c r="E747" s="16"/>
      <c r="F747" s="16"/>
      <c r="G747" s="16"/>
      <c r="H747" s="16"/>
      <c r="I747" s="16"/>
      <c r="J747" s="16"/>
      <c r="K747" s="16"/>
      <c r="L747" s="16"/>
      <c r="M747" s="1"/>
      <c r="N747" s="1"/>
      <c r="O747" s="1"/>
      <c r="P747" s="1"/>
      <c r="Q747" s="1"/>
      <c r="R747" s="1"/>
      <c r="S747" s="1"/>
      <c r="T747" s="1"/>
      <c r="U747" s="1"/>
      <c r="V747" s="1"/>
    </row>
    <row r="748" spans="1:22" ht="12.75" customHeight="1" x14ac:dyDescent="0.2">
      <c r="A748" s="16"/>
      <c r="B748" s="16"/>
      <c r="C748" s="16"/>
      <c r="D748" s="16"/>
      <c r="E748" s="16"/>
      <c r="F748" s="16"/>
      <c r="G748" s="16"/>
      <c r="H748" s="16"/>
      <c r="I748" s="16"/>
      <c r="J748" s="16"/>
      <c r="K748" s="16"/>
      <c r="L748" s="16"/>
      <c r="M748" s="1"/>
      <c r="N748" s="1"/>
      <c r="O748" s="1"/>
      <c r="P748" s="1"/>
      <c r="Q748" s="1"/>
      <c r="R748" s="1"/>
      <c r="S748" s="1"/>
      <c r="T748" s="1"/>
      <c r="U748" s="1"/>
      <c r="V748" s="1"/>
    </row>
    <row r="749" spans="1:22" ht="12.75" customHeight="1" x14ac:dyDescent="0.2">
      <c r="A749" s="16"/>
      <c r="B749" s="16"/>
      <c r="C749" s="16"/>
      <c r="D749" s="16"/>
      <c r="E749" s="16"/>
      <c r="F749" s="16"/>
      <c r="G749" s="16"/>
      <c r="H749" s="16"/>
      <c r="I749" s="16"/>
      <c r="J749" s="16"/>
      <c r="K749" s="16"/>
      <c r="L749" s="16"/>
      <c r="M749" s="1"/>
      <c r="N749" s="1"/>
      <c r="O749" s="1"/>
      <c r="P749" s="1"/>
      <c r="Q749" s="1"/>
      <c r="R749" s="1"/>
      <c r="S749" s="1"/>
      <c r="T749" s="1"/>
      <c r="U749" s="1"/>
      <c r="V749" s="1"/>
    </row>
    <row r="750" spans="1:22" ht="12.75" customHeight="1" x14ac:dyDescent="0.2">
      <c r="A750" s="16"/>
      <c r="B750" s="16"/>
      <c r="C750" s="16"/>
      <c r="D750" s="16"/>
      <c r="E750" s="16"/>
      <c r="F750" s="16"/>
      <c r="G750" s="16"/>
      <c r="H750" s="16"/>
      <c r="I750" s="16"/>
      <c r="J750" s="16"/>
      <c r="K750" s="16"/>
      <c r="L750" s="16"/>
      <c r="M750" s="1"/>
      <c r="N750" s="1"/>
      <c r="O750" s="1"/>
      <c r="P750" s="1"/>
      <c r="Q750" s="1"/>
      <c r="R750" s="1"/>
      <c r="S750" s="1"/>
      <c r="T750" s="1"/>
      <c r="U750" s="1"/>
      <c r="V750" s="1"/>
    </row>
    <row r="751" spans="1:22" ht="12.75" customHeight="1" x14ac:dyDescent="0.2">
      <c r="A751" s="16"/>
      <c r="B751" s="16"/>
      <c r="C751" s="16"/>
      <c r="D751" s="16"/>
      <c r="E751" s="16"/>
      <c r="F751" s="16"/>
      <c r="G751" s="16"/>
      <c r="H751" s="16"/>
      <c r="I751" s="16"/>
      <c r="J751" s="16"/>
      <c r="K751" s="16"/>
      <c r="L751" s="16"/>
      <c r="M751" s="1"/>
      <c r="N751" s="1"/>
      <c r="O751" s="1"/>
      <c r="P751" s="1"/>
      <c r="Q751" s="1"/>
      <c r="R751" s="1"/>
      <c r="S751" s="1"/>
      <c r="T751" s="1"/>
      <c r="U751" s="1"/>
      <c r="V751" s="1"/>
    </row>
    <row r="752" spans="1:22" ht="12.75" customHeight="1" x14ac:dyDescent="0.2">
      <c r="A752" s="16"/>
      <c r="B752" s="16"/>
      <c r="C752" s="16"/>
      <c r="D752" s="16"/>
      <c r="E752" s="16"/>
      <c r="F752" s="16"/>
      <c r="G752" s="16"/>
      <c r="H752" s="16"/>
      <c r="I752" s="16"/>
      <c r="J752" s="16"/>
      <c r="K752" s="16"/>
      <c r="L752" s="16"/>
      <c r="M752" s="1"/>
      <c r="N752" s="1"/>
      <c r="O752" s="1"/>
      <c r="P752" s="1"/>
      <c r="Q752" s="1"/>
      <c r="R752" s="1"/>
      <c r="S752" s="1"/>
      <c r="T752" s="1"/>
      <c r="U752" s="1"/>
      <c r="V752" s="1"/>
    </row>
    <row r="753" spans="1:22" ht="12.75" customHeight="1" x14ac:dyDescent="0.2">
      <c r="A753" s="16"/>
      <c r="B753" s="16"/>
      <c r="C753" s="16"/>
      <c r="D753" s="16"/>
      <c r="E753" s="16"/>
      <c r="F753" s="16"/>
      <c r="G753" s="16"/>
      <c r="H753" s="16"/>
      <c r="I753" s="16"/>
      <c r="J753" s="16"/>
      <c r="K753" s="16"/>
      <c r="L753" s="16"/>
      <c r="M753" s="1"/>
      <c r="N753" s="1"/>
      <c r="O753" s="1"/>
      <c r="P753" s="1"/>
      <c r="Q753" s="1"/>
      <c r="R753" s="1"/>
      <c r="S753" s="1"/>
      <c r="T753" s="1"/>
      <c r="U753" s="1"/>
      <c r="V753" s="1"/>
    </row>
    <row r="754" spans="1:22" ht="12.75" customHeight="1" x14ac:dyDescent="0.2">
      <c r="A754" s="16"/>
      <c r="B754" s="16"/>
      <c r="C754" s="16"/>
      <c r="D754" s="16"/>
      <c r="E754" s="16"/>
      <c r="F754" s="16"/>
      <c r="G754" s="16"/>
      <c r="H754" s="16"/>
      <c r="I754" s="16"/>
      <c r="J754" s="16"/>
      <c r="K754" s="16"/>
      <c r="L754" s="16"/>
      <c r="M754" s="1"/>
      <c r="N754" s="1"/>
      <c r="O754" s="1"/>
      <c r="P754" s="1"/>
      <c r="Q754" s="1"/>
      <c r="R754" s="1"/>
      <c r="S754" s="1"/>
      <c r="T754" s="1"/>
      <c r="U754" s="1"/>
      <c r="V754" s="1"/>
    </row>
    <row r="755" spans="1:22" ht="12.75" customHeight="1" x14ac:dyDescent="0.2">
      <c r="A755" s="16"/>
      <c r="B755" s="16"/>
      <c r="C755" s="16"/>
      <c r="D755" s="16"/>
      <c r="E755" s="16"/>
      <c r="F755" s="16"/>
      <c r="G755" s="16"/>
      <c r="H755" s="16"/>
      <c r="I755" s="16"/>
      <c r="J755" s="16"/>
      <c r="K755" s="16"/>
      <c r="L755" s="16"/>
      <c r="M755" s="1"/>
      <c r="N755" s="1"/>
      <c r="O755" s="1"/>
      <c r="P755" s="1"/>
      <c r="Q755" s="1"/>
      <c r="R755" s="1"/>
      <c r="S755" s="1"/>
      <c r="T755" s="1"/>
      <c r="U755" s="1"/>
      <c r="V755" s="1"/>
    </row>
    <row r="756" spans="1:22" ht="12.75" customHeight="1" x14ac:dyDescent="0.2">
      <c r="A756" s="16"/>
      <c r="B756" s="16"/>
      <c r="C756" s="16"/>
      <c r="D756" s="16"/>
      <c r="E756" s="16"/>
      <c r="F756" s="16"/>
      <c r="G756" s="16"/>
      <c r="H756" s="16"/>
      <c r="I756" s="16"/>
      <c r="J756" s="16"/>
      <c r="K756" s="16"/>
      <c r="L756" s="16"/>
      <c r="M756" s="1"/>
      <c r="N756" s="1"/>
      <c r="O756" s="1"/>
      <c r="P756" s="1"/>
      <c r="Q756" s="1"/>
      <c r="R756" s="1"/>
      <c r="S756" s="1"/>
      <c r="T756" s="1"/>
      <c r="U756" s="1"/>
      <c r="V756" s="1"/>
    </row>
    <row r="757" spans="1:22" ht="12.75" customHeight="1" x14ac:dyDescent="0.2">
      <c r="A757" s="16"/>
      <c r="B757" s="16"/>
      <c r="C757" s="16"/>
      <c r="D757" s="16"/>
      <c r="E757" s="16"/>
      <c r="F757" s="16"/>
      <c r="G757" s="16"/>
      <c r="H757" s="16"/>
      <c r="I757" s="16"/>
      <c r="J757" s="16"/>
      <c r="K757" s="16"/>
      <c r="L757" s="16"/>
      <c r="M757" s="1"/>
      <c r="N757" s="1"/>
      <c r="O757" s="1"/>
      <c r="P757" s="1"/>
      <c r="Q757" s="1"/>
      <c r="R757" s="1"/>
      <c r="S757" s="1"/>
      <c r="T757" s="1"/>
      <c r="U757" s="1"/>
      <c r="V757" s="1"/>
    </row>
    <row r="758" spans="1:22" ht="12.75" customHeight="1" x14ac:dyDescent="0.2">
      <c r="A758" s="16"/>
      <c r="B758" s="16"/>
      <c r="C758" s="16"/>
      <c r="D758" s="16"/>
      <c r="E758" s="16"/>
      <c r="F758" s="16"/>
      <c r="G758" s="16"/>
      <c r="H758" s="16"/>
      <c r="I758" s="16"/>
      <c r="J758" s="16"/>
      <c r="K758" s="16"/>
      <c r="L758" s="16"/>
      <c r="M758" s="1"/>
      <c r="N758" s="1"/>
      <c r="O758" s="1"/>
      <c r="P758" s="1"/>
      <c r="Q758" s="1"/>
      <c r="R758" s="1"/>
      <c r="S758" s="1"/>
      <c r="T758" s="1"/>
      <c r="U758" s="1"/>
      <c r="V758" s="1"/>
    </row>
    <row r="759" spans="1:22" ht="12.75" customHeight="1" x14ac:dyDescent="0.2">
      <c r="A759" s="16"/>
      <c r="B759" s="16"/>
      <c r="C759" s="16"/>
      <c r="D759" s="16"/>
      <c r="E759" s="16"/>
      <c r="F759" s="16"/>
      <c r="G759" s="16"/>
      <c r="H759" s="16"/>
      <c r="I759" s="16"/>
      <c r="J759" s="16"/>
      <c r="K759" s="16"/>
      <c r="L759" s="16"/>
      <c r="M759" s="1"/>
      <c r="N759" s="1"/>
      <c r="O759" s="1"/>
      <c r="P759" s="1"/>
      <c r="Q759" s="1"/>
      <c r="R759" s="1"/>
      <c r="S759" s="1"/>
      <c r="T759" s="1"/>
      <c r="U759" s="1"/>
      <c r="V759" s="1"/>
    </row>
    <row r="760" spans="1:22" ht="12.75" customHeight="1" x14ac:dyDescent="0.2">
      <c r="A760" s="16"/>
      <c r="B760" s="16"/>
      <c r="C760" s="16"/>
      <c r="D760" s="16"/>
      <c r="E760" s="16"/>
      <c r="F760" s="16"/>
      <c r="G760" s="16"/>
      <c r="H760" s="16"/>
      <c r="I760" s="16"/>
      <c r="J760" s="16"/>
      <c r="K760" s="16"/>
      <c r="L760" s="16"/>
      <c r="M760" s="1"/>
      <c r="N760" s="1"/>
      <c r="O760" s="1"/>
      <c r="P760" s="1"/>
      <c r="Q760" s="1"/>
      <c r="R760" s="1"/>
      <c r="S760" s="1"/>
      <c r="T760" s="1"/>
      <c r="U760" s="1"/>
      <c r="V760" s="1"/>
    </row>
    <row r="761" spans="1:22" ht="12.75" customHeight="1" x14ac:dyDescent="0.2">
      <c r="A761" s="16"/>
      <c r="B761" s="16"/>
      <c r="C761" s="16"/>
      <c r="D761" s="16"/>
      <c r="E761" s="16"/>
      <c r="F761" s="16"/>
      <c r="G761" s="16"/>
      <c r="H761" s="16"/>
      <c r="I761" s="16"/>
      <c r="J761" s="16"/>
      <c r="K761" s="16"/>
      <c r="L761" s="16"/>
      <c r="M761" s="1"/>
      <c r="N761" s="1"/>
      <c r="O761" s="1"/>
      <c r="P761" s="1"/>
      <c r="Q761" s="1"/>
      <c r="R761" s="1"/>
      <c r="S761" s="1"/>
      <c r="T761" s="1"/>
      <c r="U761" s="1"/>
      <c r="V761" s="1"/>
    </row>
    <row r="762" spans="1:22" ht="12.75" customHeight="1" x14ac:dyDescent="0.2">
      <c r="A762" s="16"/>
      <c r="B762" s="16"/>
      <c r="C762" s="16"/>
      <c r="D762" s="16"/>
      <c r="E762" s="16"/>
      <c r="F762" s="16"/>
      <c r="G762" s="16"/>
      <c r="H762" s="16"/>
      <c r="I762" s="16"/>
      <c r="J762" s="16"/>
      <c r="K762" s="16"/>
      <c r="L762" s="16"/>
      <c r="M762" s="1"/>
      <c r="N762" s="1"/>
      <c r="O762" s="1"/>
      <c r="P762" s="1"/>
      <c r="Q762" s="1"/>
      <c r="R762" s="1"/>
      <c r="S762" s="1"/>
      <c r="T762" s="1"/>
      <c r="U762" s="1"/>
      <c r="V762" s="1"/>
    </row>
    <row r="763" spans="1:22" ht="12.75" customHeight="1" x14ac:dyDescent="0.2">
      <c r="A763" s="16"/>
      <c r="B763" s="16"/>
      <c r="C763" s="16"/>
      <c r="D763" s="16"/>
      <c r="E763" s="16"/>
      <c r="F763" s="16"/>
      <c r="G763" s="16"/>
      <c r="H763" s="16"/>
      <c r="I763" s="16"/>
      <c r="J763" s="16"/>
      <c r="K763" s="16"/>
      <c r="L763" s="16"/>
      <c r="M763" s="1"/>
      <c r="N763" s="1"/>
      <c r="O763" s="1"/>
      <c r="P763" s="1"/>
      <c r="Q763" s="1"/>
      <c r="R763" s="1"/>
      <c r="S763" s="1"/>
      <c r="T763" s="1"/>
      <c r="U763" s="1"/>
      <c r="V763" s="1"/>
    </row>
    <row r="764" spans="1:22" ht="12.75" customHeight="1" x14ac:dyDescent="0.2">
      <c r="A764" s="16"/>
      <c r="B764" s="16"/>
      <c r="C764" s="16"/>
      <c r="D764" s="16"/>
      <c r="E764" s="16"/>
      <c r="F764" s="16"/>
      <c r="G764" s="16"/>
      <c r="H764" s="16"/>
      <c r="I764" s="16"/>
      <c r="J764" s="16"/>
      <c r="K764" s="16"/>
      <c r="L764" s="16"/>
      <c r="M764" s="1"/>
      <c r="N764" s="1"/>
      <c r="O764" s="1"/>
      <c r="P764" s="1"/>
      <c r="Q764" s="1"/>
      <c r="R764" s="1"/>
      <c r="S764" s="1"/>
      <c r="T764" s="1"/>
      <c r="U764" s="1"/>
      <c r="V764" s="1"/>
    </row>
    <row r="765" spans="1:22" ht="12.75" customHeight="1" x14ac:dyDescent="0.2">
      <c r="A765" s="16"/>
      <c r="B765" s="16"/>
      <c r="C765" s="16"/>
      <c r="D765" s="16"/>
      <c r="E765" s="16"/>
      <c r="F765" s="16"/>
      <c r="G765" s="16"/>
      <c r="H765" s="16"/>
      <c r="I765" s="16"/>
      <c r="J765" s="16"/>
      <c r="K765" s="16"/>
      <c r="L765" s="16"/>
      <c r="M765" s="1"/>
      <c r="N765" s="1"/>
      <c r="O765" s="1"/>
      <c r="P765" s="1"/>
      <c r="Q765" s="1"/>
      <c r="R765" s="1"/>
      <c r="S765" s="1"/>
      <c r="T765" s="1"/>
      <c r="U765" s="1"/>
      <c r="V765" s="1"/>
    </row>
    <row r="766" spans="1:22" ht="12.75" customHeight="1" x14ac:dyDescent="0.2">
      <c r="A766" s="16"/>
      <c r="B766" s="16"/>
      <c r="C766" s="16"/>
      <c r="D766" s="16"/>
      <c r="E766" s="16"/>
      <c r="F766" s="16"/>
      <c r="G766" s="16"/>
      <c r="H766" s="16"/>
      <c r="I766" s="16"/>
      <c r="J766" s="16"/>
      <c r="K766" s="16"/>
      <c r="L766" s="16"/>
      <c r="M766" s="1"/>
      <c r="N766" s="1"/>
      <c r="O766" s="1"/>
      <c r="P766" s="1"/>
      <c r="Q766" s="1"/>
      <c r="R766" s="1"/>
      <c r="S766" s="1"/>
      <c r="T766" s="1"/>
      <c r="U766" s="1"/>
      <c r="V766" s="1"/>
    </row>
    <row r="767" spans="1:22" ht="12.75" customHeight="1" x14ac:dyDescent="0.2">
      <c r="A767" s="16"/>
      <c r="B767" s="16"/>
      <c r="C767" s="16"/>
      <c r="D767" s="16"/>
      <c r="E767" s="16"/>
      <c r="F767" s="16"/>
      <c r="G767" s="16"/>
      <c r="H767" s="16"/>
      <c r="I767" s="16"/>
      <c r="J767" s="16"/>
      <c r="K767" s="16"/>
      <c r="L767" s="16"/>
      <c r="M767" s="1"/>
      <c r="N767" s="1"/>
      <c r="O767" s="1"/>
      <c r="P767" s="1"/>
      <c r="Q767" s="1"/>
      <c r="R767" s="1"/>
      <c r="S767" s="1"/>
      <c r="T767" s="1"/>
      <c r="U767" s="1"/>
      <c r="V767" s="1"/>
    </row>
    <row r="768" spans="1:22" ht="12.75" customHeight="1" x14ac:dyDescent="0.2">
      <c r="A768" s="16"/>
      <c r="B768" s="16"/>
      <c r="C768" s="16"/>
      <c r="D768" s="16"/>
      <c r="E768" s="16"/>
      <c r="F768" s="16"/>
      <c r="G768" s="16"/>
      <c r="H768" s="16"/>
      <c r="I768" s="16"/>
      <c r="J768" s="16"/>
      <c r="K768" s="16"/>
      <c r="L768" s="16"/>
      <c r="M768" s="1"/>
      <c r="N768" s="1"/>
      <c r="O768" s="1"/>
      <c r="P768" s="1"/>
      <c r="Q768" s="1"/>
      <c r="R768" s="1"/>
      <c r="S768" s="1"/>
      <c r="T768" s="1"/>
      <c r="U768" s="1"/>
      <c r="V768" s="1"/>
    </row>
    <row r="769" spans="1:22" ht="12.75" customHeight="1" x14ac:dyDescent="0.2">
      <c r="A769" s="16"/>
      <c r="B769" s="16"/>
      <c r="C769" s="16"/>
      <c r="D769" s="16"/>
      <c r="E769" s="16"/>
      <c r="F769" s="16"/>
      <c r="G769" s="16"/>
      <c r="H769" s="16"/>
      <c r="I769" s="16"/>
      <c r="J769" s="16"/>
      <c r="K769" s="16"/>
      <c r="L769" s="16"/>
      <c r="M769" s="1"/>
      <c r="N769" s="1"/>
      <c r="O769" s="1"/>
      <c r="P769" s="1"/>
      <c r="Q769" s="1"/>
      <c r="R769" s="1"/>
      <c r="S769" s="1"/>
      <c r="T769" s="1"/>
      <c r="U769" s="1"/>
      <c r="V769" s="1"/>
    </row>
    <row r="770" spans="1:22" ht="12.75" customHeight="1" x14ac:dyDescent="0.2">
      <c r="A770" s="16"/>
      <c r="B770" s="16"/>
      <c r="C770" s="16"/>
      <c r="D770" s="16"/>
      <c r="E770" s="16"/>
      <c r="F770" s="16"/>
      <c r="G770" s="16"/>
      <c r="H770" s="16"/>
      <c r="I770" s="16"/>
      <c r="J770" s="16"/>
      <c r="K770" s="16"/>
      <c r="L770" s="16"/>
      <c r="M770" s="1"/>
      <c r="N770" s="1"/>
      <c r="O770" s="1"/>
      <c r="P770" s="1"/>
      <c r="Q770" s="1"/>
      <c r="R770" s="1"/>
      <c r="S770" s="1"/>
      <c r="T770" s="1"/>
      <c r="U770" s="1"/>
      <c r="V770" s="1"/>
    </row>
    <row r="771" spans="1:22" ht="12.75" customHeight="1" x14ac:dyDescent="0.2">
      <c r="A771" s="16"/>
      <c r="B771" s="16"/>
      <c r="C771" s="16"/>
      <c r="D771" s="16"/>
      <c r="E771" s="16"/>
      <c r="F771" s="16"/>
      <c r="G771" s="16"/>
      <c r="H771" s="16"/>
      <c r="I771" s="16"/>
      <c r="J771" s="16"/>
      <c r="K771" s="16"/>
      <c r="L771" s="16"/>
      <c r="M771" s="1"/>
      <c r="N771" s="1"/>
      <c r="O771" s="1"/>
      <c r="P771" s="1"/>
      <c r="Q771" s="1"/>
      <c r="R771" s="1"/>
      <c r="S771" s="1"/>
      <c r="T771" s="1"/>
      <c r="U771" s="1"/>
      <c r="V771" s="1"/>
    </row>
    <row r="772" spans="1:22" ht="12.75" customHeight="1" x14ac:dyDescent="0.2">
      <c r="A772" s="16"/>
      <c r="B772" s="16"/>
      <c r="C772" s="16"/>
      <c r="D772" s="16"/>
      <c r="E772" s="16"/>
      <c r="F772" s="16"/>
      <c r="G772" s="16"/>
      <c r="H772" s="16"/>
      <c r="I772" s="16"/>
      <c r="J772" s="16"/>
      <c r="K772" s="16"/>
      <c r="L772" s="16"/>
      <c r="M772" s="1"/>
      <c r="N772" s="1"/>
      <c r="O772" s="1"/>
      <c r="P772" s="1"/>
      <c r="Q772" s="1"/>
      <c r="R772" s="1"/>
      <c r="S772" s="1"/>
      <c r="T772" s="1"/>
      <c r="U772" s="1"/>
      <c r="V772" s="1"/>
    </row>
    <row r="773" spans="1:22" ht="12.75" customHeight="1" x14ac:dyDescent="0.2">
      <c r="A773" s="16"/>
      <c r="B773" s="16"/>
      <c r="C773" s="16"/>
      <c r="D773" s="16"/>
      <c r="E773" s="16"/>
      <c r="F773" s="16"/>
      <c r="G773" s="16"/>
      <c r="H773" s="16"/>
      <c r="I773" s="16"/>
      <c r="J773" s="16"/>
      <c r="K773" s="16"/>
      <c r="L773" s="16"/>
      <c r="M773" s="1"/>
      <c r="N773" s="1"/>
      <c r="O773" s="1"/>
      <c r="P773" s="1"/>
      <c r="Q773" s="1"/>
      <c r="R773" s="1"/>
      <c r="S773" s="1"/>
      <c r="T773" s="1"/>
      <c r="U773" s="1"/>
      <c r="V773" s="1"/>
    </row>
    <row r="774" spans="1:22" ht="12.75" customHeight="1" x14ac:dyDescent="0.2">
      <c r="A774" s="16"/>
      <c r="B774" s="16"/>
      <c r="C774" s="16"/>
      <c r="D774" s="16"/>
      <c r="E774" s="16"/>
      <c r="F774" s="16"/>
      <c r="G774" s="16"/>
      <c r="H774" s="16"/>
      <c r="I774" s="16"/>
      <c r="J774" s="16"/>
      <c r="K774" s="16"/>
      <c r="L774" s="16"/>
      <c r="M774" s="1"/>
      <c r="N774" s="1"/>
      <c r="O774" s="1"/>
      <c r="P774" s="1"/>
      <c r="Q774" s="1"/>
      <c r="R774" s="1"/>
      <c r="S774" s="1"/>
      <c r="T774" s="1"/>
      <c r="U774" s="1"/>
      <c r="V774" s="1"/>
    </row>
    <row r="775" spans="1:22" ht="12.75" customHeight="1" x14ac:dyDescent="0.2">
      <c r="A775" s="16"/>
      <c r="B775" s="16"/>
      <c r="C775" s="16"/>
      <c r="D775" s="16"/>
      <c r="E775" s="16"/>
      <c r="F775" s="16"/>
      <c r="G775" s="16"/>
      <c r="H775" s="16"/>
      <c r="I775" s="16"/>
      <c r="J775" s="16"/>
      <c r="K775" s="16"/>
      <c r="L775" s="16"/>
      <c r="M775" s="1"/>
      <c r="N775" s="1"/>
      <c r="O775" s="1"/>
      <c r="P775" s="1"/>
      <c r="Q775" s="1"/>
      <c r="R775" s="1"/>
      <c r="S775" s="1"/>
      <c r="T775" s="1"/>
      <c r="U775" s="1"/>
      <c r="V775" s="1"/>
    </row>
    <row r="776" spans="1:22" ht="12.75" customHeight="1" x14ac:dyDescent="0.2">
      <c r="A776" s="16"/>
      <c r="B776" s="16"/>
      <c r="C776" s="16"/>
      <c r="D776" s="16"/>
      <c r="E776" s="16"/>
      <c r="F776" s="16"/>
      <c r="G776" s="16"/>
      <c r="H776" s="16"/>
      <c r="I776" s="16"/>
      <c r="J776" s="16"/>
      <c r="K776" s="16"/>
      <c r="L776" s="16"/>
      <c r="M776" s="1"/>
      <c r="N776" s="1"/>
      <c r="O776" s="1"/>
      <c r="P776" s="1"/>
      <c r="Q776" s="1"/>
      <c r="R776" s="1"/>
      <c r="S776" s="1"/>
      <c r="T776" s="1"/>
      <c r="U776" s="1"/>
      <c r="V776" s="1"/>
    </row>
    <row r="777" spans="1:22" ht="12.75" customHeight="1" x14ac:dyDescent="0.2">
      <c r="A777" s="16"/>
      <c r="B777" s="16"/>
      <c r="C777" s="16"/>
      <c r="D777" s="16"/>
      <c r="E777" s="16"/>
      <c r="F777" s="16"/>
      <c r="G777" s="16"/>
      <c r="H777" s="16"/>
      <c r="I777" s="16"/>
      <c r="J777" s="16"/>
      <c r="K777" s="16"/>
      <c r="L777" s="16"/>
      <c r="M777" s="1"/>
      <c r="N777" s="1"/>
      <c r="O777" s="1"/>
      <c r="P777" s="1"/>
      <c r="Q777" s="1"/>
      <c r="R777" s="1"/>
      <c r="S777" s="1"/>
      <c r="T777" s="1"/>
      <c r="U777" s="1"/>
      <c r="V777" s="1"/>
    </row>
    <row r="778" spans="1:22" ht="12.75" customHeight="1" x14ac:dyDescent="0.2">
      <c r="A778" s="16"/>
      <c r="B778" s="16"/>
      <c r="C778" s="16"/>
      <c r="D778" s="16"/>
      <c r="E778" s="16"/>
      <c r="F778" s="16"/>
      <c r="G778" s="16"/>
      <c r="H778" s="16"/>
      <c r="I778" s="16"/>
      <c r="J778" s="16"/>
      <c r="K778" s="16"/>
      <c r="L778" s="16"/>
      <c r="M778" s="1"/>
      <c r="N778" s="1"/>
      <c r="O778" s="1"/>
      <c r="P778" s="1"/>
      <c r="Q778" s="1"/>
      <c r="R778" s="1"/>
      <c r="S778" s="1"/>
      <c r="T778" s="1"/>
      <c r="U778" s="1"/>
      <c r="V778" s="1"/>
    </row>
    <row r="779" spans="1:22" ht="12.75" customHeight="1" x14ac:dyDescent="0.2">
      <c r="A779" s="16"/>
      <c r="B779" s="16"/>
      <c r="C779" s="16"/>
      <c r="D779" s="16"/>
      <c r="E779" s="16"/>
      <c r="F779" s="16"/>
      <c r="G779" s="16"/>
      <c r="H779" s="16"/>
      <c r="I779" s="16"/>
      <c r="J779" s="16"/>
      <c r="K779" s="16"/>
      <c r="L779" s="16"/>
      <c r="M779" s="1"/>
      <c r="N779" s="1"/>
      <c r="O779" s="1"/>
      <c r="P779" s="1"/>
      <c r="Q779" s="1"/>
      <c r="R779" s="1"/>
      <c r="S779" s="1"/>
      <c r="T779" s="1"/>
      <c r="U779" s="1"/>
      <c r="V779" s="1"/>
    </row>
    <row r="780" spans="1:22" ht="12.75" customHeight="1" x14ac:dyDescent="0.2">
      <c r="A780" s="16"/>
      <c r="B780" s="16"/>
      <c r="C780" s="16"/>
      <c r="D780" s="16"/>
      <c r="E780" s="16"/>
      <c r="F780" s="16"/>
      <c r="G780" s="16"/>
      <c r="H780" s="16"/>
      <c r="I780" s="16"/>
      <c r="J780" s="16"/>
      <c r="K780" s="16"/>
      <c r="L780" s="16"/>
      <c r="M780" s="1"/>
      <c r="N780" s="1"/>
      <c r="O780" s="1"/>
      <c r="P780" s="1"/>
      <c r="Q780" s="1"/>
      <c r="R780" s="1"/>
      <c r="S780" s="1"/>
      <c r="T780" s="1"/>
      <c r="U780" s="1"/>
      <c r="V780" s="1"/>
    </row>
    <row r="781" spans="1:22" ht="12.75" customHeight="1" x14ac:dyDescent="0.2">
      <c r="A781" s="16"/>
      <c r="B781" s="16"/>
      <c r="C781" s="16"/>
      <c r="D781" s="16"/>
      <c r="E781" s="16"/>
      <c r="F781" s="16"/>
      <c r="G781" s="16"/>
      <c r="H781" s="16"/>
      <c r="I781" s="16"/>
      <c r="J781" s="16"/>
      <c r="K781" s="16"/>
      <c r="L781" s="16"/>
      <c r="M781" s="1"/>
      <c r="N781" s="1"/>
      <c r="O781" s="1"/>
      <c r="P781" s="1"/>
      <c r="Q781" s="1"/>
      <c r="R781" s="1"/>
      <c r="S781" s="1"/>
      <c r="T781" s="1"/>
      <c r="U781" s="1"/>
      <c r="V781" s="1"/>
    </row>
    <row r="782" spans="1:22" ht="12.75" customHeight="1" x14ac:dyDescent="0.2">
      <c r="A782" s="16"/>
      <c r="B782" s="16"/>
      <c r="C782" s="16"/>
      <c r="D782" s="16"/>
      <c r="E782" s="16"/>
      <c r="F782" s="16"/>
      <c r="G782" s="16"/>
      <c r="H782" s="16"/>
      <c r="I782" s="16"/>
      <c r="J782" s="16"/>
      <c r="K782" s="16"/>
      <c r="L782" s="16"/>
      <c r="M782" s="1"/>
      <c r="N782" s="1"/>
      <c r="O782" s="1"/>
      <c r="P782" s="1"/>
      <c r="Q782" s="1"/>
      <c r="R782" s="1"/>
      <c r="S782" s="1"/>
      <c r="T782" s="1"/>
      <c r="U782" s="1"/>
      <c r="V782" s="1"/>
    </row>
    <row r="783" spans="1:22" ht="12.75" customHeight="1" x14ac:dyDescent="0.2">
      <c r="A783" s="16"/>
      <c r="B783" s="16"/>
      <c r="C783" s="16"/>
      <c r="D783" s="16"/>
      <c r="E783" s="16"/>
      <c r="F783" s="16"/>
      <c r="G783" s="16"/>
      <c r="H783" s="16"/>
      <c r="I783" s="16"/>
      <c r="J783" s="16"/>
      <c r="K783" s="16"/>
      <c r="L783" s="16"/>
      <c r="M783" s="1"/>
      <c r="N783" s="1"/>
      <c r="O783" s="1"/>
      <c r="P783" s="1"/>
      <c r="Q783" s="1"/>
      <c r="R783" s="1"/>
      <c r="S783" s="1"/>
      <c r="T783" s="1"/>
      <c r="U783" s="1"/>
      <c r="V783" s="1"/>
    </row>
    <row r="784" spans="1:22" ht="12.75" customHeight="1" x14ac:dyDescent="0.2">
      <c r="A784" s="16"/>
      <c r="B784" s="16"/>
      <c r="C784" s="16"/>
      <c r="D784" s="16"/>
      <c r="E784" s="16"/>
      <c r="F784" s="16"/>
      <c r="G784" s="16"/>
      <c r="H784" s="16"/>
      <c r="I784" s="16"/>
      <c r="J784" s="16"/>
      <c r="K784" s="16"/>
      <c r="L784" s="16"/>
      <c r="M784" s="1"/>
      <c r="N784" s="1"/>
      <c r="O784" s="1"/>
      <c r="P784" s="1"/>
      <c r="Q784" s="1"/>
      <c r="R784" s="1"/>
      <c r="S784" s="1"/>
      <c r="T784" s="1"/>
      <c r="U784" s="1"/>
      <c r="V784" s="1"/>
    </row>
    <row r="785" spans="1:22" ht="12.75" customHeight="1" x14ac:dyDescent="0.2">
      <c r="A785" s="16"/>
      <c r="B785" s="16"/>
      <c r="C785" s="16"/>
      <c r="D785" s="16"/>
      <c r="E785" s="16"/>
      <c r="F785" s="16"/>
      <c r="G785" s="16"/>
      <c r="H785" s="16"/>
      <c r="I785" s="16"/>
      <c r="J785" s="16"/>
      <c r="K785" s="16"/>
      <c r="L785" s="16"/>
      <c r="M785" s="1"/>
      <c r="N785" s="1"/>
      <c r="O785" s="1"/>
      <c r="P785" s="1"/>
      <c r="Q785" s="1"/>
      <c r="R785" s="1"/>
      <c r="S785" s="1"/>
      <c r="T785" s="1"/>
      <c r="U785" s="1"/>
      <c r="V785" s="1"/>
    </row>
    <row r="786" spans="1:22" ht="12.75" customHeight="1" x14ac:dyDescent="0.2">
      <c r="A786" s="16"/>
      <c r="B786" s="16"/>
      <c r="C786" s="16"/>
      <c r="D786" s="16"/>
      <c r="E786" s="16"/>
      <c r="F786" s="16"/>
      <c r="G786" s="16"/>
      <c r="H786" s="16"/>
      <c r="I786" s="16"/>
      <c r="J786" s="16"/>
      <c r="K786" s="16"/>
      <c r="L786" s="16"/>
      <c r="M786" s="1"/>
      <c r="N786" s="1"/>
      <c r="O786" s="1"/>
      <c r="P786" s="1"/>
      <c r="Q786" s="1"/>
      <c r="R786" s="1"/>
      <c r="S786" s="1"/>
      <c r="T786" s="1"/>
      <c r="U786" s="1"/>
      <c r="V786" s="1"/>
    </row>
    <row r="787" spans="1:22" ht="12.75" customHeight="1" x14ac:dyDescent="0.2">
      <c r="A787" s="16"/>
      <c r="B787" s="16"/>
      <c r="C787" s="16"/>
      <c r="D787" s="16"/>
      <c r="E787" s="16"/>
      <c r="F787" s="16"/>
      <c r="G787" s="16"/>
      <c r="H787" s="16"/>
      <c r="I787" s="16"/>
      <c r="J787" s="16"/>
      <c r="K787" s="16"/>
      <c r="L787" s="16"/>
      <c r="M787" s="1"/>
      <c r="N787" s="1"/>
      <c r="O787" s="1"/>
      <c r="P787" s="1"/>
      <c r="Q787" s="1"/>
      <c r="R787" s="1"/>
      <c r="S787" s="1"/>
      <c r="T787" s="1"/>
      <c r="U787" s="1"/>
      <c r="V787" s="1"/>
    </row>
    <row r="788" spans="1:22" ht="12.75" customHeight="1" x14ac:dyDescent="0.2">
      <c r="A788" s="16"/>
      <c r="B788" s="16"/>
      <c r="C788" s="16"/>
      <c r="D788" s="16"/>
      <c r="E788" s="16"/>
      <c r="F788" s="16"/>
      <c r="G788" s="16"/>
      <c r="H788" s="16"/>
      <c r="I788" s="16"/>
      <c r="J788" s="16"/>
      <c r="K788" s="16"/>
      <c r="L788" s="16"/>
      <c r="M788" s="1"/>
      <c r="N788" s="1"/>
      <c r="O788" s="1"/>
      <c r="P788" s="1"/>
      <c r="Q788" s="1"/>
      <c r="R788" s="1"/>
      <c r="S788" s="1"/>
      <c r="T788" s="1"/>
      <c r="U788" s="1"/>
      <c r="V788" s="1"/>
    </row>
    <row r="789" spans="1:22" ht="12.75" customHeight="1" x14ac:dyDescent="0.2">
      <c r="A789" s="16"/>
      <c r="B789" s="16"/>
      <c r="C789" s="16"/>
      <c r="D789" s="16"/>
      <c r="E789" s="16"/>
      <c r="F789" s="16"/>
      <c r="G789" s="16"/>
      <c r="H789" s="16"/>
      <c r="I789" s="16"/>
      <c r="J789" s="16"/>
      <c r="K789" s="16"/>
      <c r="L789" s="16"/>
      <c r="M789" s="1"/>
      <c r="N789" s="1"/>
      <c r="O789" s="1"/>
      <c r="P789" s="1"/>
      <c r="Q789" s="1"/>
      <c r="R789" s="1"/>
      <c r="S789" s="1"/>
      <c r="T789" s="1"/>
      <c r="U789" s="1"/>
      <c r="V789" s="1"/>
    </row>
    <row r="790" spans="1:22" ht="12.75" customHeight="1" x14ac:dyDescent="0.2">
      <c r="A790" s="16"/>
      <c r="B790" s="16"/>
      <c r="C790" s="16"/>
      <c r="D790" s="16"/>
      <c r="E790" s="16"/>
      <c r="F790" s="16"/>
      <c r="G790" s="16"/>
      <c r="H790" s="16"/>
      <c r="I790" s="16"/>
      <c r="J790" s="16"/>
      <c r="K790" s="16"/>
      <c r="L790" s="16"/>
      <c r="M790" s="1"/>
      <c r="N790" s="1"/>
      <c r="O790" s="1"/>
      <c r="P790" s="1"/>
      <c r="Q790" s="1"/>
      <c r="R790" s="1"/>
      <c r="S790" s="1"/>
      <c r="T790" s="1"/>
      <c r="U790" s="1"/>
      <c r="V790" s="1"/>
    </row>
    <row r="791" spans="1:22" ht="12.75" customHeight="1" x14ac:dyDescent="0.2">
      <c r="A791" s="16"/>
      <c r="B791" s="16"/>
      <c r="C791" s="16"/>
      <c r="D791" s="16"/>
      <c r="E791" s="16"/>
      <c r="F791" s="16"/>
      <c r="G791" s="16"/>
      <c r="H791" s="16"/>
      <c r="I791" s="16"/>
      <c r="J791" s="16"/>
      <c r="K791" s="16"/>
      <c r="L791" s="16"/>
      <c r="M791" s="1"/>
      <c r="N791" s="1"/>
      <c r="O791" s="1"/>
      <c r="P791" s="1"/>
      <c r="Q791" s="1"/>
      <c r="R791" s="1"/>
      <c r="S791" s="1"/>
      <c r="T791" s="1"/>
      <c r="U791" s="1"/>
      <c r="V791" s="1"/>
    </row>
    <row r="792" spans="1:22" ht="12.75" customHeight="1" x14ac:dyDescent="0.2">
      <c r="A792" s="16"/>
      <c r="B792" s="16"/>
      <c r="C792" s="16"/>
      <c r="D792" s="16"/>
      <c r="E792" s="16"/>
      <c r="F792" s="16"/>
      <c r="G792" s="16"/>
      <c r="H792" s="16"/>
      <c r="I792" s="16"/>
      <c r="J792" s="16"/>
      <c r="K792" s="16"/>
      <c r="L792" s="16"/>
      <c r="M792" s="1"/>
      <c r="N792" s="1"/>
      <c r="O792" s="1"/>
      <c r="P792" s="1"/>
      <c r="Q792" s="1"/>
      <c r="R792" s="1"/>
      <c r="S792" s="1"/>
      <c r="T792" s="1"/>
      <c r="U792" s="1"/>
      <c r="V792" s="1"/>
    </row>
    <row r="793" spans="1:22" ht="12.75" customHeight="1" x14ac:dyDescent="0.2">
      <c r="A793" s="16"/>
      <c r="B793" s="16"/>
      <c r="C793" s="16"/>
      <c r="D793" s="16"/>
      <c r="E793" s="16"/>
      <c r="F793" s="16"/>
      <c r="G793" s="16"/>
      <c r="H793" s="16"/>
      <c r="I793" s="16"/>
      <c r="J793" s="16"/>
      <c r="K793" s="16"/>
      <c r="L793" s="16"/>
      <c r="M793" s="1"/>
      <c r="N793" s="1"/>
      <c r="O793" s="1"/>
      <c r="P793" s="1"/>
      <c r="Q793" s="1"/>
      <c r="R793" s="1"/>
      <c r="S793" s="1"/>
      <c r="T793" s="1"/>
      <c r="U793" s="1"/>
      <c r="V793" s="1"/>
    </row>
    <row r="794" spans="1:22" ht="12.75" customHeight="1" x14ac:dyDescent="0.2">
      <c r="A794" s="16"/>
      <c r="B794" s="16"/>
      <c r="C794" s="16"/>
      <c r="D794" s="16"/>
      <c r="E794" s="16"/>
      <c r="F794" s="16"/>
      <c r="G794" s="16"/>
      <c r="H794" s="16"/>
      <c r="I794" s="16"/>
      <c r="J794" s="16"/>
      <c r="K794" s="16"/>
      <c r="L794" s="16"/>
      <c r="M794" s="1"/>
      <c r="N794" s="1"/>
      <c r="O794" s="1"/>
      <c r="P794" s="1"/>
      <c r="Q794" s="1"/>
      <c r="R794" s="1"/>
      <c r="S794" s="1"/>
      <c r="T794" s="1"/>
      <c r="U794" s="1"/>
      <c r="V794" s="1"/>
    </row>
    <row r="795" spans="1:22" ht="12.75" customHeight="1" x14ac:dyDescent="0.2">
      <c r="A795" s="16"/>
      <c r="B795" s="16"/>
      <c r="C795" s="16"/>
      <c r="D795" s="16"/>
      <c r="E795" s="16"/>
      <c r="F795" s="16"/>
      <c r="G795" s="16"/>
      <c r="H795" s="16"/>
      <c r="I795" s="16"/>
      <c r="J795" s="16"/>
      <c r="K795" s="16"/>
      <c r="L795" s="16"/>
      <c r="M795" s="1"/>
      <c r="N795" s="1"/>
      <c r="O795" s="1"/>
      <c r="P795" s="1"/>
      <c r="Q795" s="1"/>
      <c r="R795" s="1"/>
      <c r="S795" s="1"/>
      <c r="T795" s="1"/>
      <c r="U795" s="1"/>
      <c r="V795" s="1"/>
    </row>
    <row r="796" spans="1:22" ht="12.75" customHeight="1" x14ac:dyDescent="0.2">
      <c r="A796" s="16"/>
      <c r="B796" s="16"/>
      <c r="C796" s="16"/>
      <c r="D796" s="16"/>
      <c r="E796" s="16"/>
      <c r="F796" s="16"/>
      <c r="G796" s="16"/>
      <c r="H796" s="16"/>
      <c r="I796" s="16"/>
      <c r="J796" s="16"/>
      <c r="K796" s="16"/>
      <c r="L796" s="16"/>
      <c r="M796" s="1"/>
      <c r="N796" s="1"/>
      <c r="O796" s="1"/>
      <c r="P796" s="1"/>
      <c r="Q796" s="1"/>
      <c r="R796" s="1"/>
      <c r="S796" s="1"/>
      <c r="T796" s="1"/>
      <c r="U796" s="1"/>
      <c r="V796" s="1"/>
    </row>
    <row r="797" spans="1:22" ht="12.75" customHeight="1" x14ac:dyDescent="0.2">
      <c r="A797" s="16"/>
      <c r="B797" s="16"/>
      <c r="C797" s="16"/>
      <c r="D797" s="16"/>
      <c r="E797" s="16"/>
      <c r="F797" s="16"/>
      <c r="G797" s="16"/>
      <c r="H797" s="16"/>
      <c r="I797" s="16"/>
      <c r="J797" s="16"/>
      <c r="K797" s="16"/>
      <c r="L797" s="16"/>
      <c r="M797" s="1"/>
      <c r="N797" s="1"/>
      <c r="O797" s="1"/>
      <c r="P797" s="1"/>
      <c r="Q797" s="1"/>
      <c r="R797" s="1"/>
      <c r="S797" s="1"/>
      <c r="T797" s="1"/>
      <c r="U797" s="1"/>
      <c r="V797" s="1"/>
    </row>
    <row r="798" spans="1:22" ht="12.75" customHeight="1" x14ac:dyDescent="0.2">
      <c r="A798" s="16"/>
      <c r="B798" s="16"/>
      <c r="C798" s="16"/>
      <c r="D798" s="16"/>
      <c r="E798" s="16"/>
      <c r="F798" s="16"/>
      <c r="G798" s="16"/>
      <c r="H798" s="16"/>
      <c r="I798" s="16"/>
      <c r="J798" s="16"/>
      <c r="K798" s="16"/>
      <c r="L798" s="16"/>
      <c r="M798" s="1"/>
      <c r="N798" s="1"/>
      <c r="O798" s="1"/>
      <c r="P798" s="1"/>
      <c r="Q798" s="1"/>
      <c r="R798" s="1"/>
      <c r="S798" s="1"/>
      <c r="T798" s="1"/>
      <c r="U798" s="1"/>
      <c r="V798" s="1"/>
    </row>
    <row r="799" spans="1:22" ht="12.75" customHeight="1" x14ac:dyDescent="0.2">
      <c r="A799" s="16"/>
      <c r="B799" s="16"/>
      <c r="C799" s="16"/>
      <c r="D799" s="16"/>
      <c r="E799" s="16"/>
      <c r="F799" s="16"/>
      <c r="G799" s="16"/>
      <c r="H799" s="16"/>
      <c r="I799" s="16"/>
      <c r="J799" s="16"/>
      <c r="K799" s="16"/>
      <c r="L799" s="16"/>
      <c r="M799" s="1"/>
      <c r="N799" s="1"/>
      <c r="O799" s="1"/>
      <c r="P799" s="1"/>
      <c r="Q799" s="1"/>
      <c r="R799" s="1"/>
      <c r="S799" s="1"/>
      <c r="T799" s="1"/>
      <c r="U799" s="1"/>
      <c r="V799" s="1"/>
    </row>
    <row r="800" spans="1:22" ht="12.75" customHeight="1" x14ac:dyDescent="0.2">
      <c r="A800" s="16"/>
      <c r="B800" s="16"/>
      <c r="C800" s="16"/>
      <c r="D800" s="16"/>
      <c r="E800" s="16"/>
      <c r="F800" s="16"/>
      <c r="G800" s="16"/>
      <c r="H800" s="16"/>
      <c r="I800" s="16"/>
      <c r="J800" s="16"/>
      <c r="K800" s="16"/>
      <c r="L800" s="16"/>
      <c r="M800" s="1"/>
      <c r="N800" s="1"/>
      <c r="O800" s="1"/>
      <c r="P800" s="1"/>
      <c r="Q800" s="1"/>
      <c r="R800" s="1"/>
      <c r="S800" s="1"/>
      <c r="T800" s="1"/>
      <c r="U800" s="1"/>
      <c r="V800" s="1"/>
    </row>
    <row r="801" spans="1:22" ht="12.75" customHeight="1" x14ac:dyDescent="0.2">
      <c r="A801" s="16"/>
      <c r="B801" s="16"/>
      <c r="C801" s="16"/>
      <c r="D801" s="16"/>
      <c r="E801" s="16"/>
      <c r="F801" s="16"/>
      <c r="G801" s="16"/>
      <c r="H801" s="16"/>
      <c r="I801" s="16"/>
      <c r="J801" s="16"/>
      <c r="K801" s="16"/>
      <c r="L801" s="16"/>
      <c r="M801" s="1"/>
      <c r="N801" s="1"/>
      <c r="O801" s="1"/>
      <c r="P801" s="1"/>
      <c r="Q801" s="1"/>
      <c r="R801" s="1"/>
      <c r="S801" s="1"/>
      <c r="T801" s="1"/>
      <c r="U801" s="1"/>
      <c r="V801" s="1"/>
    </row>
    <row r="802" spans="1:22" ht="12.75" customHeight="1" x14ac:dyDescent="0.2">
      <c r="A802" s="16"/>
      <c r="B802" s="16"/>
      <c r="C802" s="16"/>
      <c r="D802" s="16"/>
      <c r="E802" s="16"/>
      <c r="F802" s="16"/>
      <c r="G802" s="16"/>
      <c r="H802" s="16"/>
      <c r="I802" s="16"/>
      <c r="J802" s="16"/>
      <c r="K802" s="16"/>
      <c r="L802" s="16"/>
      <c r="M802" s="1"/>
      <c r="N802" s="1"/>
      <c r="O802" s="1"/>
      <c r="P802" s="1"/>
      <c r="Q802" s="1"/>
      <c r="R802" s="1"/>
      <c r="S802" s="1"/>
      <c r="T802" s="1"/>
      <c r="U802" s="1"/>
      <c r="V802" s="1"/>
    </row>
    <row r="803" spans="1:22" ht="12.75" customHeight="1" x14ac:dyDescent="0.2">
      <c r="A803" s="16"/>
      <c r="B803" s="16"/>
      <c r="C803" s="16"/>
      <c r="D803" s="16"/>
      <c r="E803" s="16"/>
      <c r="F803" s="16"/>
      <c r="G803" s="16"/>
      <c r="H803" s="16"/>
      <c r="I803" s="16"/>
      <c r="J803" s="16"/>
      <c r="K803" s="16"/>
      <c r="L803" s="16"/>
      <c r="M803" s="1"/>
      <c r="N803" s="1"/>
      <c r="O803" s="1"/>
      <c r="P803" s="1"/>
      <c r="Q803" s="1"/>
      <c r="R803" s="1"/>
      <c r="S803" s="1"/>
      <c r="T803" s="1"/>
      <c r="U803" s="1"/>
      <c r="V803" s="1"/>
    </row>
    <row r="804" spans="1:22" ht="12.75" customHeight="1" x14ac:dyDescent="0.2">
      <c r="A804" s="16"/>
      <c r="B804" s="16"/>
      <c r="C804" s="16"/>
      <c r="D804" s="16"/>
      <c r="E804" s="16"/>
      <c r="F804" s="16"/>
      <c r="G804" s="16"/>
      <c r="H804" s="16"/>
      <c r="I804" s="16"/>
      <c r="J804" s="16"/>
      <c r="K804" s="16"/>
      <c r="L804" s="16"/>
      <c r="M804" s="1"/>
      <c r="N804" s="1"/>
      <c r="O804" s="1"/>
      <c r="P804" s="1"/>
      <c r="Q804" s="1"/>
      <c r="R804" s="1"/>
      <c r="S804" s="1"/>
      <c r="T804" s="1"/>
      <c r="U804" s="1"/>
      <c r="V804" s="1"/>
    </row>
    <row r="805" spans="1:22" ht="12.75" customHeight="1" x14ac:dyDescent="0.2">
      <c r="A805" s="16"/>
      <c r="B805" s="16"/>
      <c r="C805" s="16"/>
      <c r="D805" s="16"/>
      <c r="E805" s="16"/>
      <c r="F805" s="16"/>
      <c r="G805" s="16"/>
      <c r="H805" s="16"/>
      <c r="I805" s="16"/>
      <c r="J805" s="16"/>
      <c r="K805" s="16"/>
      <c r="L805" s="16"/>
      <c r="M805" s="1"/>
      <c r="N805" s="1"/>
      <c r="O805" s="1"/>
      <c r="P805" s="1"/>
      <c r="Q805" s="1"/>
      <c r="R805" s="1"/>
      <c r="S805" s="1"/>
      <c r="T805" s="1"/>
      <c r="U805" s="1"/>
      <c r="V805" s="1"/>
    </row>
    <row r="806" spans="1:22" ht="12.75" customHeight="1" x14ac:dyDescent="0.2">
      <c r="A806" s="16"/>
      <c r="B806" s="16"/>
      <c r="C806" s="16"/>
      <c r="D806" s="16"/>
      <c r="E806" s="16"/>
      <c r="F806" s="16"/>
      <c r="G806" s="16"/>
      <c r="H806" s="16"/>
      <c r="I806" s="16"/>
      <c r="J806" s="16"/>
      <c r="K806" s="16"/>
      <c r="L806" s="16"/>
      <c r="M806" s="1"/>
      <c r="N806" s="1"/>
      <c r="O806" s="1"/>
      <c r="P806" s="1"/>
      <c r="Q806" s="1"/>
      <c r="R806" s="1"/>
      <c r="S806" s="1"/>
      <c r="T806" s="1"/>
      <c r="U806" s="1"/>
      <c r="V806" s="1"/>
    </row>
    <row r="807" spans="1:22" ht="12.75" customHeight="1" x14ac:dyDescent="0.2">
      <c r="A807" s="16"/>
      <c r="B807" s="16"/>
      <c r="C807" s="16"/>
      <c r="D807" s="16"/>
      <c r="E807" s="16"/>
      <c r="F807" s="16"/>
      <c r="G807" s="16"/>
      <c r="H807" s="16"/>
      <c r="I807" s="16"/>
      <c r="J807" s="16"/>
      <c r="K807" s="16"/>
      <c r="L807" s="16"/>
      <c r="M807" s="1"/>
      <c r="N807" s="1"/>
      <c r="O807" s="1"/>
      <c r="P807" s="1"/>
      <c r="Q807" s="1"/>
      <c r="R807" s="1"/>
      <c r="S807" s="1"/>
      <c r="T807" s="1"/>
      <c r="U807" s="1"/>
      <c r="V807" s="1"/>
    </row>
    <row r="808" spans="1:22" ht="12.75" customHeight="1" x14ac:dyDescent="0.2">
      <c r="A808" s="16"/>
      <c r="B808" s="16"/>
      <c r="C808" s="16"/>
      <c r="D808" s="16"/>
      <c r="E808" s="16"/>
      <c r="F808" s="16"/>
      <c r="G808" s="16"/>
      <c r="H808" s="16"/>
      <c r="I808" s="16"/>
      <c r="J808" s="16"/>
      <c r="K808" s="16"/>
      <c r="L808" s="16"/>
      <c r="M808" s="1"/>
      <c r="N808" s="1"/>
      <c r="O808" s="1"/>
      <c r="P808" s="1"/>
      <c r="Q808" s="1"/>
      <c r="R808" s="1"/>
      <c r="S808" s="1"/>
      <c r="T808" s="1"/>
      <c r="U808" s="1"/>
      <c r="V808" s="1"/>
    </row>
    <row r="809" spans="1:22" ht="12.75" customHeight="1" x14ac:dyDescent="0.2">
      <c r="A809" s="16"/>
      <c r="B809" s="16"/>
      <c r="C809" s="16"/>
      <c r="D809" s="16"/>
      <c r="E809" s="16"/>
      <c r="F809" s="16"/>
      <c r="G809" s="16"/>
      <c r="H809" s="16"/>
      <c r="I809" s="16"/>
      <c r="J809" s="16"/>
      <c r="K809" s="16"/>
      <c r="L809" s="16"/>
      <c r="M809" s="1"/>
      <c r="N809" s="1"/>
      <c r="O809" s="1"/>
      <c r="P809" s="1"/>
      <c r="Q809" s="1"/>
      <c r="R809" s="1"/>
      <c r="S809" s="1"/>
      <c r="T809" s="1"/>
      <c r="U809" s="1"/>
      <c r="V809" s="1"/>
    </row>
    <row r="810" spans="1:22" ht="12.75" customHeight="1" x14ac:dyDescent="0.2">
      <c r="A810" s="16"/>
      <c r="B810" s="16"/>
      <c r="C810" s="16"/>
      <c r="D810" s="16"/>
      <c r="E810" s="16"/>
      <c r="F810" s="16"/>
      <c r="G810" s="16"/>
      <c r="H810" s="16"/>
      <c r="I810" s="16"/>
      <c r="J810" s="16"/>
      <c r="K810" s="16"/>
      <c r="L810" s="16"/>
      <c r="M810" s="1"/>
      <c r="N810" s="1"/>
      <c r="O810" s="1"/>
      <c r="P810" s="1"/>
      <c r="Q810" s="1"/>
      <c r="R810" s="1"/>
      <c r="S810" s="1"/>
      <c r="T810" s="1"/>
      <c r="U810" s="1"/>
      <c r="V810" s="1"/>
    </row>
    <row r="811" spans="1:22" ht="12.75" customHeight="1" x14ac:dyDescent="0.2">
      <c r="A811" s="16"/>
      <c r="B811" s="16"/>
      <c r="C811" s="16"/>
      <c r="D811" s="16"/>
      <c r="E811" s="16"/>
      <c r="F811" s="16"/>
      <c r="G811" s="16"/>
      <c r="H811" s="16"/>
      <c r="I811" s="16"/>
      <c r="J811" s="16"/>
      <c r="K811" s="16"/>
      <c r="L811" s="16"/>
      <c r="M811" s="1"/>
      <c r="N811" s="1"/>
      <c r="O811" s="1"/>
      <c r="P811" s="1"/>
      <c r="Q811" s="1"/>
      <c r="R811" s="1"/>
      <c r="S811" s="1"/>
      <c r="T811" s="1"/>
      <c r="U811" s="1"/>
      <c r="V811" s="1"/>
    </row>
    <row r="812" spans="1:22" ht="12.75" customHeight="1" x14ac:dyDescent="0.2">
      <c r="A812" s="16"/>
      <c r="B812" s="16"/>
      <c r="C812" s="16"/>
      <c r="D812" s="16"/>
      <c r="E812" s="16"/>
      <c r="F812" s="16"/>
      <c r="G812" s="16"/>
      <c r="H812" s="16"/>
      <c r="I812" s="16"/>
      <c r="J812" s="16"/>
      <c r="K812" s="16"/>
      <c r="L812" s="16"/>
      <c r="M812" s="1"/>
      <c r="N812" s="1"/>
      <c r="O812" s="1"/>
      <c r="P812" s="1"/>
      <c r="Q812" s="1"/>
      <c r="R812" s="1"/>
      <c r="S812" s="1"/>
      <c r="T812" s="1"/>
      <c r="U812" s="1"/>
      <c r="V812" s="1"/>
    </row>
    <row r="813" spans="1:22" ht="12.75" customHeight="1" x14ac:dyDescent="0.2">
      <c r="A813" s="16"/>
      <c r="B813" s="16"/>
      <c r="C813" s="16"/>
      <c r="D813" s="16"/>
      <c r="E813" s="16"/>
      <c r="F813" s="16"/>
      <c r="G813" s="16"/>
      <c r="H813" s="16"/>
      <c r="I813" s="16"/>
      <c r="J813" s="16"/>
      <c r="K813" s="16"/>
      <c r="L813" s="16"/>
      <c r="M813" s="1"/>
      <c r="N813" s="1"/>
      <c r="O813" s="1"/>
      <c r="P813" s="1"/>
      <c r="Q813" s="1"/>
      <c r="R813" s="1"/>
      <c r="S813" s="1"/>
      <c r="T813" s="1"/>
      <c r="U813" s="1"/>
      <c r="V813" s="1"/>
    </row>
    <row r="814" spans="1:22" ht="12.75" customHeight="1" x14ac:dyDescent="0.2">
      <c r="A814" s="16"/>
      <c r="B814" s="16"/>
      <c r="C814" s="16"/>
      <c r="D814" s="16"/>
      <c r="E814" s="16"/>
      <c r="F814" s="16"/>
      <c r="G814" s="16"/>
      <c r="H814" s="16"/>
      <c r="I814" s="16"/>
      <c r="J814" s="16"/>
      <c r="K814" s="16"/>
      <c r="L814" s="16"/>
      <c r="M814" s="1"/>
      <c r="N814" s="1"/>
      <c r="O814" s="1"/>
      <c r="P814" s="1"/>
      <c r="Q814" s="1"/>
      <c r="R814" s="1"/>
      <c r="S814" s="1"/>
      <c r="T814" s="1"/>
      <c r="U814" s="1"/>
      <c r="V814" s="1"/>
    </row>
    <row r="815" spans="1:22" ht="12.75" customHeight="1" x14ac:dyDescent="0.2">
      <c r="A815" s="16"/>
      <c r="B815" s="16"/>
      <c r="C815" s="16"/>
      <c r="D815" s="16"/>
      <c r="E815" s="16"/>
      <c r="F815" s="16"/>
      <c r="G815" s="16"/>
      <c r="H815" s="16"/>
      <c r="I815" s="16"/>
      <c r="J815" s="16"/>
      <c r="K815" s="16"/>
      <c r="L815" s="16"/>
      <c r="M815" s="1"/>
      <c r="N815" s="1"/>
      <c r="O815" s="1"/>
      <c r="P815" s="1"/>
      <c r="Q815" s="1"/>
      <c r="R815" s="1"/>
      <c r="S815" s="1"/>
      <c r="T815" s="1"/>
      <c r="U815" s="1"/>
      <c r="V815" s="1"/>
    </row>
    <row r="816" spans="1:22" ht="12.75" customHeight="1" x14ac:dyDescent="0.2">
      <c r="A816" s="16"/>
      <c r="B816" s="16"/>
      <c r="C816" s="16"/>
      <c r="D816" s="16"/>
      <c r="E816" s="16"/>
      <c r="F816" s="16"/>
      <c r="G816" s="16"/>
      <c r="H816" s="16"/>
      <c r="I816" s="16"/>
      <c r="J816" s="16"/>
      <c r="K816" s="16"/>
      <c r="L816" s="16"/>
      <c r="M816" s="1"/>
      <c r="N816" s="1"/>
      <c r="O816" s="1"/>
      <c r="P816" s="1"/>
      <c r="Q816" s="1"/>
      <c r="R816" s="1"/>
      <c r="S816" s="1"/>
      <c r="T816" s="1"/>
      <c r="U816" s="1"/>
      <c r="V816" s="1"/>
    </row>
    <row r="817" spans="1:22" ht="12.75" customHeight="1" x14ac:dyDescent="0.2">
      <c r="A817" s="16"/>
      <c r="B817" s="16"/>
      <c r="C817" s="16"/>
      <c r="D817" s="16"/>
      <c r="E817" s="16"/>
      <c r="F817" s="16"/>
      <c r="G817" s="16"/>
      <c r="H817" s="16"/>
      <c r="I817" s="16"/>
      <c r="J817" s="16"/>
      <c r="K817" s="16"/>
      <c r="L817" s="16"/>
      <c r="M817" s="1"/>
      <c r="N817" s="1"/>
      <c r="O817" s="1"/>
      <c r="P817" s="1"/>
      <c r="Q817" s="1"/>
      <c r="R817" s="1"/>
      <c r="S817" s="1"/>
      <c r="T817" s="1"/>
      <c r="U817" s="1"/>
      <c r="V817" s="1"/>
    </row>
    <row r="818" spans="1:22" ht="12.75" customHeight="1" x14ac:dyDescent="0.2">
      <c r="A818" s="16"/>
      <c r="B818" s="16"/>
      <c r="C818" s="16"/>
      <c r="D818" s="16"/>
      <c r="E818" s="16"/>
      <c r="F818" s="16"/>
      <c r="G818" s="16"/>
      <c r="H818" s="16"/>
      <c r="I818" s="16"/>
      <c r="J818" s="16"/>
      <c r="K818" s="16"/>
      <c r="L818" s="16"/>
      <c r="M818" s="1"/>
      <c r="N818" s="1"/>
      <c r="O818" s="1"/>
      <c r="P818" s="1"/>
      <c r="Q818" s="1"/>
      <c r="R818" s="1"/>
      <c r="S818" s="1"/>
      <c r="T818" s="1"/>
      <c r="U818" s="1"/>
      <c r="V818" s="1"/>
    </row>
    <row r="819" spans="1:22" ht="12.75" customHeight="1" x14ac:dyDescent="0.2">
      <c r="A819" s="16"/>
      <c r="B819" s="16"/>
      <c r="C819" s="16"/>
      <c r="D819" s="16"/>
      <c r="E819" s="16"/>
      <c r="F819" s="16"/>
      <c r="G819" s="16"/>
      <c r="H819" s="16"/>
      <c r="I819" s="16"/>
      <c r="J819" s="16"/>
      <c r="K819" s="16"/>
      <c r="L819" s="16"/>
      <c r="M819" s="1"/>
      <c r="N819" s="1"/>
      <c r="O819" s="1"/>
      <c r="P819" s="1"/>
      <c r="Q819" s="1"/>
      <c r="R819" s="1"/>
      <c r="S819" s="1"/>
      <c r="T819" s="1"/>
      <c r="U819" s="1"/>
      <c r="V819" s="1"/>
    </row>
    <row r="820" spans="1:22" ht="12.75" customHeight="1" x14ac:dyDescent="0.2">
      <c r="A820" s="16"/>
      <c r="B820" s="16"/>
      <c r="C820" s="16"/>
      <c r="D820" s="16"/>
      <c r="E820" s="16"/>
      <c r="F820" s="16"/>
      <c r="G820" s="16"/>
      <c r="H820" s="16"/>
      <c r="I820" s="16"/>
      <c r="J820" s="16"/>
      <c r="K820" s="16"/>
      <c r="L820" s="16"/>
      <c r="M820" s="1"/>
      <c r="N820" s="1"/>
      <c r="O820" s="1"/>
      <c r="P820" s="1"/>
      <c r="Q820" s="1"/>
      <c r="R820" s="1"/>
      <c r="S820" s="1"/>
      <c r="T820" s="1"/>
      <c r="U820" s="1"/>
      <c r="V820" s="1"/>
    </row>
    <row r="821" spans="1:22" ht="12.75" customHeight="1" x14ac:dyDescent="0.2">
      <c r="A821" s="16"/>
      <c r="B821" s="16"/>
      <c r="C821" s="16"/>
      <c r="D821" s="16"/>
      <c r="E821" s="16"/>
      <c r="F821" s="16"/>
      <c r="G821" s="16"/>
      <c r="H821" s="16"/>
      <c r="I821" s="16"/>
      <c r="J821" s="16"/>
      <c r="K821" s="16"/>
      <c r="L821" s="16"/>
      <c r="M821" s="1"/>
      <c r="N821" s="1"/>
      <c r="O821" s="1"/>
      <c r="P821" s="1"/>
      <c r="Q821" s="1"/>
      <c r="R821" s="1"/>
      <c r="S821" s="1"/>
      <c r="T821" s="1"/>
      <c r="U821" s="1"/>
      <c r="V821" s="1"/>
    </row>
    <row r="822" spans="1:22" ht="12.75" customHeight="1" x14ac:dyDescent="0.2">
      <c r="A822" s="16"/>
      <c r="B822" s="16"/>
      <c r="C822" s="16"/>
      <c r="D822" s="16"/>
      <c r="E822" s="16"/>
      <c r="F822" s="16"/>
      <c r="G822" s="16"/>
      <c r="H822" s="16"/>
      <c r="I822" s="16"/>
      <c r="J822" s="16"/>
      <c r="K822" s="16"/>
      <c r="L822" s="16"/>
      <c r="M822" s="1"/>
      <c r="N822" s="1"/>
      <c r="O822" s="1"/>
      <c r="P822" s="1"/>
      <c r="Q822" s="1"/>
      <c r="R822" s="1"/>
      <c r="S822" s="1"/>
      <c r="T822" s="1"/>
      <c r="U822" s="1"/>
      <c r="V822" s="1"/>
    </row>
    <row r="823" spans="1:22" ht="12.75" customHeight="1" x14ac:dyDescent="0.2">
      <c r="A823" s="16"/>
      <c r="B823" s="16"/>
      <c r="C823" s="16"/>
      <c r="D823" s="16"/>
      <c r="E823" s="16"/>
      <c r="F823" s="16"/>
      <c r="G823" s="16"/>
      <c r="H823" s="16"/>
      <c r="I823" s="16"/>
      <c r="J823" s="16"/>
      <c r="K823" s="16"/>
      <c r="L823" s="16"/>
      <c r="M823" s="1"/>
      <c r="N823" s="1"/>
      <c r="O823" s="1"/>
      <c r="P823" s="1"/>
      <c r="Q823" s="1"/>
      <c r="R823" s="1"/>
      <c r="S823" s="1"/>
      <c r="T823" s="1"/>
      <c r="U823" s="1"/>
      <c r="V823" s="1"/>
    </row>
    <row r="824" spans="1:22" ht="12.75" customHeight="1" x14ac:dyDescent="0.2">
      <c r="A824" s="16"/>
      <c r="B824" s="16"/>
      <c r="C824" s="16"/>
      <c r="D824" s="16"/>
      <c r="E824" s="16"/>
      <c r="F824" s="16"/>
      <c r="G824" s="16"/>
      <c r="H824" s="16"/>
      <c r="I824" s="16"/>
      <c r="J824" s="16"/>
      <c r="K824" s="16"/>
      <c r="L824" s="16"/>
      <c r="M824" s="1"/>
      <c r="N824" s="1"/>
      <c r="O824" s="1"/>
      <c r="P824" s="1"/>
      <c r="Q824" s="1"/>
      <c r="R824" s="1"/>
      <c r="S824" s="1"/>
      <c r="T824" s="1"/>
      <c r="U824" s="1"/>
      <c r="V824" s="1"/>
    </row>
    <row r="825" spans="1:22" ht="12.75" customHeight="1" x14ac:dyDescent="0.2">
      <c r="A825" s="16"/>
      <c r="B825" s="16"/>
      <c r="C825" s="16"/>
      <c r="D825" s="16"/>
      <c r="E825" s="16"/>
      <c r="F825" s="16"/>
      <c r="G825" s="16"/>
      <c r="H825" s="16"/>
      <c r="I825" s="16"/>
      <c r="J825" s="16"/>
      <c r="K825" s="16"/>
      <c r="L825" s="16"/>
      <c r="M825" s="1"/>
      <c r="N825" s="1"/>
      <c r="O825" s="1"/>
      <c r="P825" s="1"/>
      <c r="Q825" s="1"/>
      <c r="R825" s="1"/>
      <c r="S825" s="1"/>
      <c r="T825" s="1"/>
      <c r="U825" s="1"/>
      <c r="V825" s="1"/>
    </row>
    <row r="826" spans="1:22" ht="12.75" customHeight="1" x14ac:dyDescent="0.2">
      <c r="A826" s="16"/>
      <c r="B826" s="16"/>
      <c r="C826" s="16"/>
      <c r="D826" s="16"/>
      <c r="E826" s="16"/>
      <c r="F826" s="16"/>
      <c r="G826" s="16"/>
      <c r="H826" s="16"/>
      <c r="I826" s="16"/>
      <c r="J826" s="16"/>
      <c r="K826" s="16"/>
      <c r="L826" s="16"/>
      <c r="M826" s="1"/>
      <c r="N826" s="1"/>
      <c r="O826" s="1"/>
      <c r="P826" s="1"/>
      <c r="Q826" s="1"/>
      <c r="R826" s="1"/>
      <c r="S826" s="1"/>
      <c r="T826" s="1"/>
      <c r="U826" s="1"/>
      <c r="V826" s="1"/>
    </row>
    <row r="827" spans="1:22" ht="12.75" customHeight="1" x14ac:dyDescent="0.2">
      <c r="A827" s="16"/>
      <c r="B827" s="16"/>
      <c r="C827" s="16"/>
      <c r="D827" s="16"/>
      <c r="E827" s="16"/>
      <c r="F827" s="16"/>
      <c r="G827" s="16"/>
      <c r="H827" s="16"/>
      <c r="I827" s="16"/>
      <c r="J827" s="16"/>
      <c r="K827" s="16"/>
      <c r="L827" s="16"/>
      <c r="M827" s="1"/>
      <c r="N827" s="1"/>
      <c r="O827" s="1"/>
      <c r="P827" s="1"/>
      <c r="Q827" s="1"/>
      <c r="R827" s="1"/>
      <c r="S827" s="1"/>
      <c r="T827" s="1"/>
      <c r="U827" s="1"/>
      <c r="V827" s="1"/>
    </row>
    <row r="828" spans="1:22" ht="12.75" customHeight="1" x14ac:dyDescent="0.2">
      <c r="A828" s="16"/>
      <c r="B828" s="16"/>
      <c r="C828" s="16"/>
      <c r="D828" s="16"/>
      <c r="E828" s="16"/>
      <c r="F828" s="16"/>
      <c r="G828" s="16"/>
      <c r="H828" s="16"/>
      <c r="I828" s="16"/>
      <c r="J828" s="16"/>
      <c r="K828" s="16"/>
      <c r="L828" s="16"/>
      <c r="M828" s="1"/>
      <c r="N828" s="1"/>
      <c r="O828" s="1"/>
      <c r="P828" s="1"/>
      <c r="Q828" s="1"/>
      <c r="R828" s="1"/>
      <c r="S828" s="1"/>
      <c r="T828" s="1"/>
      <c r="U828" s="1"/>
      <c r="V828" s="1"/>
    </row>
    <row r="829" spans="1:22" ht="12.75" customHeight="1" x14ac:dyDescent="0.2">
      <c r="A829" s="16"/>
      <c r="B829" s="16"/>
      <c r="C829" s="16"/>
      <c r="D829" s="16"/>
      <c r="E829" s="16"/>
      <c r="F829" s="16"/>
      <c r="G829" s="16"/>
      <c r="H829" s="16"/>
      <c r="I829" s="16"/>
      <c r="J829" s="16"/>
      <c r="K829" s="16"/>
      <c r="L829" s="16"/>
      <c r="M829" s="1"/>
      <c r="N829" s="1"/>
      <c r="O829" s="1"/>
      <c r="P829" s="1"/>
      <c r="Q829" s="1"/>
      <c r="R829" s="1"/>
      <c r="S829" s="1"/>
      <c r="T829" s="1"/>
      <c r="U829" s="1"/>
      <c r="V829" s="1"/>
    </row>
    <row r="830" spans="1:22" ht="12.75" customHeight="1" x14ac:dyDescent="0.2">
      <c r="A830" s="16"/>
      <c r="B830" s="16"/>
      <c r="C830" s="16"/>
      <c r="D830" s="16"/>
      <c r="E830" s="16"/>
      <c r="F830" s="16"/>
      <c r="G830" s="16"/>
      <c r="H830" s="16"/>
      <c r="I830" s="16"/>
      <c r="J830" s="16"/>
      <c r="K830" s="16"/>
      <c r="L830" s="16"/>
      <c r="M830" s="1"/>
      <c r="N830" s="1"/>
      <c r="O830" s="1"/>
      <c r="P830" s="1"/>
      <c r="Q830" s="1"/>
      <c r="R830" s="1"/>
      <c r="S830" s="1"/>
      <c r="T830" s="1"/>
      <c r="U830" s="1"/>
      <c r="V830" s="1"/>
    </row>
    <row r="831" spans="1:22" ht="12.75" customHeight="1" x14ac:dyDescent="0.2">
      <c r="A831" s="16"/>
      <c r="B831" s="16"/>
      <c r="C831" s="16"/>
      <c r="D831" s="16"/>
      <c r="E831" s="16"/>
      <c r="F831" s="16"/>
      <c r="G831" s="16"/>
      <c r="H831" s="16"/>
      <c r="I831" s="16"/>
      <c r="J831" s="16"/>
      <c r="K831" s="16"/>
      <c r="L831" s="16"/>
      <c r="M831" s="1"/>
      <c r="N831" s="1"/>
      <c r="O831" s="1"/>
      <c r="P831" s="1"/>
      <c r="Q831" s="1"/>
      <c r="R831" s="1"/>
      <c r="S831" s="1"/>
      <c r="T831" s="1"/>
      <c r="U831" s="1"/>
      <c r="V831" s="1"/>
    </row>
    <row r="832" spans="1:22" ht="12.75" customHeight="1" x14ac:dyDescent="0.2">
      <c r="A832" s="16"/>
      <c r="B832" s="16"/>
      <c r="C832" s="16"/>
      <c r="D832" s="16"/>
      <c r="E832" s="16"/>
      <c r="F832" s="16"/>
      <c r="G832" s="16"/>
      <c r="H832" s="16"/>
      <c r="I832" s="16"/>
      <c r="J832" s="16"/>
      <c r="K832" s="16"/>
      <c r="L832" s="16"/>
      <c r="M832" s="1"/>
      <c r="N832" s="1"/>
      <c r="O832" s="1"/>
      <c r="P832" s="1"/>
      <c r="Q832" s="1"/>
      <c r="R832" s="1"/>
      <c r="S832" s="1"/>
      <c r="T832" s="1"/>
      <c r="U832" s="1"/>
      <c r="V832" s="1"/>
    </row>
    <row r="833" spans="1:22" ht="12.75" customHeight="1" x14ac:dyDescent="0.2">
      <c r="A833" s="16"/>
      <c r="B833" s="16"/>
      <c r="C833" s="16"/>
      <c r="D833" s="16"/>
      <c r="E833" s="16"/>
      <c r="F833" s="16"/>
      <c r="G833" s="16"/>
      <c r="H833" s="16"/>
      <c r="I833" s="16"/>
      <c r="J833" s="16"/>
      <c r="K833" s="16"/>
      <c r="L833" s="16"/>
      <c r="M833" s="1"/>
      <c r="N833" s="1"/>
      <c r="O833" s="1"/>
      <c r="P833" s="1"/>
      <c r="Q833" s="1"/>
      <c r="R833" s="1"/>
      <c r="S833" s="1"/>
      <c r="T833" s="1"/>
      <c r="U833" s="1"/>
      <c r="V833" s="1"/>
    </row>
    <row r="834" spans="1:22" ht="12.75" customHeight="1" x14ac:dyDescent="0.2">
      <c r="A834" s="16"/>
      <c r="B834" s="16"/>
      <c r="C834" s="16"/>
      <c r="D834" s="16"/>
      <c r="E834" s="16"/>
      <c r="F834" s="16"/>
      <c r="G834" s="16"/>
      <c r="H834" s="16"/>
      <c r="I834" s="16"/>
      <c r="J834" s="16"/>
      <c r="K834" s="16"/>
      <c r="L834" s="16"/>
      <c r="M834" s="1"/>
      <c r="N834" s="1"/>
      <c r="O834" s="1"/>
      <c r="P834" s="1"/>
      <c r="Q834" s="1"/>
      <c r="R834" s="1"/>
      <c r="S834" s="1"/>
      <c r="T834" s="1"/>
      <c r="U834" s="1"/>
      <c r="V834" s="1"/>
    </row>
    <row r="835" spans="1:22" ht="12.75" customHeight="1" x14ac:dyDescent="0.2">
      <c r="A835" s="16"/>
      <c r="B835" s="16"/>
      <c r="C835" s="16"/>
      <c r="D835" s="16"/>
      <c r="E835" s="16"/>
      <c r="F835" s="16"/>
      <c r="G835" s="16"/>
      <c r="H835" s="16"/>
      <c r="I835" s="16"/>
      <c r="J835" s="16"/>
      <c r="K835" s="16"/>
      <c r="L835" s="16"/>
      <c r="M835" s="1"/>
      <c r="N835" s="1"/>
      <c r="O835" s="1"/>
      <c r="P835" s="1"/>
      <c r="Q835" s="1"/>
      <c r="R835" s="1"/>
      <c r="S835" s="1"/>
      <c r="T835" s="1"/>
      <c r="U835" s="1"/>
      <c r="V835" s="1"/>
    </row>
    <row r="836" spans="1:22" ht="12.75" customHeight="1" x14ac:dyDescent="0.2">
      <c r="A836" s="16"/>
      <c r="B836" s="16"/>
      <c r="C836" s="16"/>
      <c r="D836" s="16"/>
      <c r="E836" s="16"/>
      <c r="F836" s="16"/>
      <c r="G836" s="16"/>
      <c r="H836" s="16"/>
      <c r="I836" s="16"/>
      <c r="J836" s="16"/>
      <c r="K836" s="16"/>
      <c r="L836" s="16"/>
      <c r="M836" s="1"/>
      <c r="N836" s="1"/>
      <c r="O836" s="1"/>
      <c r="P836" s="1"/>
      <c r="Q836" s="1"/>
      <c r="R836" s="1"/>
      <c r="S836" s="1"/>
      <c r="T836" s="1"/>
      <c r="U836" s="1"/>
      <c r="V836" s="1"/>
    </row>
    <row r="837" spans="1:22" ht="12.75" customHeight="1" x14ac:dyDescent="0.2">
      <c r="A837" s="16"/>
      <c r="B837" s="16"/>
      <c r="C837" s="16"/>
      <c r="D837" s="16"/>
      <c r="E837" s="16"/>
      <c r="F837" s="16"/>
      <c r="G837" s="16"/>
      <c r="H837" s="16"/>
      <c r="I837" s="16"/>
      <c r="J837" s="16"/>
      <c r="K837" s="16"/>
      <c r="L837" s="16"/>
      <c r="M837" s="1"/>
      <c r="N837" s="1"/>
      <c r="O837" s="1"/>
      <c r="P837" s="1"/>
      <c r="Q837" s="1"/>
      <c r="R837" s="1"/>
      <c r="S837" s="1"/>
      <c r="T837" s="1"/>
      <c r="U837" s="1"/>
      <c r="V837" s="1"/>
    </row>
    <row r="838" spans="1:22" ht="12.75" customHeight="1" x14ac:dyDescent="0.2">
      <c r="A838" s="16"/>
      <c r="B838" s="16"/>
      <c r="C838" s="16"/>
      <c r="D838" s="16"/>
      <c r="E838" s="16"/>
      <c r="F838" s="16"/>
      <c r="G838" s="16"/>
      <c r="H838" s="16"/>
      <c r="I838" s="16"/>
      <c r="J838" s="16"/>
      <c r="K838" s="16"/>
      <c r="L838" s="16"/>
      <c r="M838" s="1"/>
      <c r="N838" s="1"/>
      <c r="O838" s="1"/>
      <c r="P838" s="1"/>
      <c r="Q838" s="1"/>
      <c r="R838" s="1"/>
      <c r="S838" s="1"/>
      <c r="T838" s="1"/>
      <c r="U838" s="1"/>
      <c r="V838" s="1"/>
    </row>
    <row r="839" spans="1:22" ht="12.75" customHeight="1" x14ac:dyDescent="0.2">
      <c r="A839" s="16"/>
      <c r="B839" s="16"/>
      <c r="C839" s="16"/>
      <c r="D839" s="16"/>
      <c r="E839" s="16"/>
      <c r="F839" s="16"/>
      <c r="G839" s="16"/>
      <c r="H839" s="16"/>
      <c r="I839" s="16"/>
      <c r="J839" s="16"/>
      <c r="K839" s="16"/>
      <c r="L839" s="16"/>
      <c r="M839" s="1"/>
      <c r="N839" s="1"/>
      <c r="O839" s="1"/>
      <c r="P839" s="1"/>
      <c r="Q839" s="1"/>
      <c r="R839" s="1"/>
      <c r="S839" s="1"/>
      <c r="T839" s="1"/>
      <c r="U839" s="1"/>
      <c r="V839" s="1"/>
    </row>
    <row r="840" spans="1:22" ht="12.75" customHeight="1" x14ac:dyDescent="0.2">
      <c r="A840" s="16"/>
      <c r="B840" s="16"/>
      <c r="C840" s="16"/>
      <c r="D840" s="16"/>
      <c r="E840" s="16"/>
      <c r="F840" s="16"/>
      <c r="G840" s="16"/>
      <c r="H840" s="16"/>
      <c r="I840" s="16"/>
      <c r="J840" s="16"/>
      <c r="K840" s="16"/>
      <c r="L840" s="16"/>
      <c r="M840" s="1"/>
      <c r="N840" s="1"/>
      <c r="O840" s="1"/>
      <c r="P840" s="1"/>
      <c r="Q840" s="1"/>
      <c r="R840" s="1"/>
      <c r="S840" s="1"/>
      <c r="T840" s="1"/>
      <c r="U840" s="1"/>
      <c r="V840" s="1"/>
    </row>
    <row r="841" spans="1:22" ht="12.75" customHeight="1" x14ac:dyDescent="0.2">
      <c r="A841" s="16"/>
      <c r="B841" s="16"/>
      <c r="C841" s="16"/>
      <c r="D841" s="16"/>
      <c r="E841" s="16"/>
      <c r="F841" s="16"/>
      <c r="G841" s="16"/>
      <c r="H841" s="16"/>
      <c r="I841" s="16"/>
      <c r="J841" s="16"/>
      <c r="K841" s="16"/>
      <c r="L841" s="16"/>
      <c r="M841" s="1"/>
      <c r="N841" s="1"/>
      <c r="O841" s="1"/>
      <c r="P841" s="1"/>
      <c r="Q841" s="1"/>
      <c r="R841" s="1"/>
      <c r="S841" s="1"/>
      <c r="T841" s="1"/>
      <c r="U841" s="1"/>
      <c r="V841" s="1"/>
    </row>
    <row r="842" spans="1:22" ht="12.75" customHeight="1" x14ac:dyDescent="0.2">
      <c r="A842" s="16"/>
      <c r="B842" s="16"/>
      <c r="C842" s="16"/>
      <c r="D842" s="16"/>
      <c r="E842" s="16"/>
      <c r="F842" s="16"/>
      <c r="G842" s="16"/>
      <c r="H842" s="16"/>
      <c r="I842" s="16"/>
      <c r="J842" s="16"/>
      <c r="K842" s="16"/>
      <c r="L842" s="16"/>
      <c r="M842" s="1"/>
      <c r="N842" s="1"/>
      <c r="O842" s="1"/>
      <c r="P842" s="1"/>
      <c r="Q842" s="1"/>
      <c r="R842" s="1"/>
      <c r="S842" s="1"/>
      <c r="T842" s="1"/>
      <c r="U842" s="1"/>
      <c r="V842" s="1"/>
    </row>
    <row r="843" spans="1:22" ht="12.75" customHeight="1" x14ac:dyDescent="0.2">
      <c r="A843" s="16"/>
      <c r="B843" s="16"/>
      <c r="C843" s="16"/>
      <c r="D843" s="16"/>
      <c r="E843" s="16"/>
      <c r="F843" s="16"/>
      <c r="G843" s="16"/>
      <c r="H843" s="16"/>
      <c r="I843" s="16"/>
      <c r="J843" s="16"/>
      <c r="K843" s="16"/>
      <c r="L843" s="16"/>
      <c r="M843" s="1"/>
      <c r="N843" s="1"/>
      <c r="O843" s="1"/>
      <c r="P843" s="1"/>
      <c r="Q843" s="1"/>
      <c r="R843" s="1"/>
      <c r="S843" s="1"/>
      <c r="T843" s="1"/>
      <c r="U843" s="1"/>
      <c r="V843" s="1"/>
    </row>
    <row r="844" spans="1:22" ht="12.75" customHeight="1" x14ac:dyDescent="0.2">
      <c r="A844" s="16"/>
      <c r="B844" s="16"/>
      <c r="C844" s="16"/>
      <c r="D844" s="16"/>
      <c r="E844" s="16"/>
      <c r="F844" s="16"/>
      <c r="G844" s="16"/>
      <c r="H844" s="16"/>
      <c r="I844" s="16"/>
      <c r="J844" s="16"/>
      <c r="K844" s="16"/>
      <c r="L844" s="16"/>
      <c r="M844" s="1"/>
      <c r="N844" s="1"/>
      <c r="O844" s="1"/>
      <c r="P844" s="1"/>
      <c r="Q844" s="1"/>
      <c r="R844" s="1"/>
      <c r="S844" s="1"/>
      <c r="T844" s="1"/>
      <c r="U844" s="1"/>
      <c r="V844" s="1"/>
    </row>
    <row r="845" spans="1:22" ht="12.75" customHeight="1" x14ac:dyDescent="0.2">
      <c r="A845" s="16"/>
      <c r="B845" s="16"/>
      <c r="C845" s="16"/>
      <c r="D845" s="16"/>
      <c r="E845" s="16"/>
      <c r="F845" s="16"/>
      <c r="G845" s="16"/>
      <c r="H845" s="16"/>
      <c r="I845" s="16"/>
      <c r="J845" s="16"/>
      <c r="K845" s="16"/>
      <c r="L845" s="16"/>
      <c r="M845" s="1"/>
      <c r="N845" s="1"/>
      <c r="O845" s="1"/>
      <c r="P845" s="1"/>
      <c r="Q845" s="1"/>
      <c r="R845" s="1"/>
      <c r="S845" s="1"/>
      <c r="T845" s="1"/>
      <c r="U845" s="1"/>
      <c r="V845" s="1"/>
    </row>
    <row r="846" spans="1:22" ht="12.75" customHeight="1" x14ac:dyDescent="0.2">
      <c r="A846" s="16"/>
      <c r="B846" s="16"/>
      <c r="C846" s="16"/>
      <c r="D846" s="16"/>
      <c r="E846" s="16"/>
      <c r="F846" s="16"/>
      <c r="G846" s="16"/>
      <c r="H846" s="16"/>
      <c r="I846" s="16"/>
      <c r="J846" s="16"/>
      <c r="K846" s="16"/>
      <c r="L846" s="16"/>
      <c r="M846" s="1"/>
      <c r="N846" s="1"/>
      <c r="O846" s="1"/>
      <c r="P846" s="1"/>
      <c r="Q846" s="1"/>
      <c r="R846" s="1"/>
      <c r="S846" s="1"/>
      <c r="T846" s="1"/>
      <c r="U846" s="1"/>
      <c r="V846" s="1"/>
    </row>
    <row r="847" spans="1:22" ht="12.75" customHeight="1" x14ac:dyDescent="0.2">
      <c r="A847" s="16"/>
      <c r="B847" s="16"/>
      <c r="C847" s="16"/>
      <c r="D847" s="16"/>
      <c r="E847" s="16"/>
      <c r="F847" s="16"/>
      <c r="G847" s="16"/>
      <c r="H847" s="16"/>
      <c r="I847" s="16"/>
      <c r="J847" s="16"/>
      <c r="K847" s="16"/>
      <c r="L847" s="16"/>
      <c r="M847" s="1"/>
      <c r="N847" s="1"/>
      <c r="O847" s="1"/>
      <c r="P847" s="1"/>
      <c r="Q847" s="1"/>
      <c r="R847" s="1"/>
      <c r="S847" s="1"/>
      <c r="T847" s="1"/>
      <c r="U847" s="1"/>
      <c r="V847" s="1"/>
    </row>
    <row r="848" spans="1:22" ht="12.75" customHeight="1" x14ac:dyDescent="0.2">
      <c r="A848" s="16"/>
      <c r="B848" s="16"/>
      <c r="C848" s="16"/>
      <c r="D848" s="16"/>
      <c r="E848" s="16"/>
      <c r="F848" s="16"/>
      <c r="G848" s="16"/>
      <c r="H848" s="16"/>
      <c r="I848" s="16"/>
      <c r="J848" s="16"/>
      <c r="K848" s="16"/>
      <c r="L848" s="16"/>
      <c r="M848" s="1"/>
      <c r="N848" s="1"/>
      <c r="O848" s="1"/>
      <c r="P848" s="1"/>
      <c r="Q848" s="1"/>
      <c r="R848" s="1"/>
      <c r="S848" s="1"/>
      <c r="T848" s="1"/>
      <c r="U848" s="1"/>
      <c r="V848" s="1"/>
    </row>
    <row r="849" spans="1:22" ht="12.75" customHeight="1" x14ac:dyDescent="0.2">
      <c r="A849" s="16"/>
      <c r="B849" s="16"/>
      <c r="C849" s="16"/>
      <c r="D849" s="16"/>
      <c r="E849" s="16"/>
      <c r="F849" s="16"/>
      <c r="G849" s="16"/>
      <c r="H849" s="16"/>
      <c r="I849" s="16"/>
      <c r="J849" s="16"/>
      <c r="K849" s="16"/>
      <c r="L849" s="16"/>
      <c r="M849" s="1"/>
      <c r="N849" s="1"/>
      <c r="O849" s="1"/>
      <c r="P849" s="1"/>
      <c r="Q849" s="1"/>
      <c r="R849" s="1"/>
      <c r="S849" s="1"/>
      <c r="T849" s="1"/>
      <c r="U849" s="1"/>
      <c r="V849" s="1"/>
    </row>
    <row r="850" spans="1:22" ht="12.75" customHeight="1" x14ac:dyDescent="0.2">
      <c r="A850" s="16"/>
      <c r="B850" s="16"/>
      <c r="C850" s="16"/>
      <c r="D850" s="16"/>
      <c r="E850" s="16"/>
      <c r="F850" s="16"/>
      <c r="G850" s="16"/>
      <c r="H850" s="16"/>
      <c r="I850" s="16"/>
      <c r="J850" s="16"/>
      <c r="K850" s="16"/>
      <c r="L850" s="16"/>
      <c r="M850" s="1"/>
      <c r="N850" s="1"/>
      <c r="O850" s="1"/>
      <c r="P850" s="1"/>
      <c r="Q850" s="1"/>
      <c r="R850" s="1"/>
      <c r="S850" s="1"/>
      <c r="T850" s="1"/>
      <c r="U850" s="1"/>
      <c r="V850" s="1"/>
    </row>
    <row r="851" spans="1:22" ht="12.75" customHeight="1" x14ac:dyDescent="0.2">
      <c r="A851" s="16"/>
      <c r="B851" s="16"/>
      <c r="C851" s="16"/>
      <c r="D851" s="16"/>
      <c r="E851" s="16"/>
      <c r="F851" s="16"/>
      <c r="G851" s="16"/>
      <c r="H851" s="16"/>
      <c r="I851" s="16"/>
      <c r="J851" s="16"/>
      <c r="K851" s="16"/>
      <c r="L851" s="16"/>
      <c r="M851" s="1"/>
      <c r="N851" s="1"/>
      <c r="O851" s="1"/>
      <c r="P851" s="1"/>
      <c r="Q851" s="1"/>
      <c r="R851" s="1"/>
      <c r="S851" s="1"/>
      <c r="T851" s="1"/>
      <c r="U851" s="1"/>
      <c r="V851" s="1"/>
    </row>
    <row r="852" spans="1:22" ht="12.75" customHeight="1" x14ac:dyDescent="0.2">
      <c r="A852" s="16"/>
      <c r="B852" s="16"/>
      <c r="C852" s="16"/>
      <c r="D852" s="16"/>
      <c r="E852" s="16"/>
      <c r="F852" s="16"/>
      <c r="G852" s="16"/>
      <c r="H852" s="16"/>
      <c r="I852" s="16"/>
      <c r="J852" s="16"/>
      <c r="K852" s="16"/>
      <c r="L852" s="16"/>
      <c r="M852" s="1"/>
      <c r="N852" s="1"/>
      <c r="O852" s="1"/>
      <c r="P852" s="1"/>
      <c r="Q852" s="1"/>
      <c r="R852" s="1"/>
      <c r="S852" s="1"/>
      <c r="T852" s="1"/>
      <c r="U852" s="1"/>
      <c r="V852" s="1"/>
    </row>
    <row r="853" spans="1:22" ht="12.75" customHeight="1" x14ac:dyDescent="0.2">
      <c r="A853" s="16"/>
      <c r="B853" s="16"/>
      <c r="C853" s="16"/>
      <c r="D853" s="16"/>
      <c r="E853" s="16"/>
      <c r="F853" s="16"/>
      <c r="G853" s="16"/>
      <c r="H853" s="16"/>
      <c r="I853" s="16"/>
      <c r="J853" s="16"/>
      <c r="K853" s="16"/>
      <c r="L853" s="16"/>
      <c r="M853" s="1"/>
      <c r="N853" s="1"/>
      <c r="O853" s="1"/>
      <c r="P853" s="1"/>
      <c r="Q853" s="1"/>
      <c r="R853" s="1"/>
      <c r="S853" s="1"/>
      <c r="T853" s="1"/>
      <c r="U853" s="1"/>
      <c r="V853" s="1"/>
    </row>
    <row r="854" spans="1:22" ht="12.75" customHeight="1" x14ac:dyDescent="0.2">
      <c r="A854" s="16"/>
      <c r="B854" s="16"/>
      <c r="C854" s="16"/>
      <c r="D854" s="16"/>
      <c r="E854" s="16"/>
      <c r="F854" s="16"/>
      <c r="G854" s="16"/>
      <c r="H854" s="16"/>
      <c r="I854" s="16"/>
      <c r="J854" s="16"/>
      <c r="K854" s="16"/>
      <c r="L854" s="16"/>
      <c r="M854" s="1"/>
      <c r="N854" s="1"/>
      <c r="O854" s="1"/>
      <c r="P854" s="1"/>
      <c r="Q854" s="1"/>
      <c r="R854" s="1"/>
      <c r="S854" s="1"/>
      <c r="T854" s="1"/>
      <c r="U854" s="1"/>
      <c r="V854" s="1"/>
    </row>
    <row r="855" spans="1:22" ht="12.75" customHeight="1" x14ac:dyDescent="0.2">
      <c r="A855" s="16"/>
      <c r="B855" s="16"/>
      <c r="C855" s="16"/>
      <c r="D855" s="16"/>
      <c r="E855" s="16"/>
      <c r="F855" s="16"/>
      <c r="G855" s="16"/>
      <c r="H855" s="16"/>
      <c r="I855" s="16"/>
      <c r="J855" s="16"/>
      <c r="K855" s="16"/>
      <c r="L855" s="16"/>
      <c r="M855" s="1"/>
      <c r="N855" s="1"/>
      <c r="O855" s="1"/>
      <c r="P855" s="1"/>
      <c r="Q855" s="1"/>
      <c r="R855" s="1"/>
      <c r="S855" s="1"/>
      <c r="T855" s="1"/>
      <c r="U855" s="1"/>
      <c r="V855" s="1"/>
    </row>
    <row r="856" spans="1:22" ht="12.75" customHeight="1" x14ac:dyDescent="0.2">
      <c r="A856" s="16"/>
      <c r="B856" s="16"/>
      <c r="C856" s="16"/>
      <c r="D856" s="16"/>
      <c r="E856" s="16"/>
      <c r="F856" s="16"/>
      <c r="G856" s="16"/>
      <c r="H856" s="16"/>
      <c r="I856" s="16"/>
      <c r="J856" s="16"/>
      <c r="K856" s="16"/>
      <c r="L856" s="16"/>
      <c r="M856" s="1"/>
      <c r="N856" s="1"/>
      <c r="O856" s="1"/>
      <c r="P856" s="1"/>
      <c r="Q856" s="1"/>
      <c r="R856" s="1"/>
      <c r="S856" s="1"/>
      <c r="T856" s="1"/>
      <c r="U856" s="1"/>
      <c r="V856" s="1"/>
    </row>
    <row r="857" spans="1:22" ht="12.75" customHeight="1" x14ac:dyDescent="0.2">
      <c r="A857" s="16"/>
      <c r="B857" s="16"/>
      <c r="C857" s="16"/>
      <c r="D857" s="16"/>
      <c r="E857" s="16"/>
      <c r="F857" s="16"/>
      <c r="G857" s="16"/>
      <c r="H857" s="16"/>
      <c r="I857" s="16"/>
      <c r="J857" s="16"/>
      <c r="K857" s="16"/>
      <c r="L857" s="16"/>
      <c r="M857" s="1"/>
      <c r="N857" s="1"/>
      <c r="O857" s="1"/>
      <c r="P857" s="1"/>
      <c r="Q857" s="1"/>
      <c r="R857" s="1"/>
      <c r="S857" s="1"/>
      <c r="T857" s="1"/>
      <c r="U857" s="1"/>
      <c r="V857" s="1"/>
    </row>
    <row r="858" spans="1:22" ht="12.75" customHeight="1" x14ac:dyDescent="0.2">
      <c r="A858" s="16"/>
      <c r="B858" s="16"/>
      <c r="C858" s="16"/>
      <c r="D858" s="16"/>
      <c r="E858" s="16"/>
      <c r="F858" s="16"/>
      <c r="G858" s="16"/>
      <c r="H858" s="16"/>
      <c r="I858" s="16"/>
      <c r="J858" s="16"/>
      <c r="K858" s="16"/>
      <c r="L858" s="16"/>
      <c r="M858" s="1"/>
      <c r="N858" s="1"/>
      <c r="O858" s="1"/>
      <c r="P858" s="1"/>
      <c r="Q858" s="1"/>
      <c r="R858" s="1"/>
      <c r="S858" s="1"/>
      <c r="T858" s="1"/>
      <c r="U858" s="1"/>
      <c r="V858" s="1"/>
    </row>
    <row r="859" spans="1:22" ht="12.75" customHeight="1" x14ac:dyDescent="0.2">
      <c r="A859" s="16"/>
      <c r="B859" s="16"/>
      <c r="C859" s="16"/>
      <c r="D859" s="16"/>
      <c r="E859" s="16"/>
      <c r="F859" s="16"/>
      <c r="G859" s="16"/>
      <c r="H859" s="16"/>
      <c r="I859" s="16"/>
      <c r="J859" s="16"/>
      <c r="K859" s="16"/>
      <c r="L859" s="16"/>
      <c r="M859" s="1"/>
      <c r="N859" s="1"/>
      <c r="O859" s="1"/>
      <c r="P859" s="1"/>
      <c r="Q859" s="1"/>
      <c r="R859" s="1"/>
      <c r="S859" s="1"/>
      <c r="T859" s="1"/>
      <c r="U859" s="1"/>
      <c r="V859" s="1"/>
    </row>
    <row r="860" spans="1:22" ht="12.75" customHeight="1" x14ac:dyDescent="0.2">
      <c r="A860" s="16"/>
      <c r="B860" s="16"/>
      <c r="C860" s="16"/>
      <c r="D860" s="16"/>
      <c r="E860" s="16"/>
      <c r="F860" s="16"/>
      <c r="G860" s="16"/>
      <c r="H860" s="16"/>
      <c r="I860" s="16"/>
      <c r="J860" s="16"/>
      <c r="K860" s="16"/>
      <c r="L860" s="16"/>
      <c r="M860" s="1"/>
      <c r="N860" s="1"/>
      <c r="O860" s="1"/>
      <c r="P860" s="1"/>
      <c r="Q860" s="1"/>
      <c r="R860" s="1"/>
      <c r="S860" s="1"/>
      <c r="T860" s="1"/>
      <c r="U860" s="1"/>
      <c r="V860" s="1"/>
    </row>
    <row r="861" spans="1:22" ht="12.75" customHeight="1" x14ac:dyDescent="0.2">
      <c r="A861" s="16"/>
      <c r="B861" s="16"/>
      <c r="C861" s="16"/>
      <c r="D861" s="16"/>
      <c r="E861" s="16"/>
      <c r="F861" s="16"/>
      <c r="G861" s="16"/>
      <c r="H861" s="16"/>
      <c r="I861" s="16"/>
      <c r="J861" s="16"/>
      <c r="K861" s="16"/>
      <c r="L861" s="16"/>
      <c r="M861" s="1"/>
      <c r="N861" s="1"/>
      <c r="O861" s="1"/>
      <c r="P861" s="1"/>
      <c r="Q861" s="1"/>
      <c r="R861" s="1"/>
      <c r="S861" s="1"/>
      <c r="T861" s="1"/>
      <c r="U861" s="1"/>
      <c r="V861" s="1"/>
    </row>
    <row r="862" spans="1:22" ht="12.75" customHeight="1" x14ac:dyDescent="0.2">
      <c r="A862" s="16"/>
      <c r="B862" s="16"/>
      <c r="C862" s="16"/>
      <c r="D862" s="16"/>
      <c r="E862" s="16"/>
      <c r="F862" s="16"/>
      <c r="G862" s="16"/>
      <c r="H862" s="16"/>
      <c r="I862" s="16"/>
      <c r="J862" s="16"/>
      <c r="K862" s="16"/>
      <c r="L862" s="16"/>
      <c r="M862" s="1"/>
      <c r="N862" s="1"/>
      <c r="O862" s="1"/>
      <c r="P862" s="1"/>
      <c r="Q862" s="1"/>
      <c r="R862" s="1"/>
      <c r="S862" s="1"/>
      <c r="T862" s="1"/>
      <c r="U862" s="1"/>
      <c r="V862" s="1"/>
    </row>
    <row r="863" spans="1:22" ht="12.75" customHeight="1" x14ac:dyDescent="0.2">
      <c r="A863" s="16"/>
      <c r="B863" s="16"/>
      <c r="C863" s="16"/>
      <c r="D863" s="16"/>
      <c r="E863" s="16"/>
      <c r="F863" s="16"/>
      <c r="G863" s="16"/>
      <c r="H863" s="16"/>
      <c r="I863" s="16"/>
      <c r="J863" s="16"/>
      <c r="K863" s="16"/>
      <c r="L863" s="16"/>
      <c r="M863" s="1"/>
      <c r="N863" s="1"/>
      <c r="O863" s="1"/>
      <c r="P863" s="1"/>
      <c r="Q863" s="1"/>
      <c r="R863" s="1"/>
      <c r="S863" s="1"/>
      <c r="T863" s="1"/>
      <c r="U863" s="1"/>
      <c r="V863" s="1"/>
    </row>
    <row r="864" spans="1:22" ht="12.75" customHeight="1" x14ac:dyDescent="0.2">
      <c r="A864" s="16"/>
      <c r="B864" s="16"/>
      <c r="C864" s="16"/>
      <c r="D864" s="16"/>
      <c r="E864" s="16"/>
      <c r="F864" s="16"/>
      <c r="G864" s="16"/>
      <c r="H864" s="16"/>
      <c r="I864" s="16"/>
      <c r="J864" s="16"/>
      <c r="K864" s="16"/>
      <c r="L864" s="16"/>
      <c r="M864" s="1"/>
      <c r="N864" s="1"/>
      <c r="O864" s="1"/>
      <c r="P864" s="1"/>
      <c r="Q864" s="1"/>
      <c r="R864" s="1"/>
      <c r="S864" s="1"/>
      <c r="T864" s="1"/>
      <c r="U864" s="1"/>
      <c r="V864" s="1"/>
    </row>
    <row r="865" spans="1:22" ht="12.75" customHeight="1" x14ac:dyDescent="0.2">
      <c r="A865" s="16"/>
      <c r="B865" s="16"/>
      <c r="C865" s="16"/>
      <c r="D865" s="16"/>
      <c r="E865" s="16"/>
      <c r="F865" s="16"/>
      <c r="G865" s="16"/>
      <c r="H865" s="16"/>
      <c r="I865" s="16"/>
      <c r="J865" s="16"/>
      <c r="K865" s="16"/>
      <c r="L865" s="16"/>
      <c r="M865" s="1"/>
      <c r="N865" s="1"/>
      <c r="O865" s="1"/>
      <c r="P865" s="1"/>
      <c r="Q865" s="1"/>
      <c r="R865" s="1"/>
      <c r="S865" s="1"/>
      <c r="T865" s="1"/>
      <c r="U865" s="1"/>
      <c r="V865" s="1"/>
    </row>
    <row r="866" spans="1:22" ht="12.75" customHeight="1" x14ac:dyDescent="0.2">
      <c r="A866" s="16"/>
      <c r="B866" s="16"/>
      <c r="C866" s="16"/>
      <c r="D866" s="16"/>
      <c r="E866" s="16"/>
      <c r="F866" s="16"/>
      <c r="G866" s="16"/>
      <c r="H866" s="16"/>
      <c r="I866" s="16"/>
      <c r="J866" s="16"/>
      <c r="K866" s="16"/>
      <c r="L866" s="16"/>
      <c r="M866" s="1"/>
      <c r="N866" s="1"/>
      <c r="O866" s="1"/>
      <c r="P866" s="1"/>
      <c r="Q866" s="1"/>
      <c r="R866" s="1"/>
      <c r="S866" s="1"/>
      <c r="T866" s="1"/>
      <c r="U866" s="1"/>
      <c r="V866" s="1"/>
    </row>
    <row r="867" spans="1:22" ht="12.75" customHeight="1" x14ac:dyDescent="0.2">
      <c r="A867" s="16"/>
      <c r="B867" s="16"/>
      <c r="C867" s="16"/>
      <c r="D867" s="16"/>
      <c r="E867" s="16"/>
      <c r="F867" s="16"/>
      <c r="G867" s="16"/>
      <c r="H867" s="16"/>
      <c r="I867" s="16"/>
      <c r="J867" s="16"/>
      <c r="K867" s="16"/>
      <c r="L867" s="16"/>
      <c r="M867" s="1"/>
      <c r="N867" s="1"/>
      <c r="O867" s="1"/>
      <c r="P867" s="1"/>
      <c r="Q867" s="1"/>
      <c r="R867" s="1"/>
      <c r="S867" s="1"/>
      <c r="T867" s="1"/>
      <c r="U867" s="1"/>
      <c r="V867" s="1"/>
    </row>
    <row r="868" spans="1:22" ht="12.75" customHeight="1" x14ac:dyDescent="0.2">
      <c r="A868" s="16"/>
      <c r="B868" s="16"/>
      <c r="C868" s="16"/>
      <c r="D868" s="16"/>
      <c r="E868" s="16"/>
      <c r="F868" s="16"/>
      <c r="G868" s="16"/>
      <c r="H868" s="16"/>
      <c r="I868" s="16"/>
      <c r="J868" s="16"/>
      <c r="K868" s="16"/>
      <c r="L868" s="16"/>
      <c r="M868" s="1"/>
      <c r="N868" s="1"/>
      <c r="O868" s="1"/>
      <c r="P868" s="1"/>
      <c r="Q868" s="1"/>
      <c r="R868" s="1"/>
      <c r="S868" s="1"/>
      <c r="T868" s="1"/>
      <c r="U868" s="1"/>
      <c r="V868" s="1"/>
    </row>
    <row r="869" spans="1:22" ht="12.75" customHeight="1" x14ac:dyDescent="0.2">
      <c r="A869" s="16"/>
      <c r="B869" s="16"/>
      <c r="C869" s="16"/>
      <c r="D869" s="16"/>
      <c r="E869" s="16"/>
      <c r="F869" s="16"/>
      <c r="G869" s="16"/>
      <c r="H869" s="16"/>
      <c r="I869" s="16"/>
      <c r="J869" s="16"/>
      <c r="K869" s="16"/>
      <c r="L869" s="16"/>
      <c r="M869" s="1"/>
      <c r="N869" s="1"/>
      <c r="O869" s="1"/>
      <c r="P869" s="1"/>
      <c r="Q869" s="1"/>
      <c r="R869" s="1"/>
      <c r="S869" s="1"/>
      <c r="T869" s="1"/>
      <c r="U869" s="1"/>
      <c r="V869" s="1"/>
    </row>
    <row r="870" spans="1:22" ht="12.75" customHeight="1" x14ac:dyDescent="0.2">
      <c r="A870" s="16"/>
      <c r="B870" s="16"/>
      <c r="C870" s="16"/>
      <c r="D870" s="16"/>
      <c r="E870" s="16"/>
      <c r="F870" s="16"/>
      <c r="G870" s="16"/>
      <c r="H870" s="16"/>
      <c r="I870" s="16"/>
      <c r="J870" s="16"/>
      <c r="K870" s="16"/>
      <c r="L870" s="16"/>
      <c r="M870" s="1"/>
      <c r="N870" s="1"/>
      <c r="O870" s="1"/>
      <c r="P870" s="1"/>
      <c r="Q870" s="1"/>
      <c r="R870" s="1"/>
      <c r="S870" s="1"/>
      <c r="T870" s="1"/>
      <c r="U870" s="1"/>
      <c r="V870" s="1"/>
    </row>
    <row r="871" spans="1:22" ht="12.75" customHeight="1" x14ac:dyDescent="0.2">
      <c r="A871" s="16"/>
      <c r="B871" s="16"/>
      <c r="C871" s="16"/>
      <c r="D871" s="16"/>
      <c r="E871" s="16"/>
      <c r="F871" s="16"/>
      <c r="G871" s="16"/>
      <c r="H871" s="16"/>
      <c r="I871" s="16"/>
      <c r="J871" s="16"/>
      <c r="K871" s="16"/>
      <c r="L871" s="16"/>
      <c r="M871" s="1"/>
      <c r="N871" s="1"/>
      <c r="O871" s="1"/>
      <c r="P871" s="1"/>
      <c r="Q871" s="1"/>
      <c r="R871" s="1"/>
      <c r="S871" s="1"/>
      <c r="T871" s="1"/>
      <c r="U871" s="1"/>
      <c r="V871" s="1"/>
    </row>
    <row r="872" spans="1:22" ht="12.75" customHeight="1" x14ac:dyDescent="0.2">
      <c r="A872" s="16"/>
      <c r="B872" s="16"/>
      <c r="C872" s="16"/>
      <c r="D872" s="16"/>
      <c r="E872" s="16"/>
      <c r="F872" s="16"/>
      <c r="G872" s="16"/>
      <c r="H872" s="16"/>
      <c r="I872" s="16"/>
      <c r="J872" s="16"/>
      <c r="K872" s="16"/>
      <c r="L872" s="16"/>
      <c r="M872" s="1"/>
      <c r="N872" s="1"/>
      <c r="O872" s="1"/>
      <c r="P872" s="1"/>
      <c r="Q872" s="1"/>
      <c r="R872" s="1"/>
      <c r="S872" s="1"/>
      <c r="T872" s="1"/>
      <c r="U872" s="1"/>
      <c r="V872" s="1"/>
    </row>
    <row r="873" spans="1:22" ht="12.75" customHeight="1" x14ac:dyDescent="0.2">
      <c r="A873" s="16"/>
      <c r="B873" s="16"/>
      <c r="C873" s="16"/>
      <c r="D873" s="16"/>
      <c r="E873" s="16"/>
      <c r="F873" s="16"/>
      <c r="G873" s="16"/>
      <c r="H873" s="16"/>
      <c r="I873" s="16"/>
      <c r="J873" s="16"/>
      <c r="K873" s="16"/>
      <c r="L873" s="16"/>
      <c r="M873" s="1"/>
      <c r="N873" s="1"/>
      <c r="O873" s="1"/>
      <c r="P873" s="1"/>
      <c r="Q873" s="1"/>
      <c r="R873" s="1"/>
      <c r="S873" s="1"/>
      <c r="T873" s="1"/>
      <c r="U873" s="1"/>
      <c r="V873" s="1"/>
    </row>
    <row r="874" spans="1:22" ht="12.75" customHeight="1" x14ac:dyDescent="0.2">
      <c r="A874" s="16"/>
      <c r="B874" s="16"/>
      <c r="C874" s="16"/>
      <c r="D874" s="16"/>
      <c r="E874" s="16"/>
      <c r="F874" s="16"/>
      <c r="G874" s="16"/>
      <c r="H874" s="16"/>
      <c r="I874" s="16"/>
      <c r="J874" s="16"/>
      <c r="K874" s="16"/>
      <c r="L874" s="16"/>
      <c r="M874" s="1"/>
      <c r="N874" s="1"/>
      <c r="O874" s="1"/>
      <c r="P874" s="1"/>
      <c r="Q874" s="1"/>
      <c r="R874" s="1"/>
      <c r="S874" s="1"/>
      <c r="T874" s="1"/>
      <c r="U874" s="1"/>
      <c r="V874" s="1"/>
    </row>
    <row r="875" spans="1:22" ht="12.75" customHeight="1" x14ac:dyDescent="0.2">
      <c r="A875" s="16"/>
      <c r="B875" s="16"/>
      <c r="C875" s="16"/>
      <c r="D875" s="16"/>
      <c r="E875" s="16"/>
      <c r="F875" s="16"/>
      <c r="G875" s="16"/>
      <c r="H875" s="16"/>
      <c r="I875" s="16"/>
      <c r="J875" s="16"/>
      <c r="K875" s="16"/>
      <c r="L875" s="16"/>
      <c r="M875" s="1"/>
      <c r="N875" s="1"/>
      <c r="O875" s="1"/>
      <c r="P875" s="1"/>
      <c r="Q875" s="1"/>
      <c r="R875" s="1"/>
      <c r="S875" s="1"/>
      <c r="T875" s="1"/>
      <c r="U875" s="1"/>
      <c r="V875" s="1"/>
    </row>
    <row r="876" spans="1:22" ht="12.75" customHeight="1" x14ac:dyDescent="0.2">
      <c r="A876" s="16"/>
      <c r="B876" s="16"/>
      <c r="C876" s="16"/>
      <c r="D876" s="16"/>
      <c r="E876" s="16"/>
      <c r="F876" s="16"/>
      <c r="G876" s="16"/>
      <c r="H876" s="16"/>
      <c r="I876" s="16"/>
      <c r="J876" s="16"/>
      <c r="K876" s="16"/>
      <c r="L876" s="16"/>
      <c r="M876" s="1"/>
      <c r="N876" s="1"/>
      <c r="O876" s="1"/>
      <c r="P876" s="1"/>
      <c r="Q876" s="1"/>
      <c r="R876" s="1"/>
      <c r="S876" s="1"/>
      <c r="T876" s="1"/>
      <c r="U876" s="1"/>
      <c r="V876" s="1"/>
    </row>
    <row r="877" spans="1:22" ht="12.75" customHeight="1" x14ac:dyDescent="0.2">
      <c r="A877" s="16"/>
      <c r="B877" s="16"/>
      <c r="C877" s="16"/>
      <c r="D877" s="16"/>
      <c r="E877" s="16"/>
      <c r="F877" s="16"/>
      <c r="G877" s="16"/>
      <c r="H877" s="16"/>
      <c r="I877" s="16"/>
      <c r="J877" s="16"/>
      <c r="K877" s="16"/>
      <c r="L877" s="16"/>
      <c r="M877" s="1"/>
      <c r="N877" s="1"/>
      <c r="O877" s="1"/>
      <c r="P877" s="1"/>
      <c r="Q877" s="1"/>
      <c r="R877" s="1"/>
      <c r="S877" s="1"/>
      <c r="T877" s="1"/>
      <c r="U877" s="1"/>
      <c r="V877" s="1"/>
    </row>
    <row r="878" spans="1:22" ht="12.75" customHeight="1" x14ac:dyDescent="0.2">
      <c r="A878" s="16"/>
      <c r="B878" s="16"/>
      <c r="C878" s="16"/>
      <c r="D878" s="16"/>
      <c r="E878" s="16"/>
      <c r="F878" s="16"/>
      <c r="G878" s="16"/>
      <c r="H878" s="16"/>
      <c r="I878" s="16"/>
      <c r="J878" s="16"/>
      <c r="K878" s="16"/>
      <c r="L878" s="16"/>
      <c r="M878" s="1"/>
      <c r="N878" s="1"/>
      <c r="O878" s="1"/>
      <c r="P878" s="1"/>
      <c r="Q878" s="1"/>
      <c r="R878" s="1"/>
      <c r="S878" s="1"/>
      <c r="T878" s="1"/>
      <c r="U878" s="1"/>
      <c r="V878" s="1"/>
    </row>
    <row r="879" spans="1:22" ht="12.75" customHeight="1" x14ac:dyDescent="0.2">
      <c r="A879" s="16"/>
      <c r="B879" s="16"/>
      <c r="C879" s="16"/>
      <c r="D879" s="16"/>
      <c r="E879" s="16"/>
      <c r="F879" s="16"/>
      <c r="G879" s="16"/>
      <c r="H879" s="16"/>
      <c r="I879" s="16"/>
      <c r="J879" s="16"/>
      <c r="K879" s="16"/>
      <c r="L879" s="16"/>
      <c r="M879" s="1"/>
      <c r="N879" s="1"/>
      <c r="O879" s="1"/>
      <c r="P879" s="1"/>
      <c r="Q879" s="1"/>
      <c r="R879" s="1"/>
      <c r="S879" s="1"/>
      <c r="T879" s="1"/>
      <c r="U879" s="1"/>
      <c r="V879" s="1"/>
    </row>
    <row r="880" spans="1:22" ht="12.75" customHeight="1" x14ac:dyDescent="0.2">
      <c r="A880" s="16"/>
      <c r="B880" s="16"/>
      <c r="C880" s="16"/>
      <c r="D880" s="16"/>
      <c r="E880" s="16"/>
      <c r="F880" s="16"/>
      <c r="G880" s="16"/>
      <c r="H880" s="16"/>
      <c r="I880" s="16"/>
      <c r="J880" s="16"/>
      <c r="K880" s="16"/>
      <c r="L880" s="16"/>
      <c r="M880" s="1"/>
      <c r="N880" s="1"/>
      <c r="O880" s="1"/>
      <c r="P880" s="1"/>
      <c r="Q880" s="1"/>
      <c r="R880" s="1"/>
      <c r="S880" s="1"/>
      <c r="T880" s="1"/>
      <c r="U880" s="1"/>
      <c r="V880" s="1"/>
    </row>
    <row r="881" spans="1:22" ht="12.75" customHeight="1" x14ac:dyDescent="0.2">
      <c r="A881" s="16"/>
      <c r="B881" s="16"/>
      <c r="C881" s="16"/>
      <c r="D881" s="16"/>
      <c r="E881" s="16"/>
      <c r="F881" s="16"/>
      <c r="G881" s="16"/>
      <c r="H881" s="16"/>
      <c r="I881" s="16"/>
      <c r="J881" s="16"/>
      <c r="K881" s="16"/>
      <c r="L881" s="16"/>
      <c r="M881" s="1"/>
      <c r="N881" s="1"/>
      <c r="O881" s="1"/>
      <c r="P881" s="1"/>
      <c r="Q881" s="1"/>
      <c r="R881" s="1"/>
      <c r="S881" s="1"/>
      <c r="T881" s="1"/>
      <c r="U881" s="1"/>
      <c r="V881" s="1"/>
    </row>
    <row r="882" spans="1:22" ht="12.75" customHeight="1" x14ac:dyDescent="0.2">
      <c r="A882" s="16"/>
      <c r="B882" s="16"/>
      <c r="C882" s="16"/>
      <c r="D882" s="16"/>
      <c r="E882" s="16"/>
      <c r="F882" s="16"/>
      <c r="G882" s="16"/>
      <c r="H882" s="16"/>
      <c r="I882" s="16"/>
      <c r="J882" s="16"/>
      <c r="K882" s="16"/>
      <c r="L882" s="16"/>
      <c r="M882" s="1"/>
      <c r="N882" s="1"/>
      <c r="O882" s="1"/>
      <c r="P882" s="1"/>
      <c r="Q882" s="1"/>
      <c r="R882" s="1"/>
      <c r="S882" s="1"/>
      <c r="T882" s="1"/>
      <c r="U882" s="1"/>
      <c r="V882" s="1"/>
    </row>
    <row r="883" spans="1:22" ht="12.75" customHeight="1" x14ac:dyDescent="0.2">
      <c r="A883" s="16"/>
      <c r="B883" s="16"/>
      <c r="C883" s="16"/>
      <c r="D883" s="16"/>
      <c r="E883" s="16"/>
      <c r="F883" s="16"/>
      <c r="G883" s="16"/>
      <c r="H883" s="16"/>
      <c r="I883" s="16"/>
      <c r="J883" s="16"/>
      <c r="K883" s="16"/>
      <c r="L883" s="16"/>
      <c r="M883" s="1"/>
      <c r="N883" s="1"/>
      <c r="O883" s="1"/>
      <c r="P883" s="1"/>
      <c r="Q883" s="1"/>
      <c r="R883" s="1"/>
      <c r="S883" s="1"/>
      <c r="T883" s="1"/>
      <c r="U883" s="1"/>
      <c r="V883" s="1"/>
    </row>
    <row r="884" spans="1:22" ht="12.75" customHeight="1" x14ac:dyDescent="0.2">
      <c r="A884" s="16"/>
      <c r="B884" s="16"/>
      <c r="C884" s="16"/>
      <c r="D884" s="16"/>
      <c r="E884" s="16"/>
      <c r="F884" s="16"/>
      <c r="G884" s="16"/>
      <c r="H884" s="16"/>
      <c r="I884" s="16"/>
      <c r="J884" s="16"/>
      <c r="K884" s="16"/>
      <c r="L884" s="16"/>
      <c r="M884" s="1"/>
      <c r="N884" s="1"/>
      <c r="O884" s="1"/>
      <c r="P884" s="1"/>
      <c r="Q884" s="1"/>
      <c r="R884" s="1"/>
      <c r="S884" s="1"/>
      <c r="T884" s="1"/>
      <c r="U884" s="1"/>
      <c r="V884" s="1"/>
    </row>
    <row r="885" spans="1:22" ht="12.75" customHeight="1" x14ac:dyDescent="0.2">
      <c r="A885" s="16"/>
      <c r="B885" s="16"/>
      <c r="C885" s="16"/>
      <c r="D885" s="16"/>
      <c r="E885" s="16"/>
      <c r="F885" s="16"/>
      <c r="G885" s="16"/>
      <c r="H885" s="16"/>
      <c r="I885" s="16"/>
      <c r="J885" s="16"/>
      <c r="K885" s="16"/>
      <c r="L885" s="16"/>
      <c r="M885" s="1"/>
      <c r="N885" s="1"/>
      <c r="O885" s="1"/>
      <c r="P885" s="1"/>
      <c r="Q885" s="1"/>
      <c r="R885" s="1"/>
      <c r="S885" s="1"/>
      <c r="T885" s="1"/>
      <c r="U885" s="1"/>
      <c r="V885" s="1"/>
    </row>
    <row r="886" spans="1:22" ht="12.75" customHeight="1" x14ac:dyDescent="0.2">
      <c r="A886" s="16"/>
      <c r="B886" s="16"/>
      <c r="C886" s="16"/>
      <c r="D886" s="16"/>
      <c r="E886" s="16"/>
      <c r="F886" s="16"/>
      <c r="G886" s="16"/>
      <c r="H886" s="16"/>
      <c r="I886" s="16"/>
      <c r="J886" s="16"/>
      <c r="K886" s="16"/>
      <c r="L886" s="16"/>
      <c r="M886" s="1"/>
      <c r="N886" s="1"/>
      <c r="O886" s="1"/>
      <c r="P886" s="1"/>
      <c r="Q886" s="1"/>
      <c r="R886" s="1"/>
      <c r="S886" s="1"/>
      <c r="T886" s="1"/>
      <c r="U886" s="1"/>
      <c r="V886" s="1"/>
    </row>
    <row r="887" spans="1:22" ht="12.75" customHeight="1" x14ac:dyDescent="0.2">
      <c r="A887" s="16"/>
      <c r="B887" s="16"/>
      <c r="C887" s="16"/>
      <c r="D887" s="16"/>
      <c r="E887" s="16"/>
      <c r="F887" s="16"/>
      <c r="G887" s="16"/>
      <c r="H887" s="16"/>
      <c r="I887" s="16"/>
      <c r="J887" s="16"/>
      <c r="K887" s="16"/>
      <c r="L887" s="16"/>
      <c r="M887" s="1"/>
      <c r="N887" s="1"/>
      <c r="O887" s="1"/>
      <c r="P887" s="1"/>
      <c r="Q887" s="1"/>
      <c r="R887" s="1"/>
      <c r="S887" s="1"/>
      <c r="T887" s="1"/>
      <c r="U887" s="1"/>
      <c r="V887" s="1"/>
    </row>
    <row r="888" spans="1:22" ht="12.75" customHeight="1" x14ac:dyDescent="0.2">
      <c r="A888" s="16"/>
      <c r="B888" s="16"/>
      <c r="C888" s="16"/>
      <c r="D888" s="16"/>
      <c r="E888" s="16"/>
      <c r="F888" s="16"/>
      <c r="G888" s="16"/>
      <c r="H888" s="16"/>
      <c r="I888" s="16"/>
      <c r="J888" s="16"/>
      <c r="K888" s="16"/>
      <c r="L888" s="16"/>
      <c r="M888" s="1"/>
      <c r="N888" s="1"/>
      <c r="O888" s="1"/>
      <c r="P888" s="1"/>
      <c r="Q888" s="1"/>
      <c r="R888" s="1"/>
      <c r="S888" s="1"/>
      <c r="T888" s="1"/>
      <c r="U888" s="1"/>
      <c r="V888" s="1"/>
    </row>
    <row r="889" spans="1:22" ht="12.75" customHeight="1" x14ac:dyDescent="0.2">
      <c r="A889" s="16"/>
      <c r="B889" s="16"/>
      <c r="C889" s="16"/>
      <c r="D889" s="16"/>
      <c r="E889" s="16"/>
      <c r="F889" s="16"/>
      <c r="G889" s="16"/>
      <c r="H889" s="16"/>
      <c r="I889" s="16"/>
      <c r="J889" s="16"/>
      <c r="K889" s="16"/>
      <c r="L889" s="16"/>
      <c r="M889" s="1"/>
      <c r="N889" s="1"/>
      <c r="O889" s="1"/>
      <c r="P889" s="1"/>
      <c r="Q889" s="1"/>
      <c r="R889" s="1"/>
      <c r="S889" s="1"/>
      <c r="T889" s="1"/>
      <c r="U889" s="1"/>
      <c r="V889" s="1"/>
    </row>
    <row r="890" spans="1:22" ht="12.75" customHeight="1" x14ac:dyDescent="0.2">
      <c r="A890" s="16"/>
      <c r="B890" s="16"/>
      <c r="C890" s="16"/>
      <c r="D890" s="16"/>
      <c r="E890" s="16"/>
      <c r="F890" s="16"/>
      <c r="G890" s="16"/>
      <c r="H890" s="16"/>
      <c r="I890" s="16"/>
      <c r="J890" s="16"/>
      <c r="K890" s="16"/>
      <c r="L890" s="16"/>
      <c r="M890" s="1"/>
      <c r="N890" s="1"/>
      <c r="O890" s="1"/>
      <c r="P890" s="1"/>
      <c r="Q890" s="1"/>
      <c r="R890" s="1"/>
      <c r="S890" s="1"/>
      <c r="T890" s="1"/>
      <c r="U890" s="1"/>
      <c r="V890" s="1"/>
    </row>
    <row r="891" spans="1:22" ht="12.75" customHeight="1" x14ac:dyDescent="0.2">
      <c r="A891" s="16"/>
      <c r="B891" s="16"/>
      <c r="C891" s="16"/>
      <c r="D891" s="16"/>
      <c r="E891" s="16"/>
      <c r="F891" s="16"/>
      <c r="G891" s="16"/>
      <c r="H891" s="16"/>
      <c r="I891" s="16"/>
      <c r="J891" s="16"/>
      <c r="K891" s="16"/>
      <c r="L891" s="16"/>
      <c r="M891" s="1"/>
      <c r="N891" s="1"/>
      <c r="O891" s="1"/>
      <c r="P891" s="1"/>
      <c r="Q891" s="1"/>
      <c r="R891" s="1"/>
      <c r="S891" s="1"/>
      <c r="T891" s="1"/>
      <c r="U891" s="1"/>
      <c r="V891" s="1"/>
    </row>
    <row r="892" spans="1:22" ht="12.75" customHeight="1" x14ac:dyDescent="0.2">
      <c r="A892" s="16"/>
      <c r="B892" s="16"/>
      <c r="C892" s="16"/>
      <c r="D892" s="16"/>
      <c r="E892" s="16"/>
      <c r="F892" s="16"/>
      <c r="G892" s="16"/>
      <c r="H892" s="16"/>
      <c r="I892" s="16"/>
      <c r="J892" s="16"/>
      <c r="K892" s="16"/>
      <c r="L892" s="16"/>
      <c r="M892" s="1"/>
      <c r="N892" s="1"/>
      <c r="O892" s="1"/>
      <c r="P892" s="1"/>
      <c r="Q892" s="1"/>
      <c r="R892" s="1"/>
      <c r="S892" s="1"/>
      <c r="T892" s="1"/>
      <c r="U892" s="1"/>
      <c r="V892" s="1"/>
    </row>
    <row r="893" spans="1:22" ht="12.75" customHeight="1" x14ac:dyDescent="0.2">
      <c r="A893" s="16"/>
      <c r="B893" s="16"/>
      <c r="C893" s="16"/>
      <c r="D893" s="16"/>
      <c r="E893" s="16"/>
      <c r="F893" s="16"/>
      <c r="G893" s="16"/>
      <c r="H893" s="16"/>
      <c r="I893" s="16"/>
      <c r="J893" s="16"/>
      <c r="K893" s="16"/>
      <c r="L893" s="16"/>
      <c r="M893" s="1"/>
      <c r="N893" s="1"/>
      <c r="O893" s="1"/>
      <c r="P893" s="1"/>
      <c r="Q893" s="1"/>
      <c r="R893" s="1"/>
      <c r="S893" s="1"/>
      <c r="T893" s="1"/>
      <c r="U893" s="1"/>
      <c r="V893" s="1"/>
    </row>
    <row r="894" spans="1:22" ht="12.75" customHeight="1" x14ac:dyDescent="0.2">
      <c r="A894" s="16"/>
      <c r="B894" s="16"/>
      <c r="C894" s="16"/>
      <c r="D894" s="16"/>
      <c r="E894" s="16"/>
      <c r="F894" s="16"/>
      <c r="G894" s="16"/>
      <c r="H894" s="16"/>
      <c r="I894" s="16"/>
      <c r="J894" s="16"/>
      <c r="K894" s="16"/>
      <c r="L894" s="16"/>
      <c r="M894" s="1"/>
      <c r="N894" s="1"/>
      <c r="O894" s="1"/>
      <c r="P894" s="1"/>
      <c r="Q894" s="1"/>
      <c r="R894" s="1"/>
      <c r="S894" s="1"/>
      <c r="T894" s="1"/>
      <c r="U894" s="1"/>
      <c r="V894" s="1"/>
    </row>
    <row r="895" spans="1:22" ht="12.75" customHeight="1" x14ac:dyDescent="0.2">
      <c r="A895" s="16"/>
      <c r="B895" s="16"/>
      <c r="C895" s="16"/>
      <c r="D895" s="16"/>
      <c r="E895" s="16"/>
      <c r="F895" s="16"/>
      <c r="G895" s="16"/>
      <c r="H895" s="16"/>
      <c r="I895" s="16"/>
      <c r="J895" s="16"/>
      <c r="K895" s="16"/>
      <c r="L895" s="16"/>
      <c r="M895" s="1"/>
      <c r="N895" s="1"/>
      <c r="O895" s="1"/>
      <c r="P895" s="1"/>
      <c r="Q895" s="1"/>
      <c r="R895" s="1"/>
      <c r="S895" s="1"/>
      <c r="T895" s="1"/>
      <c r="U895" s="1"/>
      <c r="V895" s="1"/>
    </row>
    <row r="896" spans="1:22" ht="12.75" customHeight="1" x14ac:dyDescent="0.2">
      <c r="A896" s="16"/>
      <c r="B896" s="16"/>
      <c r="C896" s="16"/>
      <c r="D896" s="16"/>
      <c r="E896" s="16"/>
      <c r="F896" s="16"/>
      <c r="G896" s="16"/>
      <c r="H896" s="16"/>
      <c r="I896" s="16"/>
      <c r="J896" s="16"/>
      <c r="K896" s="16"/>
      <c r="L896" s="16"/>
      <c r="M896" s="1"/>
      <c r="N896" s="1"/>
      <c r="O896" s="1"/>
      <c r="P896" s="1"/>
      <c r="Q896" s="1"/>
      <c r="R896" s="1"/>
      <c r="S896" s="1"/>
      <c r="T896" s="1"/>
      <c r="U896" s="1"/>
      <c r="V896" s="1"/>
    </row>
    <row r="897" spans="1:22" ht="12.75" customHeight="1" x14ac:dyDescent="0.2">
      <c r="A897" s="16"/>
      <c r="B897" s="16"/>
      <c r="C897" s="16"/>
      <c r="D897" s="16"/>
      <c r="E897" s="16"/>
      <c r="F897" s="16"/>
      <c r="G897" s="16"/>
      <c r="H897" s="16"/>
      <c r="I897" s="16"/>
      <c r="J897" s="16"/>
      <c r="K897" s="16"/>
      <c r="L897" s="16"/>
      <c r="M897" s="1"/>
      <c r="N897" s="1"/>
      <c r="O897" s="1"/>
      <c r="P897" s="1"/>
      <c r="Q897" s="1"/>
      <c r="R897" s="1"/>
      <c r="S897" s="1"/>
      <c r="T897" s="1"/>
      <c r="U897" s="1"/>
      <c r="V897" s="1"/>
    </row>
    <row r="898" spans="1:22" ht="12.75" customHeight="1" x14ac:dyDescent="0.2">
      <c r="A898" s="16"/>
      <c r="B898" s="16"/>
      <c r="C898" s="16"/>
      <c r="D898" s="16"/>
      <c r="E898" s="16"/>
      <c r="F898" s="16"/>
      <c r="G898" s="16"/>
      <c r="H898" s="16"/>
      <c r="I898" s="16"/>
      <c r="J898" s="16"/>
      <c r="K898" s="16"/>
      <c r="L898" s="16"/>
      <c r="M898" s="1"/>
      <c r="N898" s="1"/>
      <c r="O898" s="1"/>
      <c r="P898" s="1"/>
      <c r="Q898" s="1"/>
      <c r="R898" s="1"/>
      <c r="S898" s="1"/>
      <c r="T898" s="1"/>
      <c r="U898" s="1"/>
      <c r="V898" s="1"/>
    </row>
    <row r="899" spans="1:22" ht="12.75" customHeight="1" x14ac:dyDescent="0.2">
      <c r="A899" s="16"/>
      <c r="B899" s="16"/>
      <c r="C899" s="16"/>
      <c r="D899" s="16"/>
      <c r="E899" s="16"/>
      <c r="F899" s="16"/>
      <c r="G899" s="16"/>
      <c r="H899" s="16"/>
      <c r="I899" s="16"/>
      <c r="J899" s="16"/>
      <c r="K899" s="16"/>
      <c r="L899" s="16"/>
      <c r="M899" s="1"/>
      <c r="N899" s="1"/>
      <c r="O899" s="1"/>
      <c r="P899" s="1"/>
      <c r="Q899" s="1"/>
      <c r="R899" s="1"/>
      <c r="S899" s="1"/>
      <c r="T899" s="1"/>
      <c r="U899" s="1"/>
      <c r="V899" s="1"/>
    </row>
    <row r="900" spans="1:22" ht="12.75" customHeight="1" x14ac:dyDescent="0.2">
      <c r="A900" s="16"/>
      <c r="B900" s="16"/>
      <c r="C900" s="16"/>
      <c r="D900" s="16"/>
      <c r="E900" s="16"/>
      <c r="F900" s="16"/>
      <c r="G900" s="16"/>
      <c r="H900" s="16"/>
      <c r="I900" s="16"/>
      <c r="J900" s="16"/>
      <c r="K900" s="16"/>
      <c r="L900" s="16"/>
      <c r="M900" s="1"/>
      <c r="N900" s="1"/>
      <c r="O900" s="1"/>
      <c r="P900" s="1"/>
      <c r="Q900" s="1"/>
      <c r="R900" s="1"/>
      <c r="S900" s="1"/>
      <c r="T900" s="1"/>
      <c r="U900" s="1"/>
      <c r="V900" s="1"/>
    </row>
    <row r="901" spans="1:22" ht="12.75" customHeight="1" x14ac:dyDescent="0.2">
      <c r="A901" s="16"/>
      <c r="B901" s="16"/>
      <c r="C901" s="16"/>
      <c r="D901" s="16"/>
      <c r="E901" s="16"/>
      <c r="F901" s="16"/>
      <c r="G901" s="16"/>
      <c r="H901" s="16"/>
      <c r="I901" s="16"/>
      <c r="J901" s="16"/>
      <c r="K901" s="16"/>
      <c r="L901" s="16"/>
      <c r="M901" s="1"/>
      <c r="N901" s="1"/>
      <c r="O901" s="1"/>
      <c r="P901" s="1"/>
      <c r="Q901" s="1"/>
      <c r="R901" s="1"/>
      <c r="S901" s="1"/>
      <c r="T901" s="1"/>
      <c r="U901" s="1"/>
      <c r="V901" s="1"/>
    </row>
    <row r="902" spans="1:22" ht="12.75" customHeight="1" x14ac:dyDescent="0.2">
      <c r="A902" s="16"/>
      <c r="B902" s="16"/>
      <c r="C902" s="16"/>
      <c r="D902" s="16"/>
      <c r="E902" s="16"/>
      <c r="F902" s="16"/>
      <c r="G902" s="16"/>
      <c r="H902" s="16"/>
      <c r="I902" s="16"/>
      <c r="J902" s="16"/>
      <c r="K902" s="16"/>
      <c r="L902" s="16"/>
      <c r="M902" s="1"/>
      <c r="N902" s="1"/>
      <c r="O902" s="1"/>
      <c r="P902" s="1"/>
      <c r="Q902" s="1"/>
      <c r="R902" s="1"/>
      <c r="S902" s="1"/>
      <c r="T902" s="1"/>
      <c r="U902" s="1"/>
      <c r="V902" s="1"/>
    </row>
    <row r="903" spans="1:22" ht="12.75" customHeight="1" x14ac:dyDescent="0.2">
      <c r="A903" s="16"/>
      <c r="B903" s="16"/>
      <c r="C903" s="16"/>
      <c r="D903" s="16"/>
      <c r="E903" s="16"/>
      <c r="F903" s="16"/>
      <c r="G903" s="16"/>
      <c r="H903" s="16"/>
      <c r="I903" s="16"/>
      <c r="J903" s="16"/>
      <c r="K903" s="16"/>
      <c r="L903" s="16"/>
      <c r="M903" s="1"/>
      <c r="N903" s="1"/>
      <c r="O903" s="1"/>
      <c r="P903" s="1"/>
      <c r="Q903" s="1"/>
      <c r="R903" s="1"/>
      <c r="S903" s="1"/>
      <c r="T903" s="1"/>
      <c r="U903" s="1"/>
      <c r="V903" s="1"/>
    </row>
    <row r="904" spans="1:22" ht="12.75" customHeight="1" x14ac:dyDescent="0.2">
      <c r="A904" s="16"/>
      <c r="B904" s="16"/>
      <c r="C904" s="16"/>
      <c r="D904" s="16"/>
      <c r="E904" s="16"/>
      <c r="F904" s="16"/>
      <c r="G904" s="16"/>
      <c r="H904" s="16"/>
      <c r="I904" s="16"/>
      <c r="J904" s="16"/>
      <c r="K904" s="16"/>
      <c r="L904" s="16"/>
      <c r="M904" s="1"/>
      <c r="N904" s="1"/>
      <c r="O904" s="1"/>
      <c r="P904" s="1"/>
      <c r="Q904" s="1"/>
      <c r="R904" s="1"/>
      <c r="S904" s="1"/>
      <c r="T904" s="1"/>
      <c r="U904" s="1"/>
      <c r="V904" s="1"/>
    </row>
    <row r="905" spans="1:22" ht="12.75" customHeight="1" x14ac:dyDescent="0.2">
      <c r="A905" s="16"/>
      <c r="B905" s="16"/>
      <c r="C905" s="16"/>
      <c r="D905" s="16"/>
      <c r="E905" s="16"/>
      <c r="F905" s="16"/>
      <c r="G905" s="16"/>
      <c r="H905" s="16"/>
      <c r="I905" s="16"/>
      <c r="J905" s="16"/>
      <c r="K905" s="16"/>
      <c r="L905" s="16"/>
      <c r="M905" s="1"/>
      <c r="N905" s="1"/>
      <c r="O905" s="1"/>
      <c r="P905" s="1"/>
      <c r="Q905" s="1"/>
      <c r="R905" s="1"/>
      <c r="S905" s="1"/>
      <c r="T905" s="1"/>
      <c r="U905" s="1"/>
      <c r="V905" s="1"/>
    </row>
    <row r="906" spans="1:22" ht="12.75" customHeight="1" x14ac:dyDescent="0.2">
      <c r="A906" s="16"/>
      <c r="B906" s="16"/>
      <c r="C906" s="16"/>
      <c r="D906" s="16"/>
      <c r="E906" s="16"/>
      <c r="F906" s="16"/>
      <c r="G906" s="16"/>
      <c r="H906" s="16"/>
      <c r="I906" s="16"/>
      <c r="J906" s="16"/>
      <c r="K906" s="16"/>
      <c r="L906" s="16"/>
      <c r="M906" s="1"/>
      <c r="N906" s="1"/>
      <c r="O906" s="1"/>
      <c r="P906" s="1"/>
      <c r="Q906" s="1"/>
      <c r="R906" s="1"/>
      <c r="S906" s="1"/>
      <c r="T906" s="1"/>
      <c r="U906" s="1"/>
      <c r="V906" s="1"/>
    </row>
    <row r="907" spans="1:22" ht="12.75" customHeight="1" x14ac:dyDescent="0.2">
      <c r="A907" s="16"/>
      <c r="B907" s="16"/>
      <c r="C907" s="16"/>
      <c r="D907" s="16"/>
      <c r="E907" s="16"/>
      <c r="F907" s="16"/>
      <c r="G907" s="16"/>
      <c r="H907" s="16"/>
      <c r="I907" s="16"/>
      <c r="J907" s="16"/>
      <c r="K907" s="16"/>
      <c r="L907" s="16"/>
      <c r="M907" s="1"/>
      <c r="N907" s="1"/>
      <c r="O907" s="1"/>
      <c r="P907" s="1"/>
      <c r="Q907" s="1"/>
      <c r="R907" s="1"/>
      <c r="S907" s="1"/>
      <c r="T907" s="1"/>
      <c r="U907" s="1"/>
      <c r="V907" s="1"/>
    </row>
    <row r="908" spans="1:22" ht="12.75" customHeight="1" x14ac:dyDescent="0.2">
      <c r="A908" s="16"/>
      <c r="B908" s="16"/>
      <c r="C908" s="16"/>
      <c r="D908" s="16"/>
      <c r="E908" s="16"/>
      <c r="F908" s="16"/>
      <c r="G908" s="16"/>
      <c r="H908" s="16"/>
      <c r="I908" s="16"/>
      <c r="J908" s="16"/>
      <c r="K908" s="16"/>
      <c r="L908" s="16"/>
      <c r="M908" s="1"/>
      <c r="N908" s="1"/>
      <c r="O908" s="1"/>
      <c r="P908" s="1"/>
      <c r="Q908" s="1"/>
      <c r="R908" s="1"/>
      <c r="S908" s="1"/>
      <c r="T908" s="1"/>
      <c r="U908" s="1"/>
      <c r="V908" s="1"/>
    </row>
    <row r="909" spans="1:22" ht="12.75" customHeight="1" x14ac:dyDescent="0.2">
      <c r="A909" s="16"/>
      <c r="B909" s="16"/>
      <c r="C909" s="16"/>
      <c r="D909" s="16"/>
      <c r="E909" s="16"/>
      <c r="F909" s="16"/>
      <c r="G909" s="16"/>
      <c r="H909" s="16"/>
      <c r="I909" s="16"/>
      <c r="J909" s="16"/>
      <c r="K909" s="16"/>
      <c r="L909" s="16"/>
      <c r="M909" s="1"/>
      <c r="N909" s="1"/>
      <c r="O909" s="1"/>
      <c r="P909" s="1"/>
      <c r="Q909" s="1"/>
      <c r="R909" s="1"/>
      <c r="S909" s="1"/>
      <c r="T909" s="1"/>
      <c r="U909" s="1"/>
      <c r="V909" s="1"/>
    </row>
    <row r="910" spans="1:22" ht="12.75" customHeight="1" x14ac:dyDescent="0.2">
      <c r="A910" s="16"/>
      <c r="B910" s="16"/>
      <c r="C910" s="16"/>
      <c r="D910" s="16"/>
      <c r="E910" s="16"/>
      <c r="F910" s="16"/>
      <c r="G910" s="16"/>
      <c r="H910" s="16"/>
      <c r="I910" s="16"/>
      <c r="J910" s="16"/>
      <c r="K910" s="16"/>
      <c r="L910" s="16"/>
      <c r="M910" s="1"/>
      <c r="N910" s="1"/>
      <c r="O910" s="1"/>
      <c r="P910" s="1"/>
      <c r="Q910" s="1"/>
      <c r="R910" s="1"/>
      <c r="S910" s="1"/>
      <c r="T910" s="1"/>
      <c r="U910" s="1"/>
      <c r="V910" s="1"/>
    </row>
    <row r="911" spans="1:22" ht="12.75" customHeight="1" x14ac:dyDescent="0.2">
      <c r="A911" s="16"/>
      <c r="B911" s="16"/>
      <c r="C911" s="16"/>
      <c r="D911" s="16"/>
      <c r="E911" s="16"/>
      <c r="F911" s="16"/>
      <c r="G911" s="16"/>
      <c r="H911" s="16"/>
      <c r="I911" s="16"/>
      <c r="J911" s="16"/>
      <c r="K911" s="16"/>
      <c r="L911" s="16"/>
      <c r="M911" s="1"/>
      <c r="N911" s="1"/>
      <c r="O911" s="1"/>
      <c r="P911" s="1"/>
      <c r="Q911" s="1"/>
      <c r="R911" s="1"/>
      <c r="S911" s="1"/>
      <c r="T911" s="1"/>
      <c r="U911" s="1"/>
      <c r="V911" s="1"/>
    </row>
    <row r="912" spans="1:22" ht="12.75" customHeight="1" x14ac:dyDescent="0.2">
      <c r="A912" s="16"/>
      <c r="B912" s="16"/>
      <c r="C912" s="16"/>
      <c r="D912" s="16"/>
      <c r="E912" s="16"/>
      <c r="F912" s="16"/>
      <c r="G912" s="16"/>
      <c r="H912" s="16"/>
      <c r="I912" s="16"/>
      <c r="J912" s="16"/>
      <c r="K912" s="16"/>
      <c r="L912" s="16"/>
      <c r="M912" s="1"/>
      <c r="N912" s="1"/>
      <c r="O912" s="1"/>
      <c r="P912" s="1"/>
      <c r="Q912" s="1"/>
      <c r="R912" s="1"/>
      <c r="S912" s="1"/>
      <c r="T912" s="1"/>
      <c r="U912" s="1"/>
      <c r="V912" s="1"/>
    </row>
    <row r="913" spans="1:22" ht="12.75" customHeight="1" x14ac:dyDescent="0.2">
      <c r="A913" s="16"/>
      <c r="B913" s="16"/>
      <c r="C913" s="16"/>
      <c r="D913" s="16"/>
      <c r="E913" s="16"/>
      <c r="F913" s="16"/>
      <c r="G913" s="16"/>
      <c r="H913" s="16"/>
      <c r="I913" s="16"/>
      <c r="J913" s="16"/>
      <c r="K913" s="16"/>
      <c r="L913" s="16"/>
      <c r="M913" s="1"/>
      <c r="N913" s="1"/>
      <c r="O913" s="1"/>
      <c r="P913" s="1"/>
      <c r="Q913" s="1"/>
      <c r="R913" s="1"/>
      <c r="S913" s="1"/>
      <c r="T913" s="1"/>
      <c r="U913" s="1"/>
      <c r="V913" s="1"/>
    </row>
    <row r="914" spans="1:22" ht="12.75" customHeight="1" x14ac:dyDescent="0.2">
      <c r="A914" s="16"/>
      <c r="B914" s="16"/>
      <c r="C914" s="16"/>
      <c r="D914" s="16"/>
      <c r="E914" s="16"/>
      <c r="F914" s="16"/>
      <c r="G914" s="16"/>
      <c r="H914" s="16"/>
      <c r="I914" s="16"/>
      <c r="J914" s="16"/>
      <c r="K914" s="16"/>
      <c r="L914" s="16"/>
      <c r="M914" s="1"/>
      <c r="N914" s="1"/>
      <c r="O914" s="1"/>
      <c r="P914" s="1"/>
      <c r="Q914" s="1"/>
      <c r="R914" s="1"/>
      <c r="S914" s="1"/>
      <c r="T914" s="1"/>
      <c r="U914" s="1"/>
      <c r="V914" s="1"/>
    </row>
    <row r="915" spans="1:22" ht="12.75" customHeight="1" x14ac:dyDescent="0.2">
      <c r="A915" s="16"/>
      <c r="B915" s="16"/>
      <c r="C915" s="16"/>
      <c r="D915" s="16"/>
      <c r="E915" s="16"/>
      <c r="F915" s="16"/>
      <c r="G915" s="16"/>
      <c r="H915" s="16"/>
      <c r="I915" s="16"/>
      <c r="J915" s="16"/>
      <c r="K915" s="16"/>
      <c r="L915" s="16"/>
      <c r="M915" s="1"/>
      <c r="N915" s="1"/>
      <c r="O915" s="1"/>
      <c r="P915" s="1"/>
      <c r="Q915" s="1"/>
      <c r="R915" s="1"/>
      <c r="S915" s="1"/>
      <c r="T915" s="1"/>
      <c r="U915" s="1"/>
      <c r="V915" s="1"/>
    </row>
    <row r="916" spans="1:22" ht="12.75" customHeight="1" x14ac:dyDescent="0.2">
      <c r="A916" s="16"/>
      <c r="B916" s="16"/>
      <c r="C916" s="16"/>
      <c r="D916" s="16"/>
      <c r="E916" s="16"/>
      <c r="F916" s="16"/>
      <c r="G916" s="16"/>
      <c r="H916" s="16"/>
      <c r="I916" s="16"/>
      <c r="J916" s="16"/>
      <c r="K916" s="16"/>
      <c r="L916" s="16"/>
      <c r="M916" s="1"/>
      <c r="N916" s="1"/>
      <c r="O916" s="1"/>
      <c r="P916" s="1"/>
      <c r="Q916" s="1"/>
      <c r="R916" s="1"/>
      <c r="S916" s="1"/>
      <c r="T916" s="1"/>
      <c r="U916" s="1"/>
      <c r="V916" s="1"/>
    </row>
    <row r="917" spans="1:22" ht="12.75" customHeight="1" x14ac:dyDescent="0.2">
      <c r="A917" s="16"/>
      <c r="B917" s="16"/>
      <c r="C917" s="16"/>
      <c r="D917" s="16"/>
      <c r="E917" s="16"/>
      <c r="F917" s="16"/>
      <c r="G917" s="16"/>
      <c r="H917" s="16"/>
      <c r="I917" s="16"/>
      <c r="J917" s="16"/>
      <c r="K917" s="16"/>
      <c r="L917" s="16"/>
      <c r="M917" s="1"/>
      <c r="N917" s="1"/>
      <c r="O917" s="1"/>
      <c r="P917" s="1"/>
      <c r="Q917" s="1"/>
      <c r="R917" s="1"/>
      <c r="S917" s="1"/>
      <c r="T917" s="1"/>
      <c r="U917" s="1"/>
      <c r="V917" s="1"/>
    </row>
    <row r="918" spans="1:22" ht="12.75" customHeight="1" x14ac:dyDescent="0.2">
      <c r="A918" s="16"/>
      <c r="B918" s="16"/>
      <c r="C918" s="16"/>
      <c r="D918" s="16"/>
      <c r="E918" s="16"/>
      <c r="F918" s="16"/>
      <c r="G918" s="16"/>
      <c r="H918" s="16"/>
      <c r="I918" s="16"/>
      <c r="J918" s="16"/>
      <c r="K918" s="16"/>
      <c r="L918" s="16"/>
      <c r="M918" s="1"/>
      <c r="N918" s="1"/>
      <c r="O918" s="1"/>
      <c r="P918" s="1"/>
      <c r="Q918" s="1"/>
      <c r="R918" s="1"/>
      <c r="S918" s="1"/>
      <c r="T918" s="1"/>
      <c r="U918" s="1"/>
      <c r="V918" s="1"/>
    </row>
    <row r="919" spans="1:22" ht="12.75" customHeight="1" x14ac:dyDescent="0.2">
      <c r="A919" s="16"/>
      <c r="B919" s="16"/>
      <c r="C919" s="16"/>
      <c r="D919" s="16"/>
      <c r="E919" s="16"/>
      <c r="F919" s="16"/>
      <c r="G919" s="16"/>
      <c r="H919" s="16"/>
      <c r="I919" s="16"/>
      <c r="J919" s="16"/>
      <c r="K919" s="16"/>
      <c r="L919" s="16"/>
      <c r="M919" s="1"/>
      <c r="N919" s="1"/>
      <c r="O919" s="1"/>
      <c r="P919" s="1"/>
      <c r="Q919" s="1"/>
      <c r="R919" s="1"/>
      <c r="S919" s="1"/>
      <c r="T919" s="1"/>
      <c r="U919" s="1"/>
      <c r="V919" s="1"/>
    </row>
    <row r="920" spans="1:22" ht="12.75" customHeight="1" x14ac:dyDescent="0.2">
      <c r="A920" s="16"/>
      <c r="B920" s="16"/>
      <c r="C920" s="16"/>
      <c r="D920" s="16"/>
      <c r="E920" s="16"/>
      <c r="F920" s="16"/>
      <c r="G920" s="16"/>
      <c r="H920" s="16"/>
      <c r="I920" s="16"/>
      <c r="J920" s="16"/>
      <c r="K920" s="16"/>
      <c r="L920" s="16"/>
      <c r="M920" s="1"/>
      <c r="N920" s="1"/>
      <c r="O920" s="1"/>
      <c r="P920" s="1"/>
      <c r="Q920" s="1"/>
      <c r="R920" s="1"/>
      <c r="S920" s="1"/>
      <c r="T920" s="1"/>
      <c r="U920" s="1"/>
      <c r="V920" s="1"/>
    </row>
    <row r="921" spans="1:22" ht="12.75" customHeight="1" x14ac:dyDescent="0.2">
      <c r="A921" s="16"/>
      <c r="B921" s="16"/>
      <c r="C921" s="16"/>
      <c r="D921" s="16"/>
      <c r="E921" s="16"/>
      <c r="F921" s="16"/>
      <c r="G921" s="16"/>
      <c r="H921" s="16"/>
      <c r="I921" s="16"/>
      <c r="J921" s="16"/>
      <c r="K921" s="16"/>
      <c r="L921" s="16"/>
      <c r="M921" s="1"/>
      <c r="N921" s="1"/>
      <c r="O921" s="1"/>
      <c r="P921" s="1"/>
      <c r="Q921" s="1"/>
      <c r="R921" s="1"/>
      <c r="S921" s="1"/>
      <c r="T921" s="1"/>
      <c r="U921" s="1"/>
      <c r="V921" s="1"/>
    </row>
    <row r="922" spans="1:22" ht="12.75" customHeight="1" x14ac:dyDescent="0.2">
      <c r="A922" s="16"/>
      <c r="B922" s="16"/>
      <c r="C922" s="16"/>
      <c r="D922" s="16"/>
      <c r="E922" s="16"/>
      <c r="F922" s="16"/>
      <c r="G922" s="16"/>
      <c r="H922" s="16"/>
      <c r="I922" s="16"/>
      <c r="J922" s="16"/>
      <c r="K922" s="16"/>
      <c r="L922" s="16"/>
      <c r="M922" s="1"/>
      <c r="N922" s="1"/>
      <c r="O922" s="1"/>
      <c r="P922" s="1"/>
      <c r="Q922" s="1"/>
      <c r="R922" s="1"/>
      <c r="S922" s="1"/>
      <c r="T922" s="1"/>
      <c r="U922" s="1"/>
      <c r="V922" s="1"/>
    </row>
    <row r="923" spans="1:22" ht="12.75" customHeight="1" x14ac:dyDescent="0.2">
      <c r="A923" s="16"/>
      <c r="B923" s="16"/>
      <c r="C923" s="16"/>
      <c r="D923" s="16"/>
      <c r="E923" s="16"/>
      <c r="F923" s="16"/>
      <c r="G923" s="16"/>
      <c r="H923" s="16"/>
      <c r="I923" s="16"/>
      <c r="J923" s="16"/>
      <c r="K923" s="16"/>
      <c r="L923" s="16"/>
      <c r="M923" s="1"/>
      <c r="N923" s="1"/>
      <c r="O923" s="1"/>
      <c r="P923" s="1"/>
      <c r="Q923" s="1"/>
      <c r="R923" s="1"/>
      <c r="S923" s="1"/>
      <c r="T923" s="1"/>
      <c r="U923" s="1"/>
      <c r="V923" s="1"/>
    </row>
    <row r="924" spans="1:22" ht="12.75" customHeight="1" x14ac:dyDescent="0.2">
      <c r="A924" s="16"/>
      <c r="B924" s="16"/>
      <c r="C924" s="16"/>
      <c r="D924" s="16"/>
      <c r="E924" s="16"/>
      <c r="F924" s="16"/>
      <c r="G924" s="16"/>
      <c r="H924" s="16"/>
      <c r="I924" s="16"/>
      <c r="J924" s="16"/>
      <c r="K924" s="16"/>
      <c r="L924" s="16"/>
      <c r="M924" s="1"/>
      <c r="N924" s="1"/>
      <c r="O924" s="1"/>
      <c r="P924" s="1"/>
      <c r="Q924" s="1"/>
      <c r="R924" s="1"/>
      <c r="S924" s="1"/>
      <c r="T924" s="1"/>
      <c r="U924" s="1"/>
      <c r="V924" s="1"/>
    </row>
    <row r="925" spans="1:22" ht="12.75" customHeight="1" x14ac:dyDescent="0.2">
      <c r="A925" s="16"/>
      <c r="B925" s="16"/>
      <c r="C925" s="16"/>
      <c r="D925" s="16"/>
      <c r="E925" s="16"/>
      <c r="F925" s="16"/>
      <c r="G925" s="16"/>
      <c r="H925" s="16"/>
      <c r="I925" s="16"/>
      <c r="J925" s="16"/>
      <c r="K925" s="16"/>
      <c r="L925" s="16"/>
      <c r="M925" s="1"/>
      <c r="N925" s="1"/>
      <c r="O925" s="1"/>
      <c r="P925" s="1"/>
      <c r="Q925" s="1"/>
      <c r="R925" s="1"/>
      <c r="S925" s="1"/>
      <c r="T925" s="1"/>
      <c r="U925" s="1"/>
      <c r="V925" s="1"/>
    </row>
    <row r="926" spans="1:22" ht="12.75" customHeight="1" x14ac:dyDescent="0.2">
      <c r="A926" s="16"/>
      <c r="B926" s="16"/>
      <c r="C926" s="16"/>
      <c r="D926" s="16"/>
      <c r="E926" s="16"/>
      <c r="F926" s="16"/>
      <c r="G926" s="16"/>
      <c r="H926" s="16"/>
      <c r="I926" s="16"/>
      <c r="J926" s="16"/>
      <c r="K926" s="16"/>
      <c r="L926" s="16"/>
      <c r="M926" s="1"/>
      <c r="N926" s="1"/>
      <c r="O926" s="1"/>
      <c r="P926" s="1"/>
      <c r="Q926" s="1"/>
      <c r="R926" s="1"/>
      <c r="S926" s="1"/>
      <c r="T926" s="1"/>
      <c r="U926" s="1"/>
      <c r="V926" s="1"/>
    </row>
    <row r="927" spans="1:22" ht="12.75" customHeight="1" x14ac:dyDescent="0.2">
      <c r="A927" s="16"/>
      <c r="B927" s="16"/>
      <c r="C927" s="16"/>
      <c r="D927" s="16"/>
      <c r="E927" s="16"/>
      <c r="F927" s="16"/>
      <c r="G927" s="16"/>
      <c r="H927" s="16"/>
      <c r="I927" s="16"/>
      <c r="J927" s="16"/>
      <c r="K927" s="16"/>
      <c r="L927" s="16"/>
      <c r="M927" s="1"/>
      <c r="N927" s="1"/>
      <c r="O927" s="1"/>
      <c r="P927" s="1"/>
      <c r="Q927" s="1"/>
      <c r="R927" s="1"/>
      <c r="S927" s="1"/>
      <c r="T927" s="1"/>
      <c r="U927" s="1"/>
      <c r="V927" s="1"/>
    </row>
    <row r="928" spans="1:22" ht="12.75" customHeight="1" x14ac:dyDescent="0.2">
      <c r="A928" s="16"/>
      <c r="B928" s="16"/>
      <c r="C928" s="16"/>
      <c r="D928" s="16"/>
      <c r="E928" s="16"/>
      <c r="F928" s="16"/>
      <c r="G928" s="16"/>
      <c r="H928" s="16"/>
      <c r="I928" s="16"/>
      <c r="J928" s="16"/>
      <c r="K928" s="16"/>
      <c r="L928" s="16"/>
      <c r="M928" s="1"/>
      <c r="N928" s="1"/>
      <c r="O928" s="1"/>
      <c r="P928" s="1"/>
      <c r="Q928" s="1"/>
      <c r="R928" s="1"/>
      <c r="S928" s="1"/>
      <c r="T928" s="1"/>
      <c r="U928" s="1"/>
      <c r="V928" s="1"/>
    </row>
    <row r="929" spans="1:22" ht="12.75" customHeight="1" x14ac:dyDescent="0.2">
      <c r="A929" s="16"/>
      <c r="B929" s="16"/>
      <c r="C929" s="16"/>
      <c r="D929" s="16"/>
      <c r="E929" s="16"/>
      <c r="F929" s="16"/>
      <c r="G929" s="16"/>
      <c r="H929" s="16"/>
      <c r="I929" s="16"/>
      <c r="J929" s="16"/>
      <c r="K929" s="16"/>
      <c r="L929" s="16"/>
      <c r="M929" s="1"/>
      <c r="N929" s="1"/>
      <c r="O929" s="1"/>
      <c r="P929" s="1"/>
      <c r="Q929" s="1"/>
      <c r="R929" s="1"/>
      <c r="S929" s="1"/>
      <c r="T929" s="1"/>
      <c r="U929" s="1"/>
      <c r="V929" s="1"/>
    </row>
    <row r="930" spans="1:22" ht="12.75" customHeight="1" x14ac:dyDescent="0.2">
      <c r="A930" s="16"/>
      <c r="B930" s="16"/>
      <c r="C930" s="16"/>
      <c r="D930" s="16"/>
      <c r="E930" s="16"/>
      <c r="F930" s="16"/>
      <c r="G930" s="16"/>
      <c r="H930" s="16"/>
      <c r="I930" s="16"/>
      <c r="J930" s="16"/>
      <c r="K930" s="16"/>
      <c r="L930" s="16"/>
      <c r="M930" s="1"/>
      <c r="N930" s="1"/>
      <c r="O930" s="1"/>
      <c r="P930" s="1"/>
      <c r="Q930" s="1"/>
      <c r="R930" s="1"/>
      <c r="S930" s="1"/>
      <c r="T930" s="1"/>
      <c r="U930" s="1"/>
      <c r="V930" s="1"/>
    </row>
    <row r="931" spans="1:22" ht="12.75" customHeight="1" x14ac:dyDescent="0.2">
      <c r="A931" s="16"/>
      <c r="B931" s="16"/>
      <c r="C931" s="16"/>
      <c r="D931" s="16"/>
      <c r="E931" s="16"/>
      <c r="F931" s="16"/>
      <c r="G931" s="16"/>
      <c r="H931" s="16"/>
      <c r="I931" s="16"/>
      <c r="J931" s="16"/>
      <c r="K931" s="16"/>
      <c r="L931" s="16"/>
      <c r="M931" s="1"/>
      <c r="N931" s="1"/>
      <c r="O931" s="1"/>
      <c r="P931" s="1"/>
      <c r="Q931" s="1"/>
      <c r="R931" s="1"/>
      <c r="S931" s="1"/>
      <c r="T931" s="1"/>
      <c r="U931" s="1"/>
      <c r="V931" s="1"/>
    </row>
    <row r="932" spans="1:22" ht="12.75" customHeight="1" x14ac:dyDescent="0.2">
      <c r="A932" s="16"/>
      <c r="B932" s="16"/>
      <c r="C932" s="16"/>
      <c r="D932" s="16"/>
      <c r="E932" s="16"/>
      <c r="F932" s="16"/>
      <c r="G932" s="16"/>
      <c r="H932" s="16"/>
      <c r="I932" s="16"/>
      <c r="J932" s="16"/>
      <c r="K932" s="16"/>
      <c r="L932" s="16"/>
      <c r="M932" s="1"/>
      <c r="N932" s="1"/>
      <c r="O932" s="1"/>
      <c r="P932" s="1"/>
      <c r="Q932" s="1"/>
      <c r="R932" s="1"/>
      <c r="S932" s="1"/>
      <c r="T932" s="1"/>
      <c r="U932" s="1"/>
      <c r="V932" s="1"/>
    </row>
    <row r="933" spans="1:22" ht="12.75" customHeight="1" x14ac:dyDescent="0.2">
      <c r="A933" s="16"/>
      <c r="B933" s="16"/>
      <c r="C933" s="16"/>
      <c r="D933" s="16"/>
      <c r="E933" s="16"/>
      <c r="F933" s="16"/>
      <c r="G933" s="16"/>
      <c r="H933" s="16"/>
      <c r="I933" s="16"/>
      <c r="J933" s="16"/>
      <c r="K933" s="16"/>
      <c r="L933" s="16"/>
      <c r="M933" s="1"/>
      <c r="N933" s="1"/>
      <c r="O933" s="1"/>
      <c r="P933" s="1"/>
      <c r="Q933" s="1"/>
      <c r="R933" s="1"/>
      <c r="S933" s="1"/>
      <c r="T933" s="1"/>
      <c r="U933" s="1"/>
      <c r="V933" s="1"/>
    </row>
    <row r="934" spans="1:22" ht="12.75" customHeight="1" x14ac:dyDescent="0.2">
      <c r="A934" s="16"/>
      <c r="B934" s="16"/>
      <c r="C934" s="16"/>
      <c r="D934" s="16"/>
      <c r="E934" s="16"/>
      <c r="F934" s="16"/>
      <c r="G934" s="16"/>
      <c r="H934" s="16"/>
      <c r="I934" s="16"/>
      <c r="J934" s="16"/>
      <c r="K934" s="16"/>
      <c r="L934" s="16"/>
      <c r="M934" s="1"/>
      <c r="N934" s="1"/>
      <c r="O934" s="1"/>
      <c r="P934" s="1"/>
      <c r="Q934" s="1"/>
      <c r="R934" s="1"/>
      <c r="S934" s="1"/>
      <c r="T934" s="1"/>
      <c r="U934" s="1"/>
      <c r="V934" s="1"/>
    </row>
    <row r="935" spans="1:22" ht="12.75" customHeight="1" x14ac:dyDescent="0.2">
      <c r="A935" s="16"/>
      <c r="B935" s="16"/>
      <c r="C935" s="16"/>
      <c r="D935" s="16"/>
      <c r="E935" s="16"/>
      <c r="F935" s="16"/>
      <c r="G935" s="16"/>
      <c r="H935" s="16"/>
      <c r="I935" s="16"/>
      <c r="J935" s="16"/>
      <c r="K935" s="16"/>
      <c r="L935" s="16"/>
      <c r="M935" s="1"/>
      <c r="N935" s="1"/>
      <c r="O935" s="1"/>
      <c r="P935" s="1"/>
      <c r="Q935" s="1"/>
      <c r="R935" s="1"/>
      <c r="S935" s="1"/>
      <c r="T935" s="1"/>
      <c r="U935" s="1"/>
      <c r="V935" s="1"/>
    </row>
    <row r="936" spans="1:22" ht="12.75" customHeight="1" x14ac:dyDescent="0.2">
      <c r="A936" s="16"/>
      <c r="B936" s="16"/>
      <c r="C936" s="16"/>
      <c r="D936" s="16"/>
      <c r="E936" s="16"/>
      <c r="F936" s="16"/>
      <c r="G936" s="16"/>
      <c r="H936" s="16"/>
      <c r="I936" s="16"/>
      <c r="J936" s="16"/>
      <c r="K936" s="16"/>
      <c r="L936" s="16"/>
      <c r="M936" s="1"/>
      <c r="N936" s="1"/>
      <c r="O936" s="1"/>
      <c r="P936" s="1"/>
      <c r="Q936" s="1"/>
      <c r="R936" s="1"/>
      <c r="S936" s="1"/>
      <c r="T936" s="1"/>
      <c r="U936" s="1"/>
      <c r="V936" s="1"/>
    </row>
    <row r="937" spans="1:22" ht="12.75" customHeight="1" x14ac:dyDescent="0.2">
      <c r="A937" s="16"/>
      <c r="B937" s="16"/>
      <c r="C937" s="16"/>
      <c r="D937" s="16"/>
      <c r="E937" s="16"/>
      <c r="F937" s="16"/>
      <c r="G937" s="16"/>
      <c r="H937" s="16"/>
      <c r="I937" s="16"/>
      <c r="J937" s="16"/>
      <c r="K937" s="16"/>
      <c r="L937" s="16"/>
      <c r="M937" s="1"/>
      <c r="N937" s="1"/>
      <c r="O937" s="1"/>
      <c r="P937" s="1"/>
      <c r="Q937" s="1"/>
      <c r="R937" s="1"/>
      <c r="S937" s="1"/>
      <c r="T937" s="1"/>
      <c r="U937" s="1"/>
      <c r="V937" s="1"/>
    </row>
    <row r="938" spans="1:22" ht="12.75" customHeight="1" x14ac:dyDescent="0.2">
      <c r="A938" s="16"/>
      <c r="B938" s="16"/>
      <c r="C938" s="16"/>
      <c r="D938" s="16"/>
      <c r="E938" s="16"/>
      <c r="F938" s="16"/>
      <c r="G938" s="16"/>
      <c r="H938" s="16"/>
      <c r="I938" s="16"/>
      <c r="J938" s="16"/>
      <c r="K938" s="16"/>
      <c r="L938" s="16"/>
      <c r="M938" s="1"/>
      <c r="N938" s="1"/>
      <c r="O938" s="1"/>
      <c r="P938" s="1"/>
      <c r="Q938" s="1"/>
      <c r="R938" s="1"/>
      <c r="S938" s="1"/>
      <c r="T938" s="1"/>
      <c r="U938" s="1"/>
      <c r="V938" s="1"/>
    </row>
    <row r="939" spans="1:22" ht="12.75" customHeight="1" x14ac:dyDescent="0.2">
      <c r="A939" s="16"/>
      <c r="B939" s="16"/>
      <c r="C939" s="16"/>
      <c r="D939" s="16"/>
      <c r="E939" s="16"/>
      <c r="F939" s="16"/>
      <c r="G939" s="16"/>
      <c r="H939" s="16"/>
      <c r="I939" s="16"/>
      <c r="J939" s="16"/>
      <c r="K939" s="16"/>
      <c r="L939" s="16"/>
      <c r="M939" s="1"/>
      <c r="N939" s="1"/>
      <c r="O939" s="1"/>
      <c r="P939" s="1"/>
      <c r="Q939" s="1"/>
      <c r="R939" s="1"/>
      <c r="S939" s="1"/>
      <c r="T939" s="1"/>
      <c r="U939" s="1"/>
      <c r="V939" s="1"/>
    </row>
    <row r="940" spans="1:22" ht="12.75" customHeight="1" x14ac:dyDescent="0.2">
      <c r="A940" s="16"/>
      <c r="B940" s="16"/>
      <c r="C940" s="16"/>
      <c r="D940" s="16"/>
      <c r="E940" s="16"/>
      <c r="F940" s="16"/>
      <c r="G940" s="16"/>
      <c r="H940" s="16"/>
      <c r="I940" s="16"/>
      <c r="J940" s="16"/>
      <c r="K940" s="16"/>
      <c r="L940" s="16"/>
      <c r="M940" s="1"/>
      <c r="N940" s="1"/>
      <c r="O940" s="1"/>
      <c r="P940" s="1"/>
      <c r="Q940" s="1"/>
      <c r="R940" s="1"/>
      <c r="S940" s="1"/>
      <c r="T940" s="1"/>
      <c r="U940" s="1"/>
      <c r="V940" s="1"/>
    </row>
    <row r="941" spans="1:22" ht="12.75" customHeight="1" x14ac:dyDescent="0.2">
      <c r="A941" s="16"/>
      <c r="B941" s="16"/>
      <c r="C941" s="16"/>
      <c r="D941" s="16"/>
      <c r="E941" s="16"/>
      <c r="F941" s="16"/>
      <c r="G941" s="16"/>
      <c r="H941" s="16"/>
      <c r="I941" s="16"/>
      <c r="J941" s="16"/>
      <c r="K941" s="16"/>
      <c r="L941" s="16"/>
      <c r="M941" s="1"/>
      <c r="N941" s="1"/>
      <c r="O941" s="1"/>
      <c r="P941" s="1"/>
      <c r="Q941" s="1"/>
      <c r="R941" s="1"/>
      <c r="S941" s="1"/>
      <c r="T941" s="1"/>
      <c r="U941" s="1"/>
      <c r="V941" s="1"/>
    </row>
    <row r="942" spans="1:22" ht="12.75" customHeight="1" x14ac:dyDescent="0.2">
      <c r="A942" s="16"/>
      <c r="B942" s="16"/>
      <c r="C942" s="16"/>
      <c r="D942" s="16"/>
      <c r="E942" s="16"/>
      <c r="F942" s="16"/>
      <c r="G942" s="16"/>
      <c r="H942" s="16"/>
      <c r="I942" s="16"/>
      <c r="J942" s="16"/>
      <c r="K942" s="16"/>
      <c r="L942" s="16"/>
      <c r="M942" s="1"/>
      <c r="N942" s="1"/>
      <c r="O942" s="1"/>
      <c r="P942" s="1"/>
      <c r="Q942" s="1"/>
      <c r="R942" s="1"/>
      <c r="S942" s="1"/>
      <c r="T942" s="1"/>
      <c r="U942" s="1"/>
      <c r="V942" s="1"/>
    </row>
    <row r="943" spans="1:22" ht="12.75" customHeight="1" x14ac:dyDescent="0.2">
      <c r="A943" s="16"/>
      <c r="B943" s="16"/>
      <c r="C943" s="16"/>
      <c r="D943" s="16"/>
      <c r="E943" s="16"/>
      <c r="F943" s="16"/>
      <c r="G943" s="16"/>
      <c r="H943" s="16"/>
      <c r="I943" s="16"/>
      <c r="J943" s="16"/>
      <c r="K943" s="16"/>
      <c r="L943" s="16"/>
      <c r="M943" s="1"/>
      <c r="N943" s="1"/>
      <c r="O943" s="1"/>
      <c r="P943" s="1"/>
      <c r="Q943" s="1"/>
      <c r="R943" s="1"/>
      <c r="S943" s="1"/>
      <c r="T943" s="1"/>
      <c r="U943" s="1"/>
      <c r="V943" s="1"/>
    </row>
    <row r="944" spans="1:22" ht="12.75" customHeight="1" x14ac:dyDescent="0.2">
      <c r="A944" s="16"/>
      <c r="B944" s="16"/>
      <c r="C944" s="16"/>
      <c r="D944" s="16"/>
      <c r="E944" s="16"/>
      <c r="F944" s="16"/>
      <c r="G944" s="16"/>
      <c r="H944" s="16"/>
      <c r="I944" s="16"/>
      <c r="J944" s="16"/>
      <c r="K944" s="16"/>
      <c r="L944" s="16"/>
      <c r="M944" s="1"/>
      <c r="N944" s="1"/>
      <c r="O944" s="1"/>
      <c r="P944" s="1"/>
      <c r="Q944" s="1"/>
      <c r="R944" s="1"/>
      <c r="S944" s="1"/>
      <c r="T944" s="1"/>
      <c r="U944" s="1"/>
      <c r="V944" s="1"/>
    </row>
    <row r="945" spans="1:22" ht="12.75" customHeight="1" x14ac:dyDescent="0.2">
      <c r="A945" s="16"/>
      <c r="B945" s="16"/>
      <c r="C945" s="16"/>
      <c r="D945" s="16"/>
      <c r="E945" s="16"/>
      <c r="F945" s="16"/>
      <c r="G945" s="16"/>
      <c r="H945" s="16"/>
      <c r="I945" s="16"/>
      <c r="J945" s="16"/>
      <c r="K945" s="16"/>
      <c r="L945" s="16"/>
      <c r="M945" s="1"/>
      <c r="N945" s="1"/>
      <c r="O945" s="1"/>
      <c r="P945" s="1"/>
      <c r="Q945" s="1"/>
      <c r="R945" s="1"/>
      <c r="S945" s="1"/>
      <c r="T945" s="1"/>
      <c r="U945" s="1"/>
      <c r="V945" s="1"/>
    </row>
    <row r="946" spans="1:22" ht="12.75" customHeight="1" x14ac:dyDescent="0.2">
      <c r="A946" s="16"/>
      <c r="B946" s="16"/>
      <c r="C946" s="16"/>
      <c r="D946" s="16"/>
      <c r="E946" s="16"/>
      <c r="F946" s="16"/>
      <c r="G946" s="16"/>
      <c r="H946" s="16"/>
      <c r="I946" s="16"/>
      <c r="J946" s="16"/>
      <c r="K946" s="16"/>
      <c r="L946" s="16"/>
      <c r="M946" s="1"/>
      <c r="N946" s="1"/>
      <c r="O946" s="1"/>
      <c r="P946" s="1"/>
      <c r="Q946" s="1"/>
      <c r="R946" s="1"/>
      <c r="S946" s="1"/>
      <c r="T946" s="1"/>
      <c r="U946" s="1"/>
      <c r="V946" s="1"/>
    </row>
    <row r="947" spans="1:22" ht="12.75" customHeight="1" x14ac:dyDescent="0.2">
      <c r="A947" s="16"/>
      <c r="B947" s="16"/>
      <c r="C947" s="16"/>
      <c r="D947" s="16"/>
      <c r="E947" s="16"/>
      <c r="F947" s="16"/>
      <c r="G947" s="16"/>
      <c r="H947" s="16"/>
      <c r="I947" s="16"/>
      <c r="J947" s="16"/>
      <c r="K947" s="16"/>
      <c r="L947" s="16"/>
      <c r="M947" s="1"/>
      <c r="N947" s="1"/>
      <c r="O947" s="1"/>
      <c r="P947" s="1"/>
      <c r="Q947" s="1"/>
      <c r="R947" s="1"/>
      <c r="S947" s="1"/>
      <c r="T947" s="1"/>
      <c r="U947" s="1"/>
      <c r="V947" s="1"/>
    </row>
    <row r="948" spans="1:22" ht="12.75" customHeight="1" x14ac:dyDescent="0.2">
      <c r="A948" s="16"/>
      <c r="B948" s="16"/>
      <c r="C948" s="16"/>
      <c r="D948" s="16"/>
      <c r="E948" s="16"/>
      <c r="F948" s="16"/>
      <c r="G948" s="16"/>
      <c r="H948" s="16"/>
      <c r="I948" s="16"/>
      <c r="J948" s="16"/>
      <c r="K948" s="16"/>
      <c r="L948" s="16"/>
      <c r="M948" s="1"/>
      <c r="N948" s="1"/>
      <c r="O948" s="1"/>
      <c r="P948" s="1"/>
      <c r="Q948" s="1"/>
      <c r="R948" s="1"/>
      <c r="S948" s="1"/>
      <c r="T948" s="1"/>
      <c r="U948" s="1"/>
      <c r="V948" s="1"/>
    </row>
    <row r="949" spans="1:22" ht="12.75" customHeight="1" x14ac:dyDescent="0.2">
      <c r="A949" s="16"/>
      <c r="B949" s="16"/>
      <c r="C949" s="16"/>
      <c r="D949" s="16"/>
      <c r="E949" s="16"/>
      <c r="F949" s="16"/>
      <c r="G949" s="16"/>
      <c r="H949" s="16"/>
      <c r="I949" s="16"/>
      <c r="J949" s="16"/>
      <c r="K949" s="16"/>
      <c r="L949" s="16"/>
      <c r="M949" s="1"/>
      <c r="N949" s="1"/>
      <c r="O949" s="1"/>
      <c r="P949" s="1"/>
      <c r="Q949" s="1"/>
      <c r="R949" s="1"/>
      <c r="S949" s="1"/>
      <c r="T949" s="1"/>
      <c r="U949" s="1"/>
      <c r="V949" s="1"/>
    </row>
    <row r="950" spans="1:22" ht="12.75" customHeight="1" x14ac:dyDescent="0.2">
      <c r="A950" s="16"/>
      <c r="B950" s="16"/>
      <c r="C950" s="16"/>
      <c r="D950" s="16"/>
      <c r="E950" s="16"/>
      <c r="F950" s="16"/>
      <c r="G950" s="16"/>
      <c r="H950" s="16"/>
      <c r="I950" s="16"/>
      <c r="J950" s="16"/>
      <c r="K950" s="16"/>
      <c r="L950" s="16"/>
      <c r="M950" s="1"/>
      <c r="N950" s="1"/>
      <c r="O950" s="1"/>
      <c r="P950" s="1"/>
      <c r="Q950" s="1"/>
      <c r="R950" s="1"/>
      <c r="S950" s="1"/>
      <c r="T950" s="1"/>
      <c r="U950" s="1"/>
      <c r="V950" s="1"/>
    </row>
    <row r="951" spans="1:22" ht="12.75" customHeight="1" x14ac:dyDescent="0.2">
      <c r="A951" s="16"/>
      <c r="B951" s="16"/>
      <c r="C951" s="16"/>
      <c r="D951" s="16"/>
      <c r="E951" s="16"/>
      <c r="F951" s="16"/>
      <c r="G951" s="16"/>
      <c r="H951" s="16"/>
      <c r="I951" s="16"/>
      <c r="J951" s="16"/>
      <c r="K951" s="16"/>
      <c r="L951" s="16"/>
      <c r="M951" s="1"/>
      <c r="N951" s="1"/>
      <c r="O951" s="1"/>
      <c r="P951" s="1"/>
      <c r="Q951" s="1"/>
      <c r="R951" s="1"/>
      <c r="S951" s="1"/>
      <c r="T951" s="1"/>
      <c r="U951" s="1"/>
      <c r="V951" s="1"/>
    </row>
    <row r="952" spans="1:22" ht="12.75" customHeight="1" x14ac:dyDescent="0.2">
      <c r="A952" s="16"/>
      <c r="B952" s="16"/>
      <c r="C952" s="16"/>
      <c r="D952" s="16"/>
      <c r="E952" s="16"/>
      <c r="F952" s="16"/>
      <c r="G952" s="16"/>
      <c r="H952" s="16"/>
      <c r="I952" s="16"/>
      <c r="J952" s="16"/>
      <c r="K952" s="16"/>
      <c r="L952" s="16"/>
      <c r="M952" s="1"/>
      <c r="N952" s="1"/>
      <c r="O952" s="1"/>
      <c r="P952" s="1"/>
      <c r="Q952" s="1"/>
      <c r="R952" s="1"/>
      <c r="S952" s="1"/>
      <c r="T952" s="1"/>
      <c r="U952" s="1"/>
      <c r="V952" s="1"/>
    </row>
    <row r="953" spans="1:22" ht="12.75" customHeight="1" x14ac:dyDescent="0.2">
      <c r="A953" s="16"/>
      <c r="B953" s="16"/>
      <c r="C953" s="16"/>
      <c r="D953" s="16"/>
      <c r="E953" s="16"/>
      <c r="F953" s="16"/>
      <c r="G953" s="16"/>
      <c r="H953" s="16"/>
      <c r="I953" s="16"/>
      <c r="J953" s="16"/>
      <c r="K953" s="16"/>
      <c r="L953" s="16"/>
      <c r="M953" s="1"/>
      <c r="N953" s="1"/>
      <c r="O953" s="1"/>
      <c r="P953" s="1"/>
      <c r="Q953" s="1"/>
      <c r="R953" s="1"/>
      <c r="S953" s="1"/>
      <c r="T953" s="1"/>
      <c r="U953" s="1"/>
      <c r="V953" s="1"/>
    </row>
    <row r="954" spans="1:22" ht="12.75" customHeight="1" x14ac:dyDescent="0.2">
      <c r="A954" s="16"/>
      <c r="B954" s="16"/>
      <c r="C954" s="16"/>
      <c r="D954" s="16"/>
      <c r="E954" s="16"/>
      <c r="F954" s="16"/>
      <c r="G954" s="16"/>
      <c r="H954" s="16"/>
      <c r="I954" s="16"/>
      <c r="J954" s="16"/>
      <c r="K954" s="16"/>
      <c r="L954" s="16"/>
      <c r="M954" s="1"/>
      <c r="N954" s="1"/>
      <c r="O954" s="1"/>
      <c r="P954" s="1"/>
      <c r="Q954" s="1"/>
      <c r="R954" s="1"/>
      <c r="S954" s="1"/>
      <c r="T954" s="1"/>
      <c r="U954" s="1"/>
      <c r="V954" s="1"/>
    </row>
    <row r="955" spans="1:22" ht="12.75" customHeight="1" x14ac:dyDescent="0.2">
      <c r="A955" s="16"/>
      <c r="B955" s="16"/>
      <c r="C955" s="16"/>
      <c r="D955" s="16"/>
      <c r="E955" s="16"/>
      <c r="F955" s="16"/>
      <c r="G955" s="16"/>
      <c r="H955" s="16"/>
      <c r="I955" s="16"/>
      <c r="J955" s="16"/>
      <c r="K955" s="16"/>
      <c r="L955" s="16"/>
      <c r="M955" s="1"/>
      <c r="N955" s="1"/>
      <c r="O955" s="1"/>
      <c r="P955" s="1"/>
      <c r="Q955" s="1"/>
      <c r="R955" s="1"/>
      <c r="S955" s="1"/>
      <c r="T955" s="1"/>
      <c r="U955" s="1"/>
      <c r="V955" s="1"/>
    </row>
    <row r="956" spans="1:22" ht="12.75" customHeight="1" x14ac:dyDescent="0.2">
      <c r="A956" s="16"/>
      <c r="B956" s="16"/>
      <c r="C956" s="16"/>
      <c r="D956" s="16"/>
      <c r="E956" s="16"/>
      <c r="F956" s="16"/>
      <c r="G956" s="16"/>
      <c r="H956" s="16"/>
      <c r="I956" s="16"/>
      <c r="J956" s="16"/>
      <c r="K956" s="16"/>
      <c r="L956" s="16"/>
      <c r="M956" s="1"/>
      <c r="N956" s="1"/>
      <c r="O956" s="1"/>
      <c r="P956" s="1"/>
      <c r="Q956" s="1"/>
      <c r="R956" s="1"/>
      <c r="S956" s="1"/>
      <c r="T956" s="1"/>
      <c r="U956" s="1"/>
      <c r="V956" s="1"/>
    </row>
    <row r="957" spans="1:22" ht="12.75" customHeight="1" x14ac:dyDescent="0.2">
      <c r="A957" s="16"/>
      <c r="B957" s="16"/>
      <c r="C957" s="16"/>
      <c r="D957" s="16"/>
      <c r="E957" s="16"/>
      <c r="F957" s="16"/>
      <c r="G957" s="16"/>
      <c r="H957" s="16"/>
      <c r="I957" s="16"/>
      <c r="J957" s="16"/>
      <c r="K957" s="16"/>
      <c r="L957" s="16"/>
      <c r="M957" s="1"/>
      <c r="N957" s="1"/>
      <c r="O957" s="1"/>
      <c r="P957" s="1"/>
      <c r="Q957" s="1"/>
      <c r="R957" s="1"/>
      <c r="S957" s="1"/>
      <c r="T957" s="1"/>
      <c r="U957" s="1"/>
      <c r="V957" s="1"/>
    </row>
    <row r="958" spans="1:22" ht="12.75" customHeight="1" x14ac:dyDescent="0.2">
      <c r="A958" s="16"/>
      <c r="B958" s="16"/>
      <c r="C958" s="16"/>
      <c r="D958" s="16"/>
      <c r="E958" s="16"/>
      <c r="F958" s="16"/>
      <c r="G958" s="16"/>
      <c r="H958" s="16"/>
      <c r="I958" s="16"/>
      <c r="J958" s="16"/>
      <c r="K958" s="16"/>
      <c r="L958" s="16"/>
      <c r="M958" s="1"/>
      <c r="N958" s="1"/>
      <c r="O958" s="1"/>
      <c r="P958" s="1"/>
      <c r="Q958" s="1"/>
      <c r="R958" s="1"/>
      <c r="S958" s="1"/>
      <c r="T958" s="1"/>
      <c r="U958" s="1"/>
      <c r="V958" s="1"/>
    </row>
    <row r="959" spans="1:22" ht="12.75" customHeight="1" x14ac:dyDescent="0.2">
      <c r="A959" s="16"/>
      <c r="B959" s="16"/>
      <c r="C959" s="16"/>
      <c r="D959" s="16"/>
      <c r="E959" s="16"/>
      <c r="F959" s="16"/>
      <c r="G959" s="16"/>
      <c r="H959" s="16"/>
      <c r="I959" s="16"/>
      <c r="J959" s="16"/>
      <c r="K959" s="16"/>
      <c r="L959" s="16"/>
      <c r="M959" s="1"/>
      <c r="N959" s="1"/>
      <c r="O959" s="1"/>
      <c r="P959" s="1"/>
      <c r="Q959" s="1"/>
      <c r="R959" s="1"/>
      <c r="S959" s="1"/>
      <c r="T959" s="1"/>
      <c r="U959" s="1"/>
      <c r="V959" s="1"/>
    </row>
    <row r="960" spans="1:22" ht="12.75" customHeight="1" x14ac:dyDescent="0.2">
      <c r="A960" s="16"/>
      <c r="B960" s="16"/>
      <c r="C960" s="16"/>
      <c r="D960" s="16"/>
      <c r="E960" s="16"/>
      <c r="F960" s="16"/>
      <c r="G960" s="16"/>
      <c r="H960" s="16"/>
      <c r="I960" s="16"/>
      <c r="J960" s="16"/>
      <c r="K960" s="16"/>
      <c r="L960" s="16"/>
      <c r="M960" s="1"/>
      <c r="N960" s="1"/>
      <c r="O960" s="1"/>
      <c r="P960" s="1"/>
      <c r="Q960" s="1"/>
      <c r="R960" s="1"/>
      <c r="S960" s="1"/>
      <c r="T960" s="1"/>
      <c r="U960" s="1"/>
      <c r="V960" s="1"/>
    </row>
    <row r="961" spans="1:22" ht="12.75" customHeight="1" x14ac:dyDescent="0.2">
      <c r="A961" s="16"/>
      <c r="B961" s="16"/>
      <c r="C961" s="16"/>
      <c r="D961" s="16"/>
      <c r="E961" s="16"/>
      <c r="F961" s="16"/>
      <c r="G961" s="16"/>
      <c r="H961" s="16"/>
      <c r="I961" s="16"/>
      <c r="J961" s="16"/>
      <c r="K961" s="16"/>
      <c r="L961" s="16"/>
      <c r="M961" s="1"/>
      <c r="N961" s="1"/>
      <c r="O961" s="1"/>
      <c r="P961" s="1"/>
      <c r="Q961" s="1"/>
      <c r="R961" s="1"/>
      <c r="S961" s="1"/>
      <c r="T961" s="1"/>
      <c r="U961" s="1"/>
      <c r="V961" s="1"/>
    </row>
    <row r="962" spans="1:22" ht="12.75" customHeight="1" x14ac:dyDescent="0.2">
      <c r="A962" s="16"/>
      <c r="B962" s="16"/>
      <c r="C962" s="16"/>
      <c r="D962" s="16"/>
      <c r="E962" s="16"/>
      <c r="F962" s="16"/>
      <c r="G962" s="16"/>
      <c r="H962" s="16"/>
      <c r="I962" s="16"/>
      <c r="J962" s="16"/>
      <c r="K962" s="16"/>
      <c r="L962" s="16"/>
      <c r="M962" s="1"/>
      <c r="N962" s="1"/>
      <c r="O962" s="1"/>
      <c r="P962" s="1"/>
      <c r="Q962" s="1"/>
      <c r="R962" s="1"/>
      <c r="S962" s="1"/>
      <c r="T962" s="1"/>
      <c r="U962" s="1"/>
      <c r="V962" s="1"/>
    </row>
    <row r="963" spans="1:22" ht="12.75" customHeight="1" x14ac:dyDescent="0.2">
      <c r="A963" s="16"/>
      <c r="B963" s="16"/>
      <c r="C963" s="16"/>
      <c r="D963" s="16"/>
      <c r="E963" s="16"/>
      <c r="F963" s="16"/>
      <c r="G963" s="16"/>
      <c r="H963" s="16"/>
      <c r="I963" s="16"/>
      <c r="J963" s="16"/>
      <c r="K963" s="16"/>
      <c r="L963" s="16"/>
      <c r="M963" s="1"/>
      <c r="N963" s="1"/>
      <c r="O963" s="1"/>
      <c r="P963" s="1"/>
      <c r="Q963" s="1"/>
      <c r="R963" s="1"/>
      <c r="S963" s="1"/>
      <c r="T963" s="1"/>
      <c r="U963" s="1"/>
      <c r="V963" s="1"/>
    </row>
    <row r="964" spans="1:22" ht="12.75" customHeight="1" x14ac:dyDescent="0.2">
      <c r="A964" s="16"/>
      <c r="B964" s="16"/>
      <c r="C964" s="16"/>
      <c r="D964" s="16"/>
      <c r="E964" s="16"/>
      <c r="F964" s="16"/>
      <c r="G964" s="16"/>
      <c r="H964" s="16"/>
      <c r="I964" s="16"/>
      <c r="J964" s="16"/>
      <c r="K964" s="16"/>
      <c r="L964" s="16"/>
      <c r="M964" s="1"/>
      <c r="N964" s="1"/>
      <c r="O964" s="1"/>
      <c r="P964" s="1"/>
      <c r="Q964" s="1"/>
      <c r="R964" s="1"/>
      <c r="S964" s="1"/>
      <c r="T964" s="1"/>
      <c r="U964" s="1"/>
      <c r="V964" s="1"/>
    </row>
    <row r="965" spans="1:22" ht="12.75" customHeight="1" x14ac:dyDescent="0.2">
      <c r="A965" s="16"/>
      <c r="B965" s="16"/>
      <c r="C965" s="16"/>
      <c r="D965" s="16"/>
      <c r="E965" s="16"/>
      <c r="F965" s="16"/>
      <c r="G965" s="16"/>
      <c r="H965" s="16"/>
      <c r="I965" s="16"/>
      <c r="J965" s="16"/>
      <c r="K965" s="16"/>
      <c r="L965" s="16"/>
      <c r="M965" s="1"/>
      <c r="N965" s="1"/>
      <c r="O965" s="1"/>
      <c r="P965" s="1"/>
      <c r="Q965" s="1"/>
      <c r="R965" s="1"/>
      <c r="S965" s="1"/>
      <c r="T965" s="1"/>
      <c r="U965" s="1"/>
      <c r="V965" s="1"/>
    </row>
    <row r="966" spans="1:22" ht="12.75" customHeight="1" x14ac:dyDescent="0.2">
      <c r="A966" s="16"/>
      <c r="B966" s="16"/>
      <c r="C966" s="16"/>
      <c r="D966" s="16"/>
      <c r="E966" s="16"/>
      <c r="F966" s="16"/>
      <c r="G966" s="16"/>
      <c r="H966" s="16"/>
      <c r="I966" s="16"/>
      <c r="J966" s="16"/>
      <c r="K966" s="16"/>
      <c r="L966" s="16"/>
      <c r="M966" s="1"/>
      <c r="N966" s="1"/>
      <c r="O966" s="1"/>
      <c r="P966" s="1"/>
      <c r="Q966" s="1"/>
      <c r="R966" s="1"/>
      <c r="S966" s="1"/>
      <c r="T966" s="1"/>
      <c r="U966" s="1"/>
      <c r="V966" s="1"/>
    </row>
    <row r="967" spans="1:22" ht="12.75" customHeight="1" x14ac:dyDescent="0.2">
      <c r="A967" s="16"/>
      <c r="B967" s="16"/>
      <c r="C967" s="16"/>
      <c r="D967" s="16"/>
      <c r="E967" s="16"/>
      <c r="F967" s="16"/>
      <c r="G967" s="16"/>
      <c r="H967" s="16"/>
      <c r="I967" s="16"/>
      <c r="J967" s="16"/>
      <c r="K967" s="16"/>
      <c r="L967" s="16"/>
      <c r="M967" s="1"/>
      <c r="N967" s="1"/>
      <c r="O967" s="1"/>
      <c r="P967" s="1"/>
      <c r="Q967" s="1"/>
      <c r="R967" s="1"/>
      <c r="S967" s="1"/>
      <c r="T967" s="1"/>
      <c r="U967" s="1"/>
      <c r="V967" s="1"/>
    </row>
    <row r="968" spans="1:22" ht="12.75" customHeight="1" x14ac:dyDescent="0.2">
      <c r="A968" s="16"/>
      <c r="B968" s="16"/>
      <c r="C968" s="16"/>
      <c r="D968" s="16"/>
      <c r="E968" s="16"/>
      <c r="F968" s="16"/>
      <c r="G968" s="16"/>
      <c r="H968" s="16"/>
      <c r="I968" s="16"/>
      <c r="J968" s="16"/>
      <c r="K968" s="16"/>
      <c r="L968" s="16"/>
      <c r="M968" s="1"/>
      <c r="N968" s="1"/>
      <c r="O968" s="1"/>
      <c r="P968" s="1"/>
      <c r="Q968" s="1"/>
      <c r="R968" s="1"/>
      <c r="S968" s="1"/>
      <c r="T968" s="1"/>
      <c r="U968" s="1"/>
      <c r="V968" s="1"/>
    </row>
    <row r="969" spans="1:22" ht="12.75" customHeight="1" x14ac:dyDescent="0.2">
      <c r="A969" s="16"/>
      <c r="B969" s="16"/>
      <c r="C969" s="16"/>
      <c r="D969" s="16"/>
      <c r="E969" s="16"/>
      <c r="F969" s="16"/>
      <c r="G969" s="16"/>
      <c r="H969" s="16"/>
      <c r="I969" s="16"/>
      <c r="J969" s="16"/>
      <c r="K969" s="16"/>
      <c r="L969" s="16"/>
      <c r="M969" s="1"/>
      <c r="N969" s="1"/>
      <c r="O969" s="1"/>
      <c r="P969" s="1"/>
      <c r="Q969" s="1"/>
      <c r="R969" s="1"/>
      <c r="S969" s="1"/>
      <c r="T969" s="1"/>
      <c r="U969" s="1"/>
      <c r="V969" s="1"/>
    </row>
    <row r="970" spans="1:22" ht="12.75" customHeight="1" x14ac:dyDescent="0.2">
      <c r="A970" s="16"/>
      <c r="B970" s="16"/>
      <c r="C970" s="16"/>
      <c r="D970" s="16"/>
      <c r="E970" s="16"/>
      <c r="F970" s="16"/>
      <c r="G970" s="16"/>
      <c r="H970" s="16"/>
      <c r="I970" s="16"/>
      <c r="J970" s="16"/>
      <c r="K970" s="16"/>
      <c r="L970" s="16"/>
      <c r="M970" s="1"/>
      <c r="N970" s="1"/>
      <c r="O970" s="1"/>
      <c r="P970" s="1"/>
      <c r="Q970" s="1"/>
      <c r="R970" s="1"/>
      <c r="S970" s="1"/>
      <c r="T970" s="1"/>
      <c r="U970" s="1"/>
      <c r="V970" s="1"/>
    </row>
    <row r="971" spans="1:22" ht="12.75" customHeight="1" x14ac:dyDescent="0.2">
      <c r="A971" s="16"/>
      <c r="B971" s="16"/>
      <c r="C971" s="16"/>
      <c r="D971" s="16"/>
      <c r="E971" s="16"/>
      <c r="F971" s="16"/>
      <c r="G971" s="16"/>
      <c r="H971" s="16"/>
      <c r="I971" s="16"/>
      <c r="J971" s="16"/>
      <c r="K971" s="16"/>
      <c r="L971" s="16"/>
      <c r="M971" s="1"/>
      <c r="N971" s="1"/>
      <c r="O971" s="1"/>
      <c r="P971" s="1"/>
      <c r="Q971" s="1"/>
      <c r="R971" s="1"/>
      <c r="S971" s="1"/>
      <c r="T971" s="1"/>
      <c r="U971" s="1"/>
      <c r="V971" s="1"/>
    </row>
    <row r="972" spans="1:22" ht="12.75" customHeight="1" x14ac:dyDescent="0.2">
      <c r="A972" s="16"/>
      <c r="B972" s="16"/>
      <c r="C972" s="16"/>
      <c r="D972" s="16"/>
      <c r="E972" s="16"/>
      <c r="F972" s="16"/>
      <c r="G972" s="16"/>
      <c r="H972" s="16"/>
      <c r="I972" s="16"/>
      <c r="J972" s="16"/>
      <c r="K972" s="16"/>
      <c r="L972" s="16"/>
      <c r="M972" s="1"/>
      <c r="N972" s="1"/>
      <c r="O972" s="1"/>
      <c r="P972" s="1"/>
      <c r="Q972" s="1"/>
      <c r="R972" s="1"/>
      <c r="S972" s="1"/>
      <c r="T972" s="1"/>
      <c r="U972" s="1"/>
      <c r="V972" s="1"/>
    </row>
    <row r="973" spans="1:22" ht="12.75" customHeight="1" x14ac:dyDescent="0.2">
      <c r="A973" s="16"/>
      <c r="B973" s="16"/>
      <c r="C973" s="16"/>
      <c r="D973" s="16"/>
      <c r="E973" s="16"/>
      <c r="F973" s="16"/>
      <c r="G973" s="16"/>
      <c r="H973" s="16"/>
      <c r="I973" s="16"/>
      <c r="J973" s="16"/>
      <c r="K973" s="16"/>
      <c r="L973" s="16"/>
      <c r="M973" s="1"/>
      <c r="N973" s="1"/>
      <c r="O973" s="1"/>
      <c r="P973" s="1"/>
      <c r="Q973" s="1"/>
      <c r="R973" s="1"/>
      <c r="S973" s="1"/>
      <c r="T973" s="1"/>
      <c r="U973" s="1"/>
      <c r="V973" s="1"/>
    </row>
    <row r="974" spans="1:22" ht="12.75" customHeight="1" x14ac:dyDescent="0.2">
      <c r="A974" s="16"/>
      <c r="B974" s="16"/>
      <c r="C974" s="16"/>
      <c r="D974" s="16"/>
      <c r="E974" s="16"/>
      <c r="F974" s="16"/>
      <c r="G974" s="16"/>
      <c r="H974" s="16"/>
      <c r="I974" s="16"/>
      <c r="J974" s="16"/>
      <c r="K974" s="16"/>
      <c r="L974" s="16"/>
      <c r="M974" s="1"/>
      <c r="N974" s="1"/>
      <c r="O974" s="1"/>
      <c r="P974" s="1"/>
      <c r="Q974" s="1"/>
      <c r="R974" s="1"/>
      <c r="S974" s="1"/>
      <c r="T974" s="1"/>
      <c r="U974" s="1"/>
      <c r="V974" s="1"/>
    </row>
    <row r="975" spans="1:22" ht="12.75" customHeight="1" x14ac:dyDescent="0.2">
      <c r="A975" s="16"/>
      <c r="B975" s="16"/>
      <c r="C975" s="16"/>
      <c r="D975" s="16"/>
      <c r="E975" s="16"/>
      <c r="F975" s="16"/>
      <c r="G975" s="16"/>
      <c r="H975" s="16"/>
      <c r="I975" s="16"/>
      <c r="J975" s="16"/>
      <c r="K975" s="16"/>
      <c r="L975" s="16"/>
      <c r="M975" s="1"/>
      <c r="N975" s="1"/>
      <c r="O975" s="1"/>
      <c r="P975" s="1"/>
      <c r="Q975" s="1"/>
      <c r="R975" s="1"/>
      <c r="S975" s="1"/>
      <c r="T975" s="1"/>
      <c r="U975" s="1"/>
      <c r="V975" s="1"/>
    </row>
    <row r="976" spans="1:22" ht="12.75" customHeight="1" x14ac:dyDescent="0.2">
      <c r="A976" s="16"/>
      <c r="B976" s="16"/>
      <c r="C976" s="16"/>
      <c r="D976" s="16"/>
      <c r="E976" s="16"/>
      <c r="F976" s="16"/>
      <c r="G976" s="16"/>
      <c r="H976" s="16"/>
      <c r="I976" s="16"/>
      <c r="J976" s="16"/>
      <c r="K976" s="16"/>
      <c r="L976" s="16"/>
      <c r="M976" s="1"/>
      <c r="N976" s="1"/>
      <c r="O976" s="1"/>
      <c r="P976" s="1"/>
      <c r="Q976" s="1"/>
      <c r="R976" s="1"/>
      <c r="S976" s="1"/>
      <c r="T976" s="1"/>
      <c r="U976" s="1"/>
      <c r="V976" s="1"/>
    </row>
    <row r="977" spans="1:22" ht="12.75" customHeight="1" x14ac:dyDescent="0.2">
      <c r="A977" s="16"/>
      <c r="B977" s="16"/>
      <c r="C977" s="16"/>
      <c r="D977" s="16"/>
      <c r="E977" s="16"/>
      <c r="F977" s="16"/>
      <c r="G977" s="16"/>
      <c r="H977" s="16"/>
      <c r="I977" s="16"/>
      <c r="J977" s="16"/>
      <c r="K977" s="16"/>
      <c r="L977" s="16"/>
      <c r="M977" s="1"/>
      <c r="N977" s="1"/>
      <c r="O977" s="1"/>
      <c r="P977" s="1"/>
      <c r="Q977" s="1"/>
      <c r="R977" s="1"/>
      <c r="S977" s="1"/>
      <c r="T977" s="1"/>
      <c r="U977" s="1"/>
      <c r="V977" s="1"/>
    </row>
    <row r="978" spans="1:22" ht="12.75" customHeight="1" x14ac:dyDescent="0.2">
      <c r="A978" s="16"/>
      <c r="B978" s="16"/>
      <c r="C978" s="16"/>
      <c r="D978" s="16"/>
      <c r="E978" s="16"/>
      <c r="F978" s="16"/>
      <c r="G978" s="16"/>
      <c r="H978" s="16"/>
      <c r="I978" s="16"/>
      <c r="J978" s="16"/>
      <c r="K978" s="16"/>
      <c r="L978" s="16"/>
      <c r="M978" s="1"/>
      <c r="N978" s="1"/>
      <c r="O978" s="1"/>
      <c r="P978" s="1"/>
      <c r="Q978" s="1"/>
      <c r="R978" s="1"/>
      <c r="S978" s="1"/>
      <c r="T978" s="1"/>
      <c r="U978" s="1"/>
      <c r="V978" s="1"/>
    </row>
    <row r="979" spans="1:22" ht="12.75" customHeight="1" x14ac:dyDescent="0.2">
      <c r="A979" s="16"/>
      <c r="B979" s="16"/>
      <c r="C979" s="16"/>
      <c r="D979" s="16"/>
      <c r="E979" s="16"/>
      <c r="F979" s="16"/>
      <c r="G979" s="16"/>
      <c r="H979" s="16"/>
      <c r="I979" s="16"/>
      <c r="J979" s="16"/>
      <c r="K979" s="16"/>
      <c r="L979" s="16"/>
      <c r="M979" s="1"/>
      <c r="N979" s="1"/>
      <c r="O979" s="1"/>
      <c r="P979" s="1"/>
      <c r="Q979" s="1"/>
      <c r="R979" s="1"/>
      <c r="S979" s="1"/>
      <c r="T979" s="1"/>
      <c r="U979" s="1"/>
      <c r="V979" s="1"/>
    </row>
    <row r="980" spans="1:22" ht="12.75" customHeight="1" x14ac:dyDescent="0.2">
      <c r="A980" s="16"/>
      <c r="B980" s="16"/>
      <c r="C980" s="16"/>
      <c r="D980" s="16"/>
      <c r="E980" s="16"/>
      <c r="F980" s="16"/>
      <c r="G980" s="16"/>
      <c r="H980" s="16"/>
      <c r="I980" s="16"/>
      <c r="J980" s="16"/>
      <c r="K980" s="16"/>
      <c r="L980" s="16"/>
      <c r="M980" s="1"/>
      <c r="N980" s="1"/>
      <c r="O980" s="1"/>
      <c r="P980" s="1"/>
      <c r="Q980" s="1"/>
      <c r="R980" s="1"/>
      <c r="S980" s="1"/>
      <c r="T980" s="1"/>
      <c r="U980" s="1"/>
      <c r="V980" s="1"/>
    </row>
    <row r="981" spans="1:22" ht="12.75" customHeight="1" x14ac:dyDescent="0.2">
      <c r="A981" s="16"/>
      <c r="B981" s="16"/>
      <c r="C981" s="16"/>
      <c r="D981" s="16"/>
      <c r="E981" s="16"/>
      <c r="F981" s="16"/>
      <c r="G981" s="16"/>
      <c r="H981" s="16"/>
      <c r="I981" s="16"/>
      <c r="J981" s="16"/>
      <c r="K981" s="16"/>
      <c r="L981" s="16"/>
      <c r="M981" s="1"/>
      <c r="N981" s="1"/>
      <c r="O981" s="1"/>
      <c r="P981" s="1"/>
      <c r="Q981" s="1"/>
      <c r="R981" s="1"/>
      <c r="S981" s="1"/>
      <c r="T981" s="1"/>
      <c r="U981" s="1"/>
      <c r="V981" s="1"/>
    </row>
    <row r="982" spans="1:22" ht="12.75" customHeight="1" x14ac:dyDescent="0.2">
      <c r="A982" s="16"/>
      <c r="B982" s="16"/>
      <c r="C982" s="16"/>
      <c r="D982" s="16"/>
      <c r="E982" s="16"/>
      <c r="F982" s="16"/>
      <c r="G982" s="16"/>
      <c r="H982" s="16"/>
      <c r="I982" s="16"/>
      <c r="J982" s="16"/>
      <c r="K982" s="16"/>
      <c r="L982" s="16"/>
      <c r="M982" s="1"/>
      <c r="N982" s="1"/>
      <c r="O982" s="1"/>
      <c r="P982" s="1"/>
      <c r="Q982" s="1"/>
      <c r="R982" s="1"/>
      <c r="S982" s="1"/>
      <c r="T982" s="1"/>
      <c r="U982" s="1"/>
      <c r="V982" s="1"/>
    </row>
    <row r="983" spans="1:22" ht="12.75" customHeight="1" x14ac:dyDescent="0.2">
      <c r="A983" s="16"/>
      <c r="B983" s="16"/>
      <c r="C983" s="16"/>
      <c r="D983" s="16"/>
      <c r="E983" s="16"/>
      <c r="F983" s="16"/>
      <c r="G983" s="16"/>
      <c r="H983" s="16"/>
      <c r="I983" s="16"/>
      <c r="J983" s="16"/>
      <c r="K983" s="16"/>
      <c r="L983" s="16"/>
      <c r="M983" s="1"/>
      <c r="N983" s="1"/>
      <c r="O983" s="1"/>
      <c r="P983" s="1"/>
      <c r="Q983" s="1"/>
      <c r="R983" s="1"/>
      <c r="S983" s="1"/>
      <c r="T983" s="1"/>
      <c r="U983" s="1"/>
      <c r="V983" s="1"/>
    </row>
    <row r="984" spans="1:22" ht="12.75" customHeight="1" x14ac:dyDescent="0.2">
      <c r="A984" s="16"/>
      <c r="B984" s="16"/>
      <c r="C984" s="16"/>
      <c r="D984" s="16"/>
      <c r="E984" s="16"/>
      <c r="F984" s="16"/>
      <c r="G984" s="16"/>
      <c r="H984" s="16"/>
      <c r="I984" s="16"/>
      <c r="J984" s="16"/>
      <c r="K984" s="16"/>
      <c r="L984" s="16"/>
      <c r="M984" s="1"/>
      <c r="N984" s="1"/>
      <c r="O984" s="1"/>
      <c r="P984" s="1"/>
      <c r="Q984" s="1"/>
      <c r="R984" s="1"/>
      <c r="S984" s="1"/>
      <c r="T984" s="1"/>
      <c r="U984" s="1"/>
      <c r="V984" s="1"/>
    </row>
    <row r="985" spans="1:22" ht="12.75" customHeight="1" x14ac:dyDescent="0.2">
      <c r="A985" s="16"/>
      <c r="B985" s="16"/>
      <c r="C985" s="16"/>
      <c r="D985" s="16"/>
      <c r="E985" s="16"/>
      <c r="F985" s="16"/>
      <c r="G985" s="16"/>
      <c r="H985" s="16"/>
      <c r="I985" s="16"/>
      <c r="J985" s="16"/>
      <c r="K985" s="16"/>
      <c r="L985" s="16"/>
      <c r="M985" s="1"/>
      <c r="N985" s="1"/>
      <c r="O985" s="1"/>
      <c r="P985" s="1"/>
      <c r="Q985" s="1"/>
      <c r="R985" s="1"/>
      <c r="S985" s="1"/>
      <c r="T985" s="1"/>
      <c r="U985" s="1"/>
      <c r="V985" s="1"/>
    </row>
    <row r="986" spans="1:22" ht="12.75" customHeight="1" x14ac:dyDescent="0.2">
      <c r="A986" s="16"/>
      <c r="B986" s="16"/>
      <c r="C986" s="16"/>
      <c r="D986" s="16"/>
      <c r="E986" s="16"/>
      <c r="F986" s="16"/>
      <c r="G986" s="16"/>
      <c r="H986" s="16"/>
      <c r="I986" s="16"/>
      <c r="J986" s="16"/>
      <c r="K986" s="16"/>
      <c r="L986" s="16"/>
      <c r="M986" s="1"/>
      <c r="N986" s="1"/>
      <c r="O986" s="1"/>
      <c r="P986" s="1"/>
      <c r="Q986" s="1"/>
      <c r="R986" s="1"/>
      <c r="S986" s="1"/>
      <c r="T986" s="1"/>
      <c r="U986" s="1"/>
      <c r="V986" s="1"/>
    </row>
    <row r="987" spans="1:22" ht="12.75" customHeight="1" x14ac:dyDescent="0.2">
      <c r="A987" s="16"/>
      <c r="B987" s="16"/>
      <c r="C987" s="16"/>
      <c r="D987" s="16"/>
      <c r="E987" s="16"/>
      <c r="F987" s="16"/>
      <c r="G987" s="16"/>
      <c r="H987" s="16"/>
      <c r="I987" s="16"/>
      <c r="J987" s="16"/>
      <c r="K987" s="16"/>
      <c r="L987" s="16"/>
      <c r="M987" s="1"/>
      <c r="N987" s="1"/>
      <c r="O987" s="1"/>
      <c r="P987" s="1"/>
      <c r="Q987" s="1"/>
      <c r="R987" s="1"/>
      <c r="S987" s="1"/>
      <c r="T987" s="1"/>
      <c r="U987" s="1"/>
      <c r="V987" s="1"/>
    </row>
    <row r="988" spans="1:22" ht="12.75" customHeight="1" x14ac:dyDescent="0.2">
      <c r="A988" s="16"/>
      <c r="B988" s="16"/>
      <c r="C988" s="16"/>
      <c r="D988" s="16"/>
      <c r="E988" s="16"/>
      <c r="F988" s="16"/>
      <c r="G988" s="16"/>
      <c r="H988" s="16"/>
      <c r="I988" s="16"/>
      <c r="J988" s="16"/>
      <c r="K988" s="16"/>
      <c r="L988" s="16"/>
      <c r="M988" s="1"/>
      <c r="N988" s="1"/>
      <c r="O988" s="1"/>
      <c r="P988" s="1"/>
      <c r="Q988" s="1"/>
      <c r="R988" s="1"/>
      <c r="S988" s="1"/>
      <c r="T988" s="1"/>
      <c r="U988" s="1"/>
      <c r="V988" s="1"/>
    </row>
    <row r="989" spans="1:22" ht="12.75" customHeight="1" x14ac:dyDescent="0.2">
      <c r="A989" s="16"/>
      <c r="B989" s="16"/>
      <c r="C989" s="16"/>
      <c r="D989" s="16"/>
      <c r="E989" s="16"/>
      <c r="F989" s="16"/>
      <c r="G989" s="16"/>
      <c r="H989" s="16"/>
      <c r="I989" s="16"/>
      <c r="J989" s="16"/>
      <c r="K989" s="16"/>
      <c r="L989" s="16"/>
      <c r="M989" s="1"/>
      <c r="N989" s="1"/>
      <c r="O989" s="1"/>
      <c r="P989" s="1"/>
      <c r="Q989" s="1"/>
      <c r="R989" s="1"/>
      <c r="S989" s="1"/>
      <c r="T989" s="1"/>
      <c r="U989" s="1"/>
      <c r="V989" s="1"/>
    </row>
    <row r="990" spans="1:22" ht="12.75" customHeight="1" x14ac:dyDescent="0.2">
      <c r="A990" s="16"/>
      <c r="B990" s="16"/>
      <c r="C990" s="16"/>
      <c r="D990" s="16"/>
      <c r="E990" s="16"/>
      <c r="F990" s="16"/>
      <c r="G990" s="16"/>
      <c r="H990" s="16"/>
      <c r="I990" s="16"/>
      <c r="J990" s="16"/>
      <c r="K990" s="16"/>
      <c r="L990" s="16"/>
      <c r="M990" s="1"/>
      <c r="N990" s="1"/>
      <c r="O990" s="1"/>
      <c r="P990" s="1"/>
      <c r="Q990" s="1"/>
      <c r="R990" s="1"/>
      <c r="S990" s="1"/>
      <c r="T990" s="1"/>
      <c r="U990" s="1"/>
      <c r="V990" s="1"/>
    </row>
    <row r="991" spans="1:22" ht="12.75" customHeight="1" x14ac:dyDescent="0.2">
      <c r="A991" s="16"/>
      <c r="B991" s="16"/>
      <c r="C991" s="16"/>
      <c r="D991" s="16"/>
      <c r="E991" s="16"/>
      <c r="F991" s="16"/>
      <c r="G991" s="16"/>
      <c r="H991" s="16"/>
      <c r="I991" s="16"/>
      <c r="J991" s="16"/>
      <c r="K991" s="16"/>
      <c r="L991" s="16"/>
      <c r="M991" s="1"/>
      <c r="N991" s="1"/>
      <c r="O991" s="1"/>
      <c r="P991" s="1"/>
      <c r="Q991" s="1"/>
      <c r="R991" s="1"/>
      <c r="S991" s="1"/>
      <c r="T991" s="1"/>
      <c r="U991" s="1"/>
      <c r="V991" s="1"/>
    </row>
    <row r="992" spans="1:22" ht="12.75" customHeight="1" x14ac:dyDescent="0.2">
      <c r="A992" s="16"/>
      <c r="B992" s="16"/>
      <c r="C992" s="16"/>
      <c r="D992" s="16"/>
      <c r="E992" s="16"/>
      <c r="F992" s="16"/>
      <c r="G992" s="16"/>
      <c r="H992" s="16"/>
      <c r="I992" s="16"/>
      <c r="J992" s="16"/>
      <c r="K992" s="16"/>
      <c r="L992" s="16"/>
      <c r="M992" s="1"/>
      <c r="N992" s="1"/>
      <c r="O992" s="1"/>
      <c r="P992" s="1"/>
      <c r="Q992" s="1"/>
      <c r="R992" s="1"/>
      <c r="S992" s="1"/>
      <c r="T992" s="1"/>
      <c r="U992" s="1"/>
      <c r="V992" s="1"/>
    </row>
    <row r="993" spans="1:22" ht="12.75" customHeight="1" x14ac:dyDescent="0.2">
      <c r="A993" s="16"/>
      <c r="B993" s="16"/>
      <c r="C993" s="16"/>
      <c r="D993" s="16"/>
      <c r="E993" s="16"/>
      <c r="F993" s="16"/>
      <c r="G993" s="16"/>
      <c r="H993" s="16"/>
      <c r="I993" s="16"/>
      <c r="J993" s="16"/>
      <c r="K993" s="16"/>
      <c r="L993" s="16"/>
      <c r="M993" s="1"/>
      <c r="N993" s="1"/>
      <c r="O993" s="1"/>
      <c r="P993" s="1"/>
      <c r="Q993" s="1"/>
      <c r="R993" s="1"/>
      <c r="S993" s="1"/>
      <c r="T993" s="1"/>
      <c r="U993" s="1"/>
      <c r="V993" s="1"/>
    </row>
    <row r="994" spans="1:22" ht="12.75" customHeight="1" x14ac:dyDescent="0.2">
      <c r="A994" s="16"/>
      <c r="B994" s="16"/>
      <c r="C994" s="16"/>
      <c r="D994" s="16"/>
      <c r="E994" s="16"/>
      <c r="F994" s="16"/>
      <c r="G994" s="16"/>
      <c r="H994" s="16"/>
      <c r="I994" s="16"/>
      <c r="J994" s="16"/>
      <c r="K994" s="16"/>
      <c r="L994" s="16"/>
      <c r="M994" s="1"/>
      <c r="N994" s="1"/>
      <c r="O994" s="1"/>
      <c r="P994" s="1"/>
      <c r="Q994" s="1"/>
      <c r="R994" s="1"/>
      <c r="S994" s="1"/>
      <c r="T994" s="1"/>
      <c r="U994" s="1"/>
      <c r="V994" s="1"/>
    </row>
    <row r="995" spans="1:22" ht="12.75" customHeight="1" x14ac:dyDescent="0.2">
      <c r="A995" s="16"/>
      <c r="B995" s="16"/>
      <c r="C995" s="16"/>
      <c r="D995" s="16"/>
      <c r="E995" s="16"/>
      <c r="F995" s="16"/>
      <c r="G995" s="16"/>
      <c r="H995" s="16"/>
      <c r="I995" s="16"/>
      <c r="J995" s="16"/>
      <c r="K995" s="16"/>
      <c r="L995" s="16"/>
      <c r="M995" s="1"/>
      <c r="N995" s="1"/>
      <c r="O995" s="1"/>
      <c r="P995" s="1"/>
      <c r="Q995" s="1"/>
      <c r="R995" s="1"/>
      <c r="S995" s="1"/>
      <c r="T995" s="1"/>
      <c r="U995" s="1"/>
      <c r="V995" s="1"/>
    </row>
    <row r="996" spans="1:22" ht="12.75" customHeight="1" x14ac:dyDescent="0.2">
      <c r="A996" s="16"/>
      <c r="B996" s="16"/>
      <c r="C996" s="16"/>
      <c r="D996" s="16"/>
      <c r="E996" s="16"/>
      <c r="F996" s="16"/>
      <c r="G996" s="16"/>
      <c r="H996" s="16"/>
      <c r="I996" s="16"/>
      <c r="J996" s="16"/>
      <c r="K996" s="16"/>
      <c r="L996" s="16"/>
      <c r="M996" s="1"/>
      <c r="N996" s="1"/>
      <c r="O996" s="1"/>
      <c r="P996" s="1"/>
      <c r="Q996" s="1"/>
      <c r="R996" s="1"/>
      <c r="S996" s="1"/>
      <c r="T996" s="1"/>
      <c r="U996" s="1"/>
      <c r="V996" s="1"/>
    </row>
    <row r="997" spans="1:22" ht="12.75" customHeight="1" x14ac:dyDescent="0.2">
      <c r="A997" s="16"/>
      <c r="B997" s="16"/>
      <c r="C997" s="16"/>
      <c r="D997" s="16"/>
      <c r="E997" s="16"/>
      <c r="F997" s="16"/>
      <c r="G997" s="16"/>
      <c r="H997" s="16"/>
      <c r="I997" s="16"/>
      <c r="J997" s="16"/>
      <c r="K997" s="16"/>
      <c r="L997" s="16"/>
      <c r="M997" s="1"/>
      <c r="N997" s="1"/>
      <c r="O997" s="1"/>
      <c r="P997" s="1"/>
      <c r="Q997" s="1"/>
      <c r="R997" s="1"/>
      <c r="S997" s="1"/>
      <c r="T997" s="1"/>
      <c r="U997" s="1"/>
      <c r="V997" s="1"/>
    </row>
    <row r="998" spans="1:22" ht="12.75" customHeight="1" x14ac:dyDescent="0.2">
      <c r="A998" s="16"/>
      <c r="B998" s="16"/>
      <c r="C998" s="16"/>
      <c r="D998" s="16"/>
      <c r="E998" s="16"/>
      <c r="F998" s="16"/>
      <c r="G998" s="16"/>
      <c r="H998" s="16"/>
      <c r="I998" s="16"/>
      <c r="J998" s="16"/>
      <c r="K998" s="16"/>
      <c r="L998" s="16"/>
      <c r="M998" s="1"/>
      <c r="N998" s="1"/>
      <c r="O998" s="1"/>
      <c r="P998" s="1"/>
      <c r="Q998" s="1"/>
      <c r="R998" s="1"/>
      <c r="S998" s="1"/>
      <c r="T998" s="1"/>
      <c r="U998" s="1"/>
      <c r="V998" s="1"/>
    </row>
    <row r="999" spans="1:22" ht="12.75" customHeight="1" x14ac:dyDescent="0.2">
      <c r="A999" s="16"/>
      <c r="B999" s="16"/>
      <c r="C999" s="16"/>
      <c r="D999" s="16"/>
      <c r="E999" s="16"/>
      <c r="F999" s="16"/>
      <c r="G999" s="16"/>
      <c r="H999" s="16"/>
      <c r="I999" s="16"/>
      <c r="J999" s="16"/>
      <c r="K999" s="16"/>
      <c r="L999" s="16"/>
      <c r="M999" s="1"/>
      <c r="N999" s="1"/>
      <c r="O999" s="1"/>
      <c r="P999" s="1"/>
      <c r="Q999" s="1"/>
      <c r="R999" s="1"/>
      <c r="S999" s="1"/>
      <c r="T999" s="1"/>
      <c r="U999" s="1"/>
      <c r="V999" s="1"/>
    </row>
    <row r="1000" spans="1:22" ht="12.75" customHeight="1" x14ac:dyDescent="0.2">
      <c r="A1000" s="16"/>
      <c r="B1000" s="16"/>
      <c r="C1000" s="16"/>
      <c r="D1000" s="16"/>
      <c r="E1000" s="16"/>
      <c r="F1000" s="16"/>
      <c r="G1000" s="16"/>
      <c r="H1000" s="16"/>
      <c r="I1000" s="16"/>
      <c r="J1000" s="16"/>
      <c r="K1000" s="16"/>
      <c r="L1000" s="16"/>
      <c r="M1000" s="1"/>
      <c r="N1000" s="1"/>
      <c r="O1000" s="1"/>
      <c r="P1000" s="1"/>
      <c r="Q1000" s="1"/>
      <c r="R1000" s="1"/>
      <c r="S1000" s="1"/>
      <c r="T1000" s="1"/>
      <c r="U1000" s="1"/>
      <c r="V1000" s="1"/>
    </row>
    <row r="1001" spans="1:22" ht="12.75" customHeight="1" x14ac:dyDescent="0.2">
      <c r="A1001" s="16"/>
      <c r="B1001" s="16"/>
      <c r="C1001" s="16"/>
      <c r="D1001" s="16"/>
      <c r="E1001" s="16"/>
      <c r="F1001" s="16"/>
      <c r="G1001" s="16"/>
      <c r="H1001" s="16"/>
      <c r="I1001" s="16"/>
      <c r="J1001" s="16"/>
      <c r="K1001" s="16"/>
      <c r="L1001" s="16"/>
      <c r="M1001" s="1"/>
      <c r="N1001" s="1"/>
      <c r="O1001" s="1"/>
      <c r="P1001" s="1"/>
      <c r="Q1001" s="1"/>
      <c r="R1001" s="1"/>
      <c r="S1001" s="1"/>
      <c r="T1001" s="1"/>
      <c r="U1001" s="1"/>
      <c r="V1001" s="1"/>
    </row>
  </sheetData>
  <mergeCells count="11">
    <mergeCell ref="C3:D3"/>
    <mergeCell ref="E3:F3"/>
    <mergeCell ref="A1:L1"/>
    <mergeCell ref="G3:H3"/>
    <mergeCell ref="I3:J3"/>
    <mergeCell ref="K3:L3"/>
    <mergeCell ref="G2:L2"/>
    <mergeCell ref="A2:B2"/>
    <mergeCell ref="C2:D2"/>
    <mergeCell ref="E2:F2"/>
    <mergeCell ref="A3:B3"/>
  </mergeCells>
  <pageMargins left="0.75" right="0.75" top="1" bottom="1" header="0.3" footer="0.3"/>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998"/>
  <sheetViews>
    <sheetView workbookViewId="0">
      <pane xSplit="1" ySplit="4" topLeftCell="B38" activePane="bottomRight" state="frozen"/>
      <selection pane="topRight" activeCell="B1" sqref="B1"/>
      <selection pane="bottomLeft" activeCell="A5" sqref="A5"/>
      <selection pane="bottomRight" activeCell="M21" sqref="M21"/>
    </sheetView>
  </sheetViews>
  <sheetFormatPr defaultColWidth="17.28515625" defaultRowHeight="15" customHeight="1" x14ac:dyDescent="0.2"/>
  <cols>
    <col min="1" max="1" width="12.28515625" customWidth="1"/>
    <col min="2" max="2" width="9.5703125" customWidth="1"/>
    <col min="3" max="3" width="10.85546875" customWidth="1"/>
    <col min="4" max="4" width="11.7109375" customWidth="1"/>
    <col min="5" max="5" width="9" customWidth="1"/>
    <col min="6" max="6" width="8.7109375" customWidth="1"/>
    <col min="7" max="7" width="7.42578125" customWidth="1"/>
    <col min="8" max="8" width="8.85546875" customWidth="1"/>
    <col min="9" max="9" width="7.28515625" customWidth="1"/>
    <col min="10" max="10" width="10.28515625" customWidth="1"/>
    <col min="11" max="11" width="9" customWidth="1"/>
    <col min="12" max="12" width="10.7109375" customWidth="1"/>
    <col min="13" max="22" width="11.42578125" customWidth="1"/>
    <col min="23" max="26" width="10" customWidth="1"/>
  </cols>
  <sheetData>
    <row r="1" spans="1:26" ht="12.75" customHeight="1" x14ac:dyDescent="0.2">
      <c r="A1" s="163" t="s">
        <v>369</v>
      </c>
      <c r="B1" s="162"/>
      <c r="C1" s="162"/>
      <c r="D1" s="162"/>
      <c r="E1" s="162"/>
      <c r="F1" s="162"/>
      <c r="G1" s="162"/>
      <c r="H1" s="162"/>
      <c r="I1" s="162"/>
      <c r="J1" s="162"/>
      <c r="K1" s="162"/>
      <c r="L1" s="160"/>
      <c r="M1" s="1"/>
      <c r="N1" s="1"/>
      <c r="O1" s="1"/>
      <c r="P1" s="1"/>
      <c r="Q1" s="1"/>
      <c r="R1" s="1"/>
      <c r="S1" s="1"/>
      <c r="T1" s="1"/>
      <c r="U1" s="1"/>
      <c r="V1" s="1"/>
      <c r="W1" s="1"/>
      <c r="X1" s="1"/>
      <c r="Y1" s="1"/>
      <c r="Z1" s="1"/>
    </row>
    <row r="2" spans="1:26" ht="12" customHeight="1" x14ac:dyDescent="0.2">
      <c r="A2" s="155" t="s">
        <v>103</v>
      </c>
      <c r="B2" s="160"/>
      <c r="C2" s="156" t="s">
        <v>523</v>
      </c>
      <c r="D2" s="167"/>
      <c r="E2" s="157" t="s">
        <v>370</v>
      </c>
      <c r="F2" s="164"/>
      <c r="G2" s="161"/>
      <c r="H2" s="162"/>
      <c r="I2" s="162"/>
      <c r="J2" s="162"/>
      <c r="K2" s="162"/>
      <c r="L2" s="160"/>
      <c r="M2" s="1"/>
      <c r="N2" s="1"/>
      <c r="O2" s="1"/>
      <c r="P2" s="1"/>
      <c r="Q2" s="1"/>
      <c r="R2" s="1"/>
      <c r="S2" s="1"/>
      <c r="T2" s="1"/>
      <c r="U2" s="1"/>
      <c r="V2" s="1"/>
      <c r="W2" s="1"/>
      <c r="X2" s="1"/>
      <c r="Y2" s="1"/>
      <c r="Z2" s="1"/>
    </row>
    <row r="3" spans="1:26" ht="12" customHeight="1" x14ac:dyDescent="0.2">
      <c r="A3" s="154" t="s">
        <v>101</v>
      </c>
      <c r="B3" s="160"/>
      <c r="C3" s="152" t="s">
        <v>40</v>
      </c>
      <c r="D3" s="167"/>
      <c r="E3" s="148" t="s">
        <v>43</v>
      </c>
      <c r="F3" s="164"/>
      <c r="G3" s="147" t="s">
        <v>107</v>
      </c>
      <c r="H3" s="160"/>
      <c r="I3" s="147" t="s">
        <v>30</v>
      </c>
      <c r="J3" s="160"/>
      <c r="K3" s="147" t="s">
        <v>108</v>
      </c>
      <c r="L3" s="160"/>
      <c r="M3" s="1"/>
      <c r="N3" s="1"/>
      <c r="O3" s="1"/>
      <c r="P3" s="1"/>
      <c r="Q3" s="1"/>
      <c r="R3" s="1"/>
      <c r="S3" s="1"/>
      <c r="T3" s="1"/>
      <c r="U3" s="1"/>
      <c r="V3" s="1"/>
      <c r="W3" s="1"/>
      <c r="X3" s="1"/>
      <c r="Y3" s="1"/>
      <c r="Z3" s="1"/>
    </row>
    <row r="4" spans="1:26" ht="12" customHeight="1" x14ac:dyDescent="0.2">
      <c r="A4" s="12"/>
      <c r="B4" s="12">
        <f>+B12+B13+B20+B21+B29+B30+B36+B37+B44+B45+B50+B51+B53+B54+B62+B63</f>
        <v>13779</v>
      </c>
      <c r="C4" s="78">
        <f>SUM(C12,C20,C29,C36,C44,C50,C53,C62,C63)</f>
        <v>3169</v>
      </c>
      <c r="D4" s="79">
        <f>IF((I4=0),"",(C4/I4))</f>
        <v>0.41408597935450148</v>
      </c>
      <c r="E4" s="63">
        <f>SUM(E12,E20,E29,E36,E44,E50,E53,E62,E63)</f>
        <v>4325</v>
      </c>
      <c r="F4" s="64">
        <f>IF((I4=0),"",(E4/I4))</f>
        <v>0.56513785443616882</v>
      </c>
      <c r="G4" s="12">
        <f>SUM(G12,G20,G29,G36,G44,G50,G53,G62,G63)</f>
        <v>159</v>
      </c>
      <c r="H4" s="13">
        <f>IF((I4=0),"",(G4/I4))</f>
        <v>2.0776166209329674E-2</v>
      </c>
      <c r="I4" s="12">
        <f>SUM(I12,I20,I29,I36,I44,I50,I53,I62,I63)</f>
        <v>7653</v>
      </c>
      <c r="J4" s="13">
        <f>IF((B4=0),"",(I4/B4))</f>
        <v>0.55541040714130196</v>
      </c>
      <c r="K4" s="12">
        <f>B4-I4</f>
        <v>6126</v>
      </c>
      <c r="L4" s="13">
        <f>IF((B4=0),"",(K4/B4))</f>
        <v>0.44458959285869804</v>
      </c>
      <c r="M4" s="1"/>
      <c r="N4" s="1"/>
      <c r="O4" s="1"/>
      <c r="P4" s="1"/>
      <c r="Q4" s="1"/>
      <c r="R4" s="1"/>
      <c r="S4" s="1"/>
      <c r="T4" s="1"/>
      <c r="U4" s="1"/>
      <c r="V4" s="1"/>
      <c r="W4" s="1"/>
      <c r="X4" s="1"/>
      <c r="Y4" s="1"/>
      <c r="Z4" s="1"/>
    </row>
    <row r="5" spans="1:26" ht="12" customHeight="1" x14ac:dyDescent="0.2">
      <c r="A5" s="14" t="s">
        <v>371</v>
      </c>
      <c r="B5" s="32" t="s">
        <v>372</v>
      </c>
      <c r="C5" s="86"/>
      <c r="D5" s="86"/>
      <c r="E5" s="90"/>
      <c r="F5" s="90"/>
      <c r="G5" s="16"/>
      <c r="H5" s="16"/>
      <c r="I5" s="16"/>
      <c r="J5" s="16"/>
      <c r="K5" s="16"/>
      <c r="L5" s="16"/>
      <c r="M5" s="1"/>
      <c r="N5" s="1"/>
      <c r="O5" s="1"/>
      <c r="P5" s="1"/>
      <c r="Q5" s="1"/>
      <c r="R5" s="1"/>
      <c r="S5" s="1"/>
      <c r="T5" s="1"/>
      <c r="U5" s="1"/>
      <c r="V5" s="1"/>
      <c r="W5" s="1"/>
      <c r="X5" s="1"/>
      <c r="Y5" s="1"/>
      <c r="Z5" s="1"/>
    </row>
    <row r="6" spans="1:26" ht="12" customHeight="1" x14ac:dyDescent="0.2">
      <c r="A6" s="15" t="s">
        <v>111</v>
      </c>
      <c r="B6" s="15">
        <v>331</v>
      </c>
      <c r="C6" s="81">
        <v>69</v>
      </c>
      <c r="D6" s="82">
        <f t="shared" ref="D6:D12" si="0">IF((I6=0),"",(C6/I6))</f>
        <v>0.44230769230769229</v>
      </c>
      <c r="E6" s="66">
        <v>86</v>
      </c>
      <c r="F6" s="67">
        <f t="shared" ref="F6:F12" si="1">IF((I6=0),"",(E6/I6))</f>
        <v>0.55128205128205132</v>
      </c>
      <c r="G6" s="15">
        <v>1</v>
      </c>
      <c r="H6" s="17">
        <f t="shared" ref="H6:H12" si="2">IF((I6=0),"",(G6/I6))</f>
        <v>6.41025641025641E-3</v>
      </c>
      <c r="I6" s="15">
        <f t="shared" ref="I6:I11" si="3">SUM(C6,E6,G6)</f>
        <v>156</v>
      </c>
      <c r="J6" s="17">
        <f t="shared" ref="J6:J12" si="4">IF((B6=0),"",(I6/B6))</f>
        <v>0.47129909365558914</v>
      </c>
      <c r="K6" s="15">
        <f t="shared" ref="K6:K11" si="5">B6-I6</f>
        <v>175</v>
      </c>
      <c r="L6" s="17">
        <f t="shared" ref="L6:L12" si="6">IF((B6=0),"",(K6/B6))</f>
        <v>0.52870090634441091</v>
      </c>
      <c r="M6" s="1"/>
      <c r="N6" s="1"/>
      <c r="O6" s="1"/>
      <c r="P6" s="1"/>
      <c r="Q6" s="1"/>
      <c r="R6" s="1"/>
      <c r="S6" s="1"/>
      <c r="T6" s="1"/>
      <c r="U6" s="1"/>
      <c r="V6" s="1"/>
      <c r="W6" s="1"/>
      <c r="X6" s="1"/>
      <c r="Y6" s="1"/>
      <c r="Z6" s="1"/>
    </row>
    <row r="7" spans="1:26" ht="12" customHeight="1" x14ac:dyDescent="0.2">
      <c r="A7" s="15" t="s">
        <v>131</v>
      </c>
      <c r="B7" s="15">
        <v>385</v>
      </c>
      <c r="C7" s="81">
        <v>83</v>
      </c>
      <c r="D7" s="82">
        <f t="shared" si="0"/>
        <v>0.44148936170212766</v>
      </c>
      <c r="E7" s="66">
        <v>99</v>
      </c>
      <c r="F7" s="67">
        <f t="shared" si="1"/>
        <v>0.52659574468085102</v>
      </c>
      <c r="G7" s="15">
        <v>6</v>
      </c>
      <c r="H7" s="17">
        <f t="shared" si="2"/>
        <v>3.1914893617021274E-2</v>
      </c>
      <c r="I7" s="15">
        <f t="shared" si="3"/>
        <v>188</v>
      </c>
      <c r="J7" s="17">
        <f t="shared" si="4"/>
        <v>0.48831168831168831</v>
      </c>
      <c r="K7" s="29">
        <f t="shared" si="5"/>
        <v>197</v>
      </c>
      <c r="L7" s="17">
        <f t="shared" si="6"/>
        <v>0.51168831168831164</v>
      </c>
      <c r="M7" s="1"/>
      <c r="N7" s="1"/>
      <c r="O7" s="1"/>
      <c r="P7" s="1"/>
      <c r="Q7" s="1"/>
      <c r="R7" s="1"/>
      <c r="S7" s="1"/>
      <c r="T7" s="1"/>
      <c r="U7" s="1"/>
      <c r="V7" s="1"/>
      <c r="W7" s="1"/>
      <c r="X7" s="1"/>
      <c r="Y7" s="1"/>
      <c r="Z7" s="1"/>
    </row>
    <row r="8" spans="1:26" ht="12" customHeight="1" x14ac:dyDescent="0.2">
      <c r="A8" s="15" t="s">
        <v>222</v>
      </c>
      <c r="B8" s="15">
        <v>306</v>
      </c>
      <c r="C8" s="81">
        <v>81</v>
      </c>
      <c r="D8" s="82">
        <f t="shared" si="0"/>
        <v>0.47928994082840237</v>
      </c>
      <c r="E8" s="66">
        <v>84</v>
      </c>
      <c r="F8" s="67">
        <f t="shared" si="1"/>
        <v>0.49704142011834318</v>
      </c>
      <c r="G8" s="15">
        <v>4</v>
      </c>
      <c r="H8" s="17">
        <f t="shared" si="2"/>
        <v>2.3668639053254437E-2</v>
      </c>
      <c r="I8" s="15">
        <f t="shared" si="3"/>
        <v>169</v>
      </c>
      <c r="J8" s="17">
        <f t="shared" si="4"/>
        <v>0.55228758169934644</v>
      </c>
      <c r="K8" s="29">
        <f t="shared" si="5"/>
        <v>137</v>
      </c>
      <c r="L8" s="17">
        <f t="shared" si="6"/>
        <v>0.44771241830065361</v>
      </c>
      <c r="M8" s="1"/>
      <c r="N8" s="1"/>
      <c r="O8" s="1"/>
      <c r="P8" s="1"/>
      <c r="Q8" s="1"/>
      <c r="R8" s="1"/>
      <c r="S8" s="1"/>
      <c r="T8" s="1"/>
      <c r="U8" s="1"/>
      <c r="V8" s="1"/>
      <c r="W8" s="1"/>
      <c r="X8" s="1"/>
      <c r="Y8" s="1"/>
      <c r="Z8" s="1"/>
    </row>
    <row r="9" spans="1:26" ht="12" customHeight="1" x14ac:dyDescent="0.2">
      <c r="A9" s="15" t="s">
        <v>204</v>
      </c>
      <c r="B9" s="15">
        <v>336</v>
      </c>
      <c r="C9" s="81">
        <v>68</v>
      </c>
      <c r="D9" s="82">
        <f t="shared" si="0"/>
        <v>0.45333333333333331</v>
      </c>
      <c r="E9" s="66">
        <v>72</v>
      </c>
      <c r="F9" s="67">
        <f t="shared" si="1"/>
        <v>0.48</v>
      </c>
      <c r="G9" s="15">
        <v>10</v>
      </c>
      <c r="H9" s="17">
        <f t="shared" si="2"/>
        <v>6.6666666666666666E-2</v>
      </c>
      <c r="I9" s="15">
        <f t="shared" si="3"/>
        <v>150</v>
      </c>
      <c r="J9" s="17">
        <f t="shared" si="4"/>
        <v>0.44642857142857145</v>
      </c>
      <c r="K9" s="29">
        <f t="shared" si="5"/>
        <v>186</v>
      </c>
      <c r="L9" s="17">
        <f t="shared" si="6"/>
        <v>0.5535714285714286</v>
      </c>
      <c r="M9" s="1"/>
      <c r="N9" s="1"/>
      <c r="O9" s="1"/>
      <c r="P9" s="1"/>
      <c r="Q9" s="1"/>
      <c r="R9" s="1"/>
      <c r="S9" s="1"/>
      <c r="T9" s="1"/>
      <c r="U9" s="1"/>
      <c r="V9" s="1"/>
      <c r="W9" s="1"/>
      <c r="X9" s="1"/>
      <c r="Y9" s="1"/>
      <c r="Z9" s="1"/>
    </row>
    <row r="10" spans="1:26" ht="12" customHeight="1" x14ac:dyDescent="0.2">
      <c r="A10" s="15" t="s">
        <v>153</v>
      </c>
      <c r="B10" s="15">
        <v>332</v>
      </c>
      <c r="C10" s="81">
        <v>93</v>
      </c>
      <c r="D10" s="82">
        <f t="shared" si="0"/>
        <v>0.52542372881355937</v>
      </c>
      <c r="E10" s="66">
        <v>82</v>
      </c>
      <c r="F10" s="67">
        <f t="shared" si="1"/>
        <v>0.4632768361581921</v>
      </c>
      <c r="G10" s="15">
        <v>2</v>
      </c>
      <c r="H10" s="17">
        <f t="shared" si="2"/>
        <v>1.1299435028248588E-2</v>
      </c>
      <c r="I10" s="15">
        <f t="shared" si="3"/>
        <v>177</v>
      </c>
      <c r="J10" s="17">
        <f t="shared" si="4"/>
        <v>0.5331325301204819</v>
      </c>
      <c r="K10" s="29">
        <f t="shared" si="5"/>
        <v>155</v>
      </c>
      <c r="L10" s="17">
        <f t="shared" si="6"/>
        <v>0.46686746987951805</v>
      </c>
      <c r="M10" s="1"/>
      <c r="N10" s="1"/>
      <c r="O10" s="1"/>
      <c r="P10" s="1"/>
      <c r="Q10" s="1"/>
      <c r="R10" s="1"/>
      <c r="S10" s="1"/>
      <c r="T10" s="1"/>
      <c r="U10" s="1"/>
      <c r="V10" s="1"/>
      <c r="W10" s="1"/>
      <c r="X10" s="1"/>
      <c r="Y10" s="1"/>
      <c r="Z10" s="1"/>
    </row>
    <row r="11" spans="1:26" ht="12" customHeight="1" x14ac:dyDescent="0.2">
      <c r="A11" s="15" t="s">
        <v>145</v>
      </c>
      <c r="B11" s="15">
        <v>373</v>
      </c>
      <c r="C11" s="81">
        <v>85</v>
      </c>
      <c r="D11" s="82">
        <f t="shared" si="0"/>
        <v>0.4521276595744681</v>
      </c>
      <c r="E11" s="66">
        <v>100</v>
      </c>
      <c r="F11" s="67">
        <f t="shared" si="1"/>
        <v>0.53191489361702127</v>
      </c>
      <c r="G11" s="15">
        <v>3</v>
      </c>
      <c r="H11" s="17">
        <f t="shared" si="2"/>
        <v>1.5957446808510637E-2</v>
      </c>
      <c r="I11" s="15">
        <f t="shared" si="3"/>
        <v>188</v>
      </c>
      <c r="J11" s="17">
        <f t="shared" si="4"/>
        <v>0.50402144772117963</v>
      </c>
      <c r="K11" s="29">
        <f t="shared" si="5"/>
        <v>185</v>
      </c>
      <c r="L11" s="17">
        <f t="shared" si="6"/>
        <v>0.49597855227882037</v>
      </c>
      <c r="M11" s="1"/>
      <c r="N11" s="1"/>
      <c r="O11" s="1"/>
      <c r="P11" s="1"/>
      <c r="Q11" s="1"/>
      <c r="R11" s="1"/>
      <c r="S11" s="1"/>
      <c r="T11" s="1"/>
      <c r="U11" s="1"/>
      <c r="V11" s="1"/>
      <c r="W11" s="1"/>
      <c r="X11" s="1"/>
      <c r="Y11" s="1"/>
      <c r="Z11" s="1"/>
    </row>
    <row r="12" spans="1:26" ht="12" customHeight="1" x14ac:dyDescent="0.2">
      <c r="A12" s="12" t="s">
        <v>120</v>
      </c>
      <c r="B12" s="12">
        <f>SUM(B6:B11)</f>
        <v>2063</v>
      </c>
      <c r="C12" s="78">
        <f>SUM(C6:C11)</f>
        <v>479</v>
      </c>
      <c r="D12" s="79">
        <f t="shared" si="0"/>
        <v>0.46595330739299612</v>
      </c>
      <c r="E12" s="63">
        <f>SUM(E6:E11)</f>
        <v>523</v>
      </c>
      <c r="F12" s="64">
        <f t="shared" si="1"/>
        <v>0.50875486381322954</v>
      </c>
      <c r="G12" s="12">
        <f>SUM(G6:G11)</f>
        <v>26</v>
      </c>
      <c r="H12" s="13">
        <f t="shared" si="2"/>
        <v>2.5291828793774319E-2</v>
      </c>
      <c r="I12" s="12">
        <f>SUM(I6:I11)</f>
        <v>1028</v>
      </c>
      <c r="J12" s="13">
        <f t="shared" si="4"/>
        <v>0.49830344158991757</v>
      </c>
      <c r="K12" s="12">
        <f>SUM(K6:K11)</f>
        <v>1035</v>
      </c>
      <c r="L12" s="13">
        <f t="shared" si="6"/>
        <v>0.50169655841008243</v>
      </c>
      <c r="M12" s="1"/>
      <c r="N12" s="1"/>
      <c r="O12" s="1"/>
      <c r="P12" s="1"/>
      <c r="Q12" s="1"/>
      <c r="R12" s="1"/>
      <c r="S12" s="1"/>
      <c r="T12" s="1"/>
      <c r="U12" s="1"/>
      <c r="V12" s="1"/>
      <c r="W12" s="1"/>
      <c r="X12" s="1"/>
      <c r="Y12" s="1"/>
      <c r="Z12" s="1"/>
    </row>
    <row r="13" spans="1:26" s="53" customFormat="1" ht="12" customHeight="1" x14ac:dyDescent="0.2">
      <c r="A13" s="32" t="s">
        <v>542</v>
      </c>
      <c r="B13" s="32">
        <v>19</v>
      </c>
      <c r="C13" s="78"/>
      <c r="D13" s="79"/>
      <c r="E13" s="63"/>
      <c r="F13" s="64"/>
      <c r="G13" s="32"/>
      <c r="H13" s="28"/>
      <c r="I13" s="32"/>
      <c r="J13" s="28"/>
      <c r="K13" s="32"/>
      <c r="L13" s="28"/>
      <c r="M13" s="1"/>
      <c r="N13" s="1"/>
      <c r="O13" s="1"/>
      <c r="P13" s="1"/>
      <c r="Q13" s="1"/>
      <c r="R13" s="1"/>
      <c r="S13" s="1"/>
      <c r="T13" s="1"/>
      <c r="U13" s="1"/>
      <c r="V13" s="1"/>
      <c r="W13" s="1"/>
      <c r="X13" s="1"/>
      <c r="Y13" s="1"/>
      <c r="Z13" s="1"/>
    </row>
    <row r="14" spans="1:26" ht="12" customHeight="1" x14ac:dyDescent="0.2">
      <c r="A14" s="14" t="s">
        <v>373</v>
      </c>
      <c r="B14" s="32" t="s">
        <v>374</v>
      </c>
      <c r="C14" s="86"/>
      <c r="D14" s="86"/>
      <c r="E14" s="90"/>
      <c r="F14" s="90"/>
      <c r="G14" s="16"/>
      <c r="H14" s="16"/>
      <c r="I14" s="16"/>
      <c r="J14" s="16"/>
      <c r="K14" s="16"/>
      <c r="L14" s="16"/>
      <c r="M14" s="1"/>
      <c r="N14" s="1"/>
      <c r="O14" s="1"/>
      <c r="P14" s="1"/>
      <c r="Q14" s="1"/>
      <c r="R14" s="1"/>
      <c r="S14" s="1"/>
      <c r="T14" s="1"/>
      <c r="U14" s="1"/>
      <c r="V14" s="1"/>
      <c r="W14" s="1"/>
      <c r="X14" s="1"/>
      <c r="Y14" s="1"/>
      <c r="Z14" s="1"/>
    </row>
    <row r="15" spans="1:26" ht="12" customHeight="1" x14ac:dyDescent="0.2">
      <c r="A15" s="15" t="s">
        <v>125</v>
      </c>
      <c r="B15" s="15">
        <v>416</v>
      </c>
      <c r="C15" s="81">
        <v>104</v>
      </c>
      <c r="D15" s="82">
        <f t="shared" ref="D15:D20" si="7">IF((I15=0),"",(C15/I15))</f>
        <v>0.40784313725490196</v>
      </c>
      <c r="E15" s="66">
        <v>147</v>
      </c>
      <c r="F15" s="67">
        <f t="shared" ref="F15:F20" si="8">IF((I15=0),"",(E15/I15))</f>
        <v>0.57647058823529407</v>
      </c>
      <c r="G15" s="15">
        <v>4</v>
      </c>
      <c r="H15" s="17">
        <f t="shared" ref="H15:H20" si="9">IF((I15=0),"",(G15/I15))</f>
        <v>1.5686274509803921E-2</v>
      </c>
      <c r="I15" s="15">
        <f>SUM(C15,E15,G15)</f>
        <v>255</v>
      </c>
      <c r="J15" s="17">
        <f t="shared" ref="J15:J20" si="10">IF((B15=0),"",(I15/B15))</f>
        <v>0.61298076923076927</v>
      </c>
      <c r="K15" s="29">
        <f t="shared" ref="K15:K20" si="11">B15-I15</f>
        <v>161</v>
      </c>
      <c r="L15" s="17">
        <f t="shared" ref="L15:L20" si="12">IF((B15=0),"",(K15/B15))</f>
        <v>0.38701923076923078</v>
      </c>
      <c r="M15" s="1"/>
      <c r="N15" s="1"/>
      <c r="O15" s="1"/>
      <c r="P15" s="1"/>
      <c r="Q15" s="1"/>
      <c r="R15" s="1"/>
      <c r="S15" s="1"/>
      <c r="T15" s="1"/>
      <c r="U15" s="1"/>
      <c r="V15" s="1"/>
      <c r="W15" s="1"/>
      <c r="X15" s="1"/>
      <c r="Y15" s="1"/>
      <c r="Z15" s="1"/>
    </row>
    <row r="16" spans="1:26" ht="12" customHeight="1" x14ac:dyDescent="0.2">
      <c r="A16" s="15" t="s">
        <v>230</v>
      </c>
      <c r="B16" s="15">
        <v>312</v>
      </c>
      <c r="C16" s="81">
        <v>74</v>
      </c>
      <c r="D16" s="82">
        <f t="shared" si="7"/>
        <v>0.39572192513368987</v>
      </c>
      <c r="E16" s="66">
        <v>113</v>
      </c>
      <c r="F16" s="67">
        <f t="shared" si="8"/>
        <v>0.60427807486631013</v>
      </c>
      <c r="G16" s="15">
        <v>0</v>
      </c>
      <c r="H16" s="17">
        <f t="shared" si="9"/>
        <v>0</v>
      </c>
      <c r="I16" s="15">
        <f>SUM(C16,E16,G16)</f>
        <v>187</v>
      </c>
      <c r="J16" s="17">
        <f t="shared" si="10"/>
        <v>0.59935897435897434</v>
      </c>
      <c r="K16" s="29">
        <f t="shared" si="11"/>
        <v>125</v>
      </c>
      <c r="L16" s="17">
        <f t="shared" si="12"/>
        <v>0.40064102564102566</v>
      </c>
      <c r="M16" s="1"/>
      <c r="N16" s="1"/>
      <c r="O16" s="1"/>
      <c r="P16" s="1"/>
      <c r="Q16" s="1"/>
      <c r="R16" s="1"/>
      <c r="S16" s="1"/>
      <c r="T16" s="1"/>
      <c r="U16" s="1"/>
      <c r="V16" s="1"/>
      <c r="W16" s="1"/>
      <c r="X16" s="1"/>
      <c r="Y16" s="1"/>
      <c r="Z16" s="1"/>
    </row>
    <row r="17" spans="1:26" ht="12" customHeight="1" x14ac:dyDescent="0.2">
      <c r="A17" s="15" t="s">
        <v>204</v>
      </c>
      <c r="B17" s="15">
        <v>369</v>
      </c>
      <c r="C17" s="81">
        <v>83</v>
      </c>
      <c r="D17" s="82">
        <f t="shared" si="7"/>
        <v>0.35622317596566522</v>
      </c>
      <c r="E17" s="66">
        <v>149</v>
      </c>
      <c r="F17" s="67">
        <f t="shared" si="8"/>
        <v>0.63948497854077258</v>
      </c>
      <c r="G17" s="15">
        <v>1</v>
      </c>
      <c r="H17" s="17">
        <f t="shared" si="9"/>
        <v>4.2918454935622317E-3</v>
      </c>
      <c r="I17" s="15">
        <f>SUM(C17,E17,G17)</f>
        <v>233</v>
      </c>
      <c r="J17" s="17">
        <f t="shared" si="10"/>
        <v>0.63143631436314362</v>
      </c>
      <c r="K17" s="29">
        <f t="shared" si="11"/>
        <v>136</v>
      </c>
      <c r="L17" s="17">
        <f t="shared" si="12"/>
        <v>0.36856368563685638</v>
      </c>
      <c r="M17" s="1"/>
      <c r="N17" s="1"/>
      <c r="O17" s="1"/>
      <c r="P17" s="1"/>
      <c r="Q17" s="1"/>
      <c r="R17" s="1"/>
      <c r="S17" s="1"/>
      <c r="T17" s="1"/>
      <c r="U17" s="1"/>
      <c r="V17" s="1"/>
      <c r="W17" s="1"/>
      <c r="X17" s="1"/>
      <c r="Y17" s="1"/>
      <c r="Z17" s="1"/>
    </row>
    <row r="18" spans="1:26" ht="12" customHeight="1" x14ac:dyDescent="0.2">
      <c r="A18" s="15" t="s">
        <v>126</v>
      </c>
      <c r="B18" s="15">
        <v>397</v>
      </c>
      <c r="C18" s="81">
        <v>97</v>
      </c>
      <c r="D18" s="82">
        <f t="shared" si="7"/>
        <v>0.4127659574468085</v>
      </c>
      <c r="E18" s="66">
        <v>135</v>
      </c>
      <c r="F18" s="67">
        <f t="shared" si="8"/>
        <v>0.57446808510638303</v>
      </c>
      <c r="G18" s="15">
        <v>3</v>
      </c>
      <c r="H18" s="17">
        <f t="shared" si="9"/>
        <v>1.276595744680851E-2</v>
      </c>
      <c r="I18" s="15">
        <f>SUM(C18,E18,G18)</f>
        <v>235</v>
      </c>
      <c r="J18" s="17">
        <f t="shared" si="10"/>
        <v>0.59193954659949621</v>
      </c>
      <c r="K18" s="29">
        <f t="shared" si="11"/>
        <v>162</v>
      </c>
      <c r="L18" s="17">
        <f t="shared" si="12"/>
        <v>0.40806045340050379</v>
      </c>
      <c r="M18" s="1"/>
      <c r="N18" s="1"/>
      <c r="O18" s="1"/>
      <c r="P18" s="1"/>
      <c r="Q18" s="1"/>
      <c r="R18" s="1"/>
      <c r="S18" s="1"/>
      <c r="T18" s="1"/>
      <c r="U18" s="1"/>
      <c r="V18" s="1"/>
      <c r="W18" s="1"/>
      <c r="X18" s="1"/>
      <c r="Y18" s="1"/>
      <c r="Z18" s="1"/>
    </row>
    <row r="19" spans="1:26" ht="12" customHeight="1" x14ac:dyDescent="0.2">
      <c r="A19" s="15" t="s">
        <v>123</v>
      </c>
      <c r="B19" s="15">
        <v>236</v>
      </c>
      <c r="C19" s="81">
        <v>64</v>
      </c>
      <c r="D19" s="82">
        <f t="shared" si="7"/>
        <v>0.42105263157894735</v>
      </c>
      <c r="E19" s="66">
        <v>86</v>
      </c>
      <c r="F19" s="67">
        <f t="shared" si="8"/>
        <v>0.56578947368421051</v>
      </c>
      <c r="G19" s="15">
        <v>2</v>
      </c>
      <c r="H19" s="17">
        <f t="shared" si="9"/>
        <v>1.3157894736842105E-2</v>
      </c>
      <c r="I19" s="15">
        <f>SUM(C19,E19,G19)</f>
        <v>152</v>
      </c>
      <c r="J19" s="17">
        <f t="shared" si="10"/>
        <v>0.64406779661016944</v>
      </c>
      <c r="K19" s="29">
        <f t="shared" si="11"/>
        <v>84</v>
      </c>
      <c r="L19" s="17">
        <f t="shared" si="12"/>
        <v>0.3559322033898305</v>
      </c>
      <c r="M19" s="1"/>
      <c r="N19" s="1"/>
      <c r="O19" s="1"/>
      <c r="P19" s="1"/>
      <c r="Q19" s="1"/>
      <c r="R19" s="1"/>
      <c r="S19" s="1"/>
      <c r="T19" s="1"/>
      <c r="U19" s="1"/>
      <c r="V19" s="1"/>
      <c r="W19" s="1"/>
      <c r="X19" s="1"/>
      <c r="Y19" s="1"/>
      <c r="Z19" s="1"/>
    </row>
    <row r="20" spans="1:26" ht="12" customHeight="1" x14ac:dyDescent="0.2">
      <c r="A20" s="12" t="s">
        <v>120</v>
      </c>
      <c r="B20" s="12">
        <f>SUM(B15:B19)</f>
        <v>1730</v>
      </c>
      <c r="C20" s="78">
        <f>SUM(C15:C19)</f>
        <v>422</v>
      </c>
      <c r="D20" s="79">
        <f t="shared" si="7"/>
        <v>0.39736346516007531</v>
      </c>
      <c r="E20" s="63">
        <f>SUM(E15:E19)</f>
        <v>630</v>
      </c>
      <c r="F20" s="64">
        <f t="shared" si="8"/>
        <v>0.59322033898305082</v>
      </c>
      <c r="G20" s="12">
        <f>SUM(G15:G19)</f>
        <v>10</v>
      </c>
      <c r="H20" s="13">
        <f t="shared" si="9"/>
        <v>9.4161958568738224E-3</v>
      </c>
      <c r="I20" s="12">
        <f>SUM(I15:I19)</f>
        <v>1062</v>
      </c>
      <c r="J20" s="13">
        <f t="shared" si="10"/>
        <v>0.61387283236994217</v>
      </c>
      <c r="K20" s="12">
        <f t="shared" si="11"/>
        <v>668</v>
      </c>
      <c r="L20" s="13">
        <f t="shared" si="12"/>
        <v>0.38612716763005778</v>
      </c>
      <c r="M20" s="1"/>
      <c r="N20" s="1"/>
      <c r="O20" s="1"/>
      <c r="P20" s="1"/>
      <c r="Q20" s="1"/>
      <c r="R20" s="1"/>
      <c r="S20" s="1"/>
      <c r="T20" s="1"/>
      <c r="U20" s="1"/>
      <c r="V20" s="1"/>
      <c r="W20" s="1"/>
      <c r="X20" s="1"/>
      <c r="Y20" s="1"/>
      <c r="Z20" s="1"/>
    </row>
    <row r="21" spans="1:26" s="53" customFormat="1" ht="12" customHeight="1" x14ac:dyDescent="0.2">
      <c r="A21" s="32" t="s">
        <v>542</v>
      </c>
      <c r="B21" s="32">
        <v>6</v>
      </c>
      <c r="C21" s="78"/>
      <c r="D21" s="79"/>
      <c r="E21" s="63"/>
      <c r="F21" s="64"/>
      <c r="G21" s="32"/>
      <c r="H21" s="28"/>
      <c r="I21" s="32"/>
      <c r="J21" s="28"/>
      <c r="K21" s="32"/>
      <c r="L21" s="28"/>
      <c r="M21" s="1"/>
      <c r="N21" s="1"/>
      <c r="O21" s="1"/>
      <c r="P21" s="1"/>
      <c r="Q21" s="1"/>
      <c r="R21" s="1"/>
      <c r="S21" s="1"/>
      <c r="T21" s="1"/>
      <c r="U21" s="1"/>
      <c r="V21" s="1"/>
      <c r="W21" s="1"/>
      <c r="X21" s="1"/>
      <c r="Y21" s="1"/>
      <c r="Z21" s="1"/>
    </row>
    <row r="22" spans="1:26" ht="12" customHeight="1" x14ac:dyDescent="0.2">
      <c r="A22" s="14" t="s">
        <v>375</v>
      </c>
      <c r="B22" s="32" t="s">
        <v>376</v>
      </c>
      <c r="C22" s="86"/>
      <c r="D22" s="86"/>
      <c r="E22" s="90"/>
      <c r="F22" s="90"/>
      <c r="G22" s="16"/>
      <c r="H22" s="16"/>
      <c r="I22" s="16"/>
      <c r="J22" s="16"/>
      <c r="K22" s="16"/>
      <c r="L22" s="16"/>
      <c r="M22" s="1"/>
      <c r="N22" s="1"/>
      <c r="O22" s="1"/>
      <c r="P22" s="1"/>
      <c r="Q22" s="1"/>
      <c r="R22" s="1"/>
      <c r="S22" s="1"/>
      <c r="T22" s="1"/>
      <c r="U22" s="1"/>
      <c r="V22" s="1"/>
      <c r="W22" s="1"/>
      <c r="X22" s="1"/>
      <c r="Y22" s="1"/>
      <c r="Z22" s="1"/>
    </row>
    <row r="23" spans="1:26" ht="12.75" customHeight="1" x14ac:dyDescent="0.25">
      <c r="A23" s="15" t="s">
        <v>136</v>
      </c>
      <c r="B23" s="27">
        <v>311</v>
      </c>
      <c r="C23" s="81">
        <v>53</v>
      </c>
      <c r="D23" s="82">
        <f t="shared" ref="D23:D29" si="13">IF((I23=0),"",(C23/I23))</f>
        <v>0.32317073170731708</v>
      </c>
      <c r="E23" s="66">
        <v>109</v>
      </c>
      <c r="F23" s="67">
        <f t="shared" ref="F23:F29" si="14">IF((I23=0),"",(E23/I23))</f>
        <v>0.66463414634146345</v>
      </c>
      <c r="G23" s="15">
        <v>2</v>
      </c>
      <c r="H23" s="17">
        <f t="shared" ref="H23:H29" si="15">IF((I23=0),"",(G23/I23))</f>
        <v>1.2195121951219513E-2</v>
      </c>
      <c r="I23" s="15">
        <f t="shared" ref="I23:I28" si="16">SUM(C23,E23,G23)</f>
        <v>164</v>
      </c>
      <c r="J23" s="17">
        <f t="shared" ref="J23:J29" si="17">IF((B23=0),"",(I23/B23))</f>
        <v>0.52733118971061088</v>
      </c>
      <c r="K23" s="29">
        <f t="shared" ref="K23:K28" si="18">B23-I23</f>
        <v>147</v>
      </c>
      <c r="L23" s="17">
        <f t="shared" ref="L23:L29" si="19">IF((B23=0),"",(K23/B23))</f>
        <v>0.47266881028938906</v>
      </c>
      <c r="M23" s="1"/>
      <c r="N23" s="1"/>
      <c r="O23" s="1"/>
      <c r="P23" s="1"/>
      <c r="Q23" s="1"/>
      <c r="R23" s="1"/>
      <c r="S23" s="1"/>
      <c r="T23" s="1"/>
      <c r="U23" s="1"/>
      <c r="V23" s="1"/>
      <c r="W23" s="1"/>
      <c r="X23" s="1"/>
      <c r="Y23" s="1"/>
      <c r="Z23" s="1"/>
    </row>
    <row r="24" spans="1:26" ht="12" customHeight="1" x14ac:dyDescent="0.2">
      <c r="A24" s="15" t="s">
        <v>143</v>
      </c>
      <c r="B24" s="15">
        <v>381</v>
      </c>
      <c r="C24" s="81">
        <v>71</v>
      </c>
      <c r="D24" s="82">
        <f t="shared" si="13"/>
        <v>0.34134615384615385</v>
      </c>
      <c r="E24" s="66">
        <v>132</v>
      </c>
      <c r="F24" s="67">
        <f t="shared" si="14"/>
        <v>0.63461538461538458</v>
      </c>
      <c r="G24" s="15">
        <v>5</v>
      </c>
      <c r="H24" s="17">
        <f t="shared" si="15"/>
        <v>2.403846153846154E-2</v>
      </c>
      <c r="I24" s="15">
        <f t="shared" si="16"/>
        <v>208</v>
      </c>
      <c r="J24" s="17">
        <f t="shared" si="17"/>
        <v>0.54593175853018372</v>
      </c>
      <c r="K24" s="29">
        <f t="shared" si="18"/>
        <v>173</v>
      </c>
      <c r="L24" s="17">
        <f t="shared" si="19"/>
        <v>0.45406824146981628</v>
      </c>
      <c r="M24" s="1"/>
      <c r="N24" s="1"/>
      <c r="O24" s="1"/>
      <c r="P24" s="1"/>
      <c r="Q24" s="1"/>
      <c r="R24" s="1"/>
      <c r="S24" s="1"/>
      <c r="T24" s="1"/>
      <c r="U24" s="1"/>
      <c r="V24" s="1"/>
      <c r="W24" s="1"/>
      <c r="X24" s="1"/>
      <c r="Y24" s="1"/>
      <c r="Z24" s="1"/>
    </row>
    <row r="25" spans="1:26" ht="12.75" customHeight="1" x14ac:dyDescent="0.25">
      <c r="A25" s="15" t="s">
        <v>404</v>
      </c>
      <c r="B25" s="27">
        <v>338</v>
      </c>
      <c r="C25" s="81">
        <v>55</v>
      </c>
      <c r="D25" s="82">
        <f t="shared" si="13"/>
        <v>0.3089887640449438</v>
      </c>
      <c r="E25" s="66">
        <v>115</v>
      </c>
      <c r="F25" s="67">
        <f t="shared" si="14"/>
        <v>0.6460674157303371</v>
      </c>
      <c r="G25" s="15">
        <v>8</v>
      </c>
      <c r="H25" s="17">
        <f t="shared" si="15"/>
        <v>4.49438202247191E-2</v>
      </c>
      <c r="I25" s="15">
        <f t="shared" si="16"/>
        <v>178</v>
      </c>
      <c r="J25" s="17">
        <f t="shared" si="17"/>
        <v>0.52662721893491127</v>
      </c>
      <c r="K25" s="29">
        <f t="shared" si="18"/>
        <v>160</v>
      </c>
      <c r="L25" s="17">
        <f t="shared" si="19"/>
        <v>0.47337278106508873</v>
      </c>
      <c r="M25" s="1"/>
      <c r="N25" s="1"/>
      <c r="O25" s="1"/>
      <c r="P25" s="1"/>
      <c r="Q25" s="1"/>
      <c r="R25" s="1"/>
      <c r="S25" s="1"/>
      <c r="T25" s="1"/>
      <c r="U25" s="1"/>
      <c r="V25" s="1"/>
      <c r="W25" s="1"/>
      <c r="X25" s="1"/>
      <c r="Y25" s="1"/>
      <c r="Z25" s="1"/>
    </row>
    <row r="26" spans="1:26" ht="12.75" customHeight="1" x14ac:dyDescent="0.25">
      <c r="A26" s="15" t="s">
        <v>531</v>
      </c>
      <c r="B26" s="27">
        <v>418</v>
      </c>
      <c r="C26" s="81">
        <v>109</v>
      </c>
      <c r="D26" s="82">
        <f t="shared" si="13"/>
        <v>0.45228215767634855</v>
      </c>
      <c r="E26" s="66">
        <v>129</v>
      </c>
      <c r="F26" s="67">
        <f t="shared" si="14"/>
        <v>0.53526970954356845</v>
      </c>
      <c r="G26" s="15">
        <v>3</v>
      </c>
      <c r="H26" s="17">
        <f t="shared" si="15"/>
        <v>1.2448132780082987E-2</v>
      </c>
      <c r="I26" s="15">
        <f t="shared" si="16"/>
        <v>241</v>
      </c>
      <c r="J26" s="17">
        <f t="shared" si="17"/>
        <v>0.57655502392344493</v>
      </c>
      <c r="K26" s="29">
        <f t="shared" si="18"/>
        <v>177</v>
      </c>
      <c r="L26" s="17">
        <f t="shared" si="19"/>
        <v>0.42344497607655501</v>
      </c>
      <c r="M26" s="1"/>
      <c r="N26" s="1"/>
      <c r="O26" s="1"/>
      <c r="P26" s="1"/>
      <c r="Q26" s="1"/>
      <c r="R26" s="1"/>
      <c r="S26" s="1"/>
      <c r="T26" s="1"/>
      <c r="U26" s="1"/>
      <c r="V26" s="1"/>
      <c r="W26" s="1"/>
      <c r="X26" s="1"/>
      <c r="Y26" s="1"/>
      <c r="Z26" s="1"/>
    </row>
    <row r="27" spans="1:26" ht="12" customHeight="1" x14ac:dyDescent="0.2">
      <c r="A27" s="15" t="s">
        <v>117</v>
      </c>
      <c r="B27" s="15">
        <v>231</v>
      </c>
      <c r="C27" s="81">
        <v>56</v>
      </c>
      <c r="D27" s="82">
        <f t="shared" si="13"/>
        <v>0.44094488188976377</v>
      </c>
      <c r="E27" s="66">
        <v>69</v>
      </c>
      <c r="F27" s="67">
        <f t="shared" si="14"/>
        <v>0.54330708661417326</v>
      </c>
      <c r="G27" s="15">
        <v>2</v>
      </c>
      <c r="H27" s="17">
        <f t="shared" si="15"/>
        <v>1.5748031496062992E-2</v>
      </c>
      <c r="I27" s="15">
        <f t="shared" si="16"/>
        <v>127</v>
      </c>
      <c r="J27" s="17">
        <f t="shared" si="17"/>
        <v>0.54978354978354982</v>
      </c>
      <c r="K27" s="29">
        <f t="shared" si="18"/>
        <v>104</v>
      </c>
      <c r="L27" s="17">
        <f t="shared" si="19"/>
        <v>0.45021645021645024</v>
      </c>
      <c r="M27" s="1"/>
      <c r="N27" s="1"/>
      <c r="O27" s="1"/>
      <c r="P27" s="1"/>
      <c r="Q27" s="1"/>
      <c r="R27" s="1"/>
      <c r="S27" s="1"/>
      <c r="T27" s="1"/>
      <c r="U27" s="1"/>
      <c r="V27" s="1"/>
      <c r="W27" s="1"/>
      <c r="X27" s="1"/>
      <c r="Y27" s="1"/>
      <c r="Z27" s="1"/>
    </row>
    <row r="28" spans="1:26" ht="12.75" customHeight="1" x14ac:dyDescent="0.25">
      <c r="A28" s="15" t="s">
        <v>123</v>
      </c>
      <c r="B28" s="27">
        <v>270</v>
      </c>
      <c r="C28" s="81">
        <v>65</v>
      </c>
      <c r="D28" s="82">
        <f t="shared" si="13"/>
        <v>0.43333333333333335</v>
      </c>
      <c r="E28" s="66">
        <v>83</v>
      </c>
      <c r="F28" s="67">
        <f t="shared" si="14"/>
        <v>0.55333333333333334</v>
      </c>
      <c r="G28" s="15">
        <v>2</v>
      </c>
      <c r="H28" s="17">
        <f t="shared" si="15"/>
        <v>1.3333333333333334E-2</v>
      </c>
      <c r="I28" s="15">
        <f t="shared" si="16"/>
        <v>150</v>
      </c>
      <c r="J28" s="17">
        <f t="shared" si="17"/>
        <v>0.55555555555555558</v>
      </c>
      <c r="K28" s="29">
        <f t="shared" si="18"/>
        <v>120</v>
      </c>
      <c r="L28" s="17">
        <f t="shared" si="19"/>
        <v>0.44444444444444442</v>
      </c>
      <c r="M28" s="1"/>
      <c r="N28" s="1"/>
      <c r="O28" s="1"/>
      <c r="P28" s="1"/>
      <c r="Q28" s="1"/>
      <c r="R28" s="1"/>
      <c r="S28" s="1"/>
      <c r="T28" s="1"/>
      <c r="U28" s="1"/>
      <c r="V28" s="1"/>
      <c r="W28" s="1"/>
      <c r="X28" s="1"/>
      <c r="Y28" s="1"/>
      <c r="Z28" s="1"/>
    </row>
    <row r="29" spans="1:26" ht="12" customHeight="1" x14ac:dyDescent="0.2">
      <c r="A29" s="12" t="s">
        <v>120</v>
      </c>
      <c r="B29" s="12">
        <f>SUM(B23:B28)</f>
        <v>1949</v>
      </c>
      <c r="C29" s="78">
        <f>SUM(C23:C28)</f>
        <v>409</v>
      </c>
      <c r="D29" s="79">
        <f t="shared" si="13"/>
        <v>0.38295880149812733</v>
      </c>
      <c r="E29" s="63">
        <f>SUM(E23:E28)</f>
        <v>637</v>
      </c>
      <c r="F29" s="64">
        <f t="shared" si="14"/>
        <v>0.59644194756554303</v>
      </c>
      <c r="G29" s="12">
        <f>SUM(G23:G28)</f>
        <v>22</v>
      </c>
      <c r="H29" s="13">
        <f t="shared" si="15"/>
        <v>2.0599250936329586E-2</v>
      </c>
      <c r="I29" s="12">
        <f>SUM(I23:I28)</f>
        <v>1068</v>
      </c>
      <c r="J29" s="13">
        <f t="shared" si="17"/>
        <v>0.54797331965110307</v>
      </c>
      <c r="K29" s="12">
        <f>B29-I29</f>
        <v>881</v>
      </c>
      <c r="L29" s="13">
        <f t="shared" si="19"/>
        <v>0.45202668034889687</v>
      </c>
      <c r="M29" s="1"/>
      <c r="N29" s="1"/>
      <c r="O29" s="1"/>
      <c r="P29" s="1"/>
      <c r="Q29" s="1"/>
      <c r="R29" s="1"/>
      <c r="S29" s="1"/>
      <c r="T29" s="1"/>
      <c r="U29" s="1"/>
      <c r="V29" s="1"/>
      <c r="W29" s="1"/>
      <c r="X29" s="1"/>
      <c r="Y29" s="1"/>
      <c r="Z29" s="1"/>
    </row>
    <row r="30" spans="1:26" s="53" customFormat="1" ht="12" customHeight="1" x14ac:dyDescent="0.2">
      <c r="A30" s="32" t="s">
        <v>542</v>
      </c>
      <c r="B30" s="32">
        <v>16</v>
      </c>
      <c r="C30" s="78"/>
      <c r="D30" s="79"/>
      <c r="E30" s="63"/>
      <c r="F30" s="64"/>
      <c r="G30" s="32"/>
      <c r="H30" s="28"/>
      <c r="I30" s="32"/>
      <c r="J30" s="28"/>
      <c r="K30" s="32"/>
      <c r="L30" s="28"/>
      <c r="M30" s="1"/>
      <c r="N30" s="1"/>
      <c r="O30" s="1"/>
      <c r="P30" s="1"/>
      <c r="Q30" s="1"/>
      <c r="R30" s="1"/>
      <c r="S30" s="1"/>
      <c r="T30" s="1"/>
      <c r="U30" s="1"/>
      <c r="V30" s="1"/>
      <c r="W30" s="1"/>
      <c r="X30" s="1"/>
      <c r="Y30" s="1"/>
      <c r="Z30" s="1"/>
    </row>
    <row r="31" spans="1:26" ht="12" customHeight="1" x14ac:dyDescent="0.2">
      <c r="A31" s="14" t="s">
        <v>377</v>
      </c>
      <c r="B31" s="32" t="s">
        <v>378</v>
      </c>
      <c r="C31" s="86"/>
      <c r="D31" s="86"/>
      <c r="E31" s="90"/>
      <c r="F31" s="90"/>
      <c r="G31" s="16"/>
      <c r="H31" s="16"/>
      <c r="I31" s="16"/>
      <c r="J31" s="16"/>
      <c r="K31" s="16"/>
      <c r="L31" s="16"/>
      <c r="M31" s="1"/>
      <c r="N31" s="1"/>
      <c r="O31" s="1"/>
      <c r="P31" s="1"/>
      <c r="Q31" s="1"/>
      <c r="R31" s="1"/>
      <c r="S31" s="1"/>
      <c r="T31" s="1"/>
      <c r="U31" s="1"/>
      <c r="V31" s="1"/>
      <c r="W31" s="1"/>
      <c r="X31" s="1"/>
      <c r="Y31" s="1"/>
      <c r="Z31" s="1"/>
    </row>
    <row r="32" spans="1:26" ht="12" customHeight="1" x14ac:dyDescent="0.2">
      <c r="A32" s="15" t="s">
        <v>136</v>
      </c>
      <c r="B32" s="15">
        <v>437</v>
      </c>
      <c r="C32" s="81">
        <v>91</v>
      </c>
      <c r="D32" s="82">
        <f>IF((I32=0),"",(C32/I32))</f>
        <v>0.39565217391304347</v>
      </c>
      <c r="E32" s="66">
        <v>137</v>
      </c>
      <c r="F32" s="67">
        <f>IF((I32=0),"",(E32/I32))</f>
        <v>0.59565217391304348</v>
      </c>
      <c r="G32" s="15">
        <v>2</v>
      </c>
      <c r="H32" s="17">
        <f>IF((I32=0),"",(G32/I32))</f>
        <v>8.6956521739130436E-3</v>
      </c>
      <c r="I32" s="15">
        <f>SUM(C32,E32,G32)</f>
        <v>230</v>
      </c>
      <c r="J32" s="17">
        <f>IF((B32=0),"",(I32/B32))</f>
        <v>0.52631578947368418</v>
      </c>
      <c r="K32" s="29">
        <f>B32-I32</f>
        <v>207</v>
      </c>
      <c r="L32" s="17">
        <f>IF((B32=0),"",(K32/B32))</f>
        <v>0.47368421052631576</v>
      </c>
      <c r="M32" s="1"/>
      <c r="N32" s="1"/>
      <c r="O32" s="1"/>
      <c r="P32" s="1"/>
      <c r="Q32" s="1"/>
      <c r="R32" s="1"/>
      <c r="S32" s="1"/>
      <c r="T32" s="1"/>
      <c r="U32" s="1"/>
      <c r="V32" s="1"/>
      <c r="W32" s="1"/>
      <c r="X32" s="1"/>
      <c r="Y32" s="1"/>
      <c r="Z32" s="1"/>
    </row>
    <row r="33" spans="1:26" ht="12" customHeight="1" x14ac:dyDescent="0.2">
      <c r="A33" s="15" t="s">
        <v>339</v>
      </c>
      <c r="B33" s="15">
        <v>406</v>
      </c>
      <c r="C33" s="81">
        <v>80</v>
      </c>
      <c r="D33" s="82">
        <f>IF((I33=0),"",(C33/I33))</f>
        <v>0.4020100502512563</v>
      </c>
      <c r="E33" s="66">
        <v>116</v>
      </c>
      <c r="F33" s="67">
        <f>IF((I33=0),"",(E33/I33))</f>
        <v>0.58291457286432158</v>
      </c>
      <c r="G33" s="15">
        <v>3</v>
      </c>
      <c r="H33" s="17">
        <f>IF((I33=0),"",(G33/I33))</f>
        <v>1.507537688442211E-2</v>
      </c>
      <c r="I33" s="15">
        <f>SUM(C33,E33,G33)</f>
        <v>199</v>
      </c>
      <c r="J33" s="17">
        <f>IF((B33=0),"",(I33/B33))</f>
        <v>0.49014778325123154</v>
      </c>
      <c r="K33" s="29">
        <f>B33-I33</f>
        <v>207</v>
      </c>
      <c r="L33" s="17">
        <f>IF((B33=0),"",(K33/B33))</f>
        <v>0.50985221674876846</v>
      </c>
      <c r="M33" s="1"/>
      <c r="N33" s="1"/>
      <c r="O33" s="1"/>
      <c r="P33" s="1"/>
      <c r="Q33" s="1"/>
      <c r="R33" s="1"/>
      <c r="S33" s="1"/>
      <c r="T33" s="1"/>
      <c r="U33" s="1"/>
      <c r="V33" s="1"/>
      <c r="W33" s="1"/>
      <c r="X33" s="1"/>
      <c r="Y33" s="1"/>
      <c r="Z33" s="1"/>
    </row>
    <row r="34" spans="1:26" ht="12" customHeight="1" x14ac:dyDescent="0.2">
      <c r="A34" s="15" t="s">
        <v>268</v>
      </c>
      <c r="B34" s="15">
        <v>413</v>
      </c>
      <c r="C34" s="81">
        <v>96</v>
      </c>
      <c r="D34" s="82">
        <f>IF((I34=0),"",(C34/I34))</f>
        <v>0.44036697247706424</v>
      </c>
      <c r="E34" s="66">
        <v>112</v>
      </c>
      <c r="F34" s="67">
        <f>IF((I34=0),"",(E34/I34))</f>
        <v>0.51376146788990829</v>
      </c>
      <c r="G34" s="15">
        <v>10</v>
      </c>
      <c r="H34" s="17">
        <f>IF((I34=0),"",(G34/I34))</f>
        <v>4.5871559633027525E-2</v>
      </c>
      <c r="I34" s="15">
        <f>SUM(C34,E34,G34)</f>
        <v>218</v>
      </c>
      <c r="J34" s="17">
        <f>IF((B34=0),"",(I34/B34))</f>
        <v>0.52784503631961255</v>
      </c>
      <c r="K34" s="29">
        <f>B34-I34</f>
        <v>195</v>
      </c>
      <c r="L34" s="17">
        <f>IF((B34=0),"",(K34/B34))</f>
        <v>0.4721549636803874</v>
      </c>
      <c r="M34" s="1"/>
      <c r="N34" s="1"/>
      <c r="O34" s="1"/>
      <c r="P34" s="1"/>
      <c r="Q34" s="1"/>
      <c r="R34" s="1"/>
      <c r="S34" s="1"/>
      <c r="T34" s="1"/>
      <c r="U34" s="1"/>
      <c r="V34" s="1"/>
      <c r="W34" s="1"/>
      <c r="X34" s="1"/>
      <c r="Y34" s="1"/>
      <c r="Z34" s="1"/>
    </row>
    <row r="35" spans="1:26" ht="12" customHeight="1" x14ac:dyDescent="0.2">
      <c r="A35" s="15" t="s">
        <v>182</v>
      </c>
      <c r="B35" s="15">
        <v>410</v>
      </c>
      <c r="C35" s="81">
        <v>98</v>
      </c>
      <c r="D35" s="82">
        <f>IF((I35=0),"",(C35/I35))</f>
        <v>0.45161290322580644</v>
      </c>
      <c r="E35" s="66">
        <v>116</v>
      </c>
      <c r="F35" s="67">
        <f>IF((I35=0),"",(E35/I35))</f>
        <v>0.53456221198156684</v>
      </c>
      <c r="G35" s="15">
        <v>3</v>
      </c>
      <c r="H35" s="17">
        <f>IF((I35=0),"",(G35/I35))</f>
        <v>1.3824884792626729E-2</v>
      </c>
      <c r="I35" s="15">
        <f>SUM(C35,E35,G35)</f>
        <v>217</v>
      </c>
      <c r="J35" s="17">
        <f>IF((B35=0),"",(I35/B35))</f>
        <v>0.52926829268292686</v>
      </c>
      <c r="K35" s="29">
        <f>B35-I35</f>
        <v>193</v>
      </c>
      <c r="L35" s="17">
        <f>IF((B35=0),"",(K35/B35))</f>
        <v>0.47073170731707314</v>
      </c>
      <c r="M35" s="1"/>
      <c r="N35" s="1"/>
      <c r="O35" s="1"/>
      <c r="P35" s="1"/>
      <c r="Q35" s="1"/>
      <c r="R35" s="1"/>
      <c r="S35" s="1"/>
      <c r="T35" s="1"/>
      <c r="U35" s="1"/>
      <c r="V35" s="1"/>
      <c r="W35" s="1"/>
      <c r="X35" s="1"/>
      <c r="Y35" s="1"/>
      <c r="Z35" s="1"/>
    </row>
    <row r="36" spans="1:26" ht="12" customHeight="1" x14ac:dyDescent="0.2">
      <c r="A36" s="12" t="s">
        <v>120</v>
      </c>
      <c r="B36" s="12">
        <f>SUM(B32:B35)</f>
        <v>1666</v>
      </c>
      <c r="C36" s="78">
        <f>SUM(C32:C35)</f>
        <v>365</v>
      </c>
      <c r="D36" s="79">
        <f>IF((I36=0),"",(C36/I36))</f>
        <v>0.42245370370370372</v>
      </c>
      <c r="E36" s="63">
        <f>SUM(E32:E35)</f>
        <v>481</v>
      </c>
      <c r="F36" s="64">
        <f>IF((I36=0),"",(E36/I36))</f>
        <v>0.55671296296296291</v>
      </c>
      <c r="G36" s="12">
        <f>SUM(G32:G35)</f>
        <v>18</v>
      </c>
      <c r="H36" s="13">
        <f>IF((I36=0),"",(G36/I36))</f>
        <v>2.0833333333333332E-2</v>
      </c>
      <c r="I36" s="12">
        <f>SUM(I32:I35)</f>
        <v>864</v>
      </c>
      <c r="J36" s="13">
        <f>IF((B36=0),"",(I36/B36))</f>
        <v>0.51860744297719086</v>
      </c>
      <c r="K36" s="12">
        <f>B36-I36</f>
        <v>802</v>
      </c>
      <c r="L36" s="13">
        <f>IF((B36=0),"",(K36/B36))</f>
        <v>0.48139255702280914</v>
      </c>
      <c r="M36" s="1"/>
      <c r="N36" s="1"/>
      <c r="O36" s="1"/>
      <c r="P36" s="1"/>
      <c r="Q36" s="1"/>
      <c r="R36" s="1"/>
      <c r="S36" s="1"/>
      <c r="T36" s="1"/>
      <c r="U36" s="1"/>
      <c r="V36" s="1"/>
      <c r="W36" s="1"/>
      <c r="X36" s="1"/>
      <c r="Y36" s="1"/>
      <c r="Z36" s="1"/>
    </row>
    <row r="37" spans="1:26" s="53" customFormat="1" ht="12" customHeight="1" x14ac:dyDescent="0.2">
      <c r="A37" s="32" t="s">
        <v>542</v>
      </c>
      <c r="B37" s="32">
        <v>15</v>
      </c>
      <c r="C37" s="78"/>
      <c r="D37" s="79"/>
      <c r="E37" s="63"/>
      <c r="F37" s="64"/>
      <c r="G37" s="32"/>
      <c r="H37" s="28"/>
      <c r="I37" s="32"/>
      <c r="J37" s="28"/>
      <c r="K37" s="32"/>
      <c r="L37" s="28"/>
      <c r="M37" s="1"/>
      <c r="N37" s="1"/>
      <c r="O37" s="1"/>
      <c r="P37" s="1"/>
      <c r="Q37" s="1"/>
      <c r="R37" s="1"/>
      <c r="S37" s="1"/>
      <c r="T37" s="1"/>
      <c r="U37" s="1"/>
      <c r="V37" s="1"/>
      <c r="W37" s="1"/>
      <c r="X37" s="1"/>
      <c r="Y37" s="1"/>
      <c r="Z37" s="1"/>
    </row>
    <row r="38" spans="1:26" ht="12" customHeight="1" x14ac:dyDescent="0.2">
      <c r="A38" s="14" t="s">
        <v>379</v>
      </c>
      <c r="B38" s="32" t="s">
        <v>380</v>
      </c>
      <c r="C38" s="86"/>
      <c r="D38" s="86"/>
      <c r="E38" s="90"/>
      <c r="F38" s="90"/>
      <c r="G38" s="16"/>
      <c r="H38" s="16"/>
      <c r="I38" s="16"/>
      <c r="J38" s="16"/>
      <c r="K38" s="16"/>
      <c r="L38" s="16"/>
      <c r="M38" s="1"/>
      <c r="N38" s="1"/>
      <c r="O38" s="1"/>
      <c r="P38" s="1"/>
      <c r="Q38" s="1"/>
      <c r="R38" s="1"/>
      <c r="S38" s="1"/>
      <c r="T38" s="1"/>
      <c r="U38" s="1"/>
      <c r="V38" s="1"/>
      <c r="W38" s="1"/>
      <c r="X38" s="1"/>
      <c r="Y38" s="1"/>
      <c r="Z38" s="1"/>
    </row>
    <row r="39" spans="1:26" ht="12" customHeight="1" x14ac:dyDescent="0.2">
      <c r="A39" s="15" t="s">
        <v>402</v>
      </c>
      <c r="B39" s="15">
        <v>437</v>
      </c>
      <c r="C39" s="81">
        <v>134</v>
      </c>
      <c r="D39" s="82">
        <f t="shared" ref="D39:D44" si="20">IF((I39=0),"",(C39/I39))</f>
        <v>0.35170603674540685</v>
      </c>
      <c r="E39" s="66">
        <v>243</v>
      </c>
      <c r="F39" s="67">
        <f t="shared" ref="F39:F44" si="21">IF((I39=0),"",(E39/I39))</f>
        <v>0.63779527559055116</v>
      </c>
      <c r="G39" s="15">
        <v>4</v>
      </c>
      <c r="H39" s="17">
        <f t="shared" ref="H39:H44" si="22">IF((I39=0),"",(G39/I39))</f>
        <v>1.0498687664041995E-2</v>
      </c>
      <c r="I39" s="15">
        <f>SUM(C39,E39,G39)</f>
        <v>381</v>
      </c>
      <c r="J39" s="17">
        <f t="shared" ref="J39:J44" si="23">IF((B39=0),"",(I39/B39))</f>
        <v>0.87185354691075512</v>
      </c>
      <c r="K39" s="29">
        <f t="shared" ref="K39:K44" si="24">B39-I39</f>
        <v>56</v>
      </c>
      <c r="L39" s="17">
        <f t="shared" ref="L39:L44" si="25">IF((B39=0),"",(K39/B39))</f>
        <v>0.12814645308924486</v>
      </c>
      <c r="M39" s="1"/>
      <c r="N39" s="1"/>
      <c r="O39" s="1"/>
      <c r="P39" s="1"/>
      <c r="Q39" s="1"/>
      <c r="R39" s="1"/>
      <c r="S39" s="1"/>
      <c r="T39" s="1"/>
      <c r="U39" s="1"/>
      <c r="V39" s="1"/>
      <c r="W39" s="1"/>
      <c r="X39" s="1"/>
      <c r="Y39" s="1"/>
      <c r="Z39" s="1"/>
    </row>
    <row r="40" spans="1:26" ht="12" customHeight="1" x14ac:dyDescent="0.2">
      <c r="A40" s="15" t="s">
        <v>544</v>
      </c>
      <c r="B40" s="15">
        <v>431</v>
      </c>
      <c r="C40" s="81">
        <v>102</v>
      </c>
      <c r="D40" s="82">
        <f t="shared" si="20"/>
        <v>0.46363636363636362</v>
      </c>
      <c r="E40" s="66">
        <v>114</v>
      </c>
      <c r="F40" s="67">
        <f t="shared" si="21"/>
        <v>0.51818181818181819</v>
      </c>
      <c r="G40" s="15">
        <v>4</v>
      </c>
      <c r="H40" s="17">
        <f t="shared" si="22"/>
        <v>1.8181818181818181E-2</v>
      </c>
      <c r="I40" s="15">
        <f>SUM(C40,E40,G40)</f>
        <v>220</v>
      </c>
      <c r="J40" s="17">
        <f t="shared" si="23"/>
        <v>0.51044083526682138</v>
      </c>
      <c r="K40" s="29">
        <f t="shared" si="24"/>
        <v>211</v>
      </c>
      <c r="L40" s="17">
        <f t="shared" si="25"/>
        <v>0.48955916473317868</v>
      </c>
      <c r="M40" s="1"/>
      <c r="N40" s="1"/>
      <c r="O40" s="1"/>
      <c r="P40" s="1"/>
      <c r="Q40" s="1"/>
      <c r="R40" s="1"/>
      <c r="S40" s="1"/>
      <c r="T40" s="1"/>
      <c r="U40" s="1"/>
      <c r="V40" s="1"/>
      <c r="W40" s="1"/>
      <c r="X40" s="1"/>
      <c r="Y40" s="1"/>
      <c r="Z40" s="1"/>
    </row>
    <row r="41" spans="1:26" ht="12" customHeight="1" x14ac:dyDescent="0.2">
      <c r="A41" s="15" t="s">
        <v>545</v>
      </c>
      <c r="B41" s="15">
        <v>455</v>
      </c>
      <c r="C41" s="81">
        <v>95</v>
      </c>
      <c r="D41" s="82">
        <f t="shared" si="20"/>
        <v>0.39094650205761317</v>
      </c>
      <c r="E41" s="66">
        <v>146</v>
      </c>
      <c r="F41" s="67">
        <f t="shared" si="21"/>
        <v>0.60082304526748975</v>
      </c>
      <c r="G41" s="15">
        <v>2</v>
      </c>
      <c r="H41" s="17">
        <f t="shared" si="22"/>
        <v>8.23045267489712E-3</v>
      </c>
      <c r="I41" s="15">
        <f>SUM(C41,E41,G41)</f>
        <v>243</v>
      </c>
      <c r="J41" s="17">
        <f t="shared" si="23"/>
        <v>0.53406593406593406</v>
      </c>
      <c r="K41" s="29">
        <f t="shared" si="24"/>
        <v>212</v>
      </c>
      <c r="L41" s="17">
        <f t="shared" si="25"/>
        <v>0.46593406593406594</v>
      </c>
      <c r="M41" s="1"/>
      <c r="N41" s="1"/>
      <c r="O41" s="1"/>
      <c r="P41" s="1"/>
      <c r="Q41" s="1"/>
      <c r="R41" s="1"/>
      <c r="S41" s="1"/>
      <c r="T41" s="1"/>
      <c r="U41" s="1"/>
      <c r="V41" s="1"/>
      <c r="W41" s="1"/>
      <c r="X41" s="1"/>
      <c r="Y41" s="1"/>
      <c r="Z41" s="1"/>
    </row>
    <row r="42" spans="1:26" ht="12" customHeight="1" x14ac:dyDescent="0.2">
      <c r="A42" s="15" t="s">
        <v>486</v>
      </c>
      <c r="B42" s="15">
        <v>457</v>
      </c>
      <c r="C42" s="81">
        <v>103</v>
      </c>
      <c r="D42" s="82">
        <f t="shared" si="20"/>
        <v>0.42916666666666664</v>
      </c>
      <c r="E42" s="66">
        <v>134</v>
      </c>
      <c r="F42" s="67">
        <f t="shared" si="21"/>
        <v>0.55833333333333335</v>
      </c>
      <c r="G42" s="15">
        <v>3</v>
      </c>
      <c r="H42" s="17">
        <f t="shared" si="22"/>
        <v>1.2500000000000001E-2</v>
      </c>
      <c r="I42" s="15">
        <f>SUM(C42,E42,G42)</f>
        <v>240</v>
      </c>
      <c r="J42" s="17">
        <f t="shared" si="23"/>
        <v>0.52516411378555794</v>
      </c>
      <c r="K42" s="29">
        <f t="shared" si="24"/>
        <v>217</v>
      </c>
      <c r="L42" s="17">
        <f t="shared" si="25"/>
        <v>0.474835886214442</v>
      </c>
      <c r="M42" s="1"/>
      <c r="N42" s="1"/>
      <c r="O42" s="1"/>
      <c r="P42" s="1"/>
      <c r="Q42" s="1"/>
      <c r="R42" s="1"/>
      <c r="S42" s="1"/>
      <c r="T42" s="1"/>
      <c r="U42" s="1"/>
      <c r="V42" s="1"/>
      <c r="W42" s="1"/>
      <c r="X42" s="1"/>
      <c r="Y42" s="1"/>
      <c r="Z42" s="1"/>
    </row>
    <row r="43" spans="1:26" ht="12" customHeight="1" x14ac:dyDescent="0.2">
      <c r="A43" s="15" t="s">
        <v>134</v>
      </c>
      <c r="B43" s="15">
        <v>446</v>
      </c>
      <c r="C43" s="81">
        <v>63</v>
      </c>
      <c r="D43" s="82">
        <f t="shared" si="20"/>
        <v>0.29716981132075471</v>
      </c>
      <c r="E43" s="66">
        <v>146</v>
      </c>
      <c r="F43" s="67">
        <f t="shared" si="21"/>
        <v>0.68867924528301883</v>
      </c>
      <c r="G43" s="15">
        <v>3</v>
      </c>
      <c r="H43" s="17">
        <f t="shared" si="22"/>
        <v>1.4150943396226415E-2</v>
      </c>
      <c r="I43" s="15">
        <f>SUM(C43,E43,G43)</f>
        <v>212</v>
      </c>
      <c r="J43" s="17">
        <f t="shared" si="23"/>
        <v>0.47533632286995514</v>
      </c>
      <c r="K43" s="29">
        <f t="shared" si="24"/>
        <v>234</v>
      </c>
      <c r="L43" s="17">
        <f t="shared" si="25"/>
        <v>0.5246636771300448</v>
      </c>
      <c r="M43" s="1"/>
      <c r="N43" s="1"/>
      <c r="O43" s="1"/>
      <c r="P43" s="1"/>
      <c r="Q43" s="1"/>
      <c r="R43" s="1"/>
      <c r="S43" s="1"/>
      <c r="T43" s="1"/>
      <c r="U43" s="1"/>
      <c r="V43" s="1"/>
      <c r="W43" s="1"/>
      <c r="X43" s="1"/>
      <c r="Y43" s="1"/>
      <c r="Z43" s="1"/>
    </row>
    <row r="44" spans="1:26" ht="12" customHeight="1" x14ac:dyDescent="0.2">
      <c r="A44" s="12" t="s">
        <v>120</v>
      </c>
      <c r="B44" s="12">
        <f>SUM(B39:B43)</f>
        <v>2226</v>
      </c>
      <c r="C44" s="78">
        <f>SUM(C39:C43)</f>
        <v>497</v>
      </c>
      <c r="D44" s="79">
        <f t="shared" si="20"/>
        <v>0.38348765432098764</v>
      </c>
      <c r="E44" s="63">
        <f>SUM(E39:E43)</f>
        <v>783</v>
      </c>
      <c r="F44" s="64">
        <f t="shared" si="21"/>
        <v>0.60416666666666663</v>
      </c>
      <c r="G44" s="12">
        <f>SUM(G39:G43)</f>
        <v>16</v>
      </c>
      <c r="H44" s="13">
        <f t="shared" si="22"/>
        <v>1.2345679012345678E-2</v>
      </c>
      <c r="I44" s="12">
        <f>SUM(I39:I43)</f>
        <v>1296</v>
      </c>
      <c r="J44" s="13">
        <f t="shared" si="23"/>
        <v>0.58221024258760112</v>
      </c>
      <c r="K44" s="12">
        <f t="shared" si="24"/>
        <v>930</v>
      </c>
      <c r="L44" s="13">
        <f t="shared" si="25"/>
        <v>0.41778975741239893</v>
      </c>
      <c r="M44" s="1"/>
      <c r="N44" s="1"/>
      <c r="O44" s="1"/>
      <c r="P44" s="1"/>
      <c r="Q44" s="1"/>
      <c r="R44" s="1"/>
      <c r="S44" s="1"/>
      <c r="T44" s="1"/>
      <c r="U44" s="1"/>
      <c r="V44" s="1"/>
      <c r="W44" s="1"/>
      <c r="X44" s="1"/>
      <c r="Y44" s="1"/>
      <c r="Z44" s="1"/>
    </row>
    <row r="45" spans="1:26" s="53" customFormat="1" ht="12" customHeight="1" x14ac:dyDescent="0.2">
      <c r="A45" s="32" t="s">
        <v>542</v>
      </c>
      <c r="B45" s="32">
        <v>18</v>
      </c>
      <c r="C45" s="78"/>
      <c r="D45" s="79"/>
      <c r="E45" s="63"/>
      <c r="F45" s="64"/>
      <c r="G45" s="32"/>
      <c r="H45" s="28"/>
      <c r="I45" s="32"/>
      <c r="J45" s="28"/>
      <c r="K45" s="32"/>
      <c r="L45" s="28"/>
      <c r="M45" s="1"/>
      <c r="N45" s="1"/>
      <c r="O45" s="1"/>
      <c r="P45" s="1"/>
      <c r="Q45" s="1"/>
      <c r="R45" s="1"/>
      <c r="S45" s="1"/>
      <c r="T45" s="1"/>
      <c r="U45" s="1"/>
      <c r="V45" s="1"/>
      <c r="W45" s="1"/>
      <c r="X45" s="1"/>
      <c r="Y45" s="1"/>
      <c r="Z45" s="1"/>
    </row>
    <row r="46" spans="1:26" ht="12" customHeight="1" x14ac:dyDescent="0.2">
      <c r="A46" s="14" t="s">
        <v>381</v>
      </c>
      <c r="B46" s="32" t="s">
        <v>382</v>
      </c>
      <c r="C46" s="86"/>
      <c r="D46" s="86"/>
      <c r="E46" s="90"/>
      <c r="F46" s="90"/>
      <c r="G46" s="16"/>
      <c r="H46" s="16"/>
      <c r="I46" s="16"/>
      <c r="J46" s="16"/>
      <c r="K46" s="16"/>
      <c r="L46" s="16"/>
      <c r="M46" s="1"/>
      <c r="N46" s="1"/>
      <c r="O46" s="1"/>
      <c r="P46" s="1"/>
      <c r="Q46" s="1"/>
      <c r="R46" s="1"/>
      <c r="S46" s="1"/>
      <c r="T46" s="1"/>
      <c r="U46" s="1"/>
      <c r="V46" s="1"/>
      <c r="W46" s="1"/>
      <c r="X46" s="1"/>
      <c r="Y46" s="1"/>
      <c r="Z46" s="1"/>
    </row>
    <row r="47" spans="1:26" ht="12" customHeight="1" x14ac:dyDescent="0.2">
      <c r="A47" s="15" t="s">
        <v>191</v>
      </c>
      <c r="B47" s="15">
        <v>433</v>
      </c>
      <c r="C47" s="81">
        <v>104</v>
      </c>
      <c r="D47" s="82">
        <f>IF((I47=0),"",(C47/I47))</f>
        <v>0.3837638376383764</v>
      </c>
      <c r="E47" s="66">
        <v>144</v>
      </c>
      <c r="F47" s="67">
        <f>IF((I47=0),"",(E47/I47))</f>
        <v>0.53136531365313655</v>
      </c>
      <c r="G47" s="15">
        <v>23</v>
      </c>
      <c r="H47" s="17">
        <f>IF((I47=0),"",(G47/I47))</f>
        <v>8.4870848708487087E-2</v>
      </c>
      <c r="I47" s="15">
        <f>SUM(C47,E47,G47)</f>
        <v>271</v>
      </c>
      <c r="J47" s="17">
        <f>IF((B47=0),"",(I47/B47))</f>
        <v>0.62586605080831403</v>
      </c>
      <c r="K47" s="29">
        <f>B47-I47</f>
        <v>162</v>
      </c>
      <c r="L47" s="17">
        <f>IF((B47=0),"",(K47/B47))</f>
        <v>0.37413394919168591</v>
      </c>
      <c r="M47" s="1"/>
      <c r="N47" s="1"/>
      <c r="O47" s="1"/>
      <c r="P47" s="1"/>
      <c r="Q47" s="1"/>
      <c r="R47" s="1"/>
      <c r="S47" s="1"/>
      <c r="T47" s="1"/>
      <c r="U47" s="1"/>
      <c r="V47" s="1"/>
      <c r="W47" s="1"/>
      <c r="X47" s="1"/>
      <c r="Y47" s="1"/>
      <c r="Z47" s="1"/>
    </row>
    <row r="48" spans="1:26" ht="12" customHeight="1" x14ac:dyDescent="0.2">
      <c r="A48" s="15" t="s">
        <v>192</v>
      </c>
      <c r="B48" s="15">
        <v>439</v>
      </c>
      <c r="C48" s="81">
        <v>125</v>
      </c>
      <c r="D48" s="82">
        <f>IF((I48=0),"",(C48/I48))</f>
        <v>0.45787545787545786</v>
      </c>
      <c r="E48" s="66">
        <v>143</v>
      </c>
      <c r="F48" s="67">
        <f>IF((I48=0),"",(E48/I48))</f>
        <v>0.52380952380952384</v>
      </c>
      <c r="G48" s="15">
        <v>5</v>
      </c>
      <c r="H48" s="17">
        <f>IF((I48=0),"",(G48/I48))</f>
        <v>1.8315018315018316E-2</v>
      </c>
      <c r="I48" s="15">
        <f>SUM(C48,E48,G48)</f>
        <v>273</v>
      </c>
      <c r="J48" s="17">
        <f>IF((B48=0),"",(I48/B48))</f>
        <v>0.62186788154897499</v>
      </c>
      <c r="K48" s="29">
        <f>B48-I48</f>
        <v>166</v>
      </c>
      <c r="L48" s="17">
        <f>IF((B48=0),"",(K48/B48))</f>
        <v>0.37813211845102507</v>
      </c>
      <c r="M48" s="1"/>
      <c r="N48" s="1"/>
      <c r="O48" s="1"/>
      <c r="P48" s="1"/>
      <c r="Q48" s="1"/>
      <c r="R48" s="1"/>
      <c r="S48" s="1"/>
      <c r="T48" s="1"/>
      <c r="U48" s="1"/>
      <c r="V48" s="1"/>
      <c r="W48" s="1"/>
      <c r="X48" s="1"/>
      <c r="Y48" s="1"/>
      <c r="Z48" s="1"/>
    </row>
    <row r="49" spans="1:26" ht="12" customHeight="1" x14ac:dyDescent="0.2">
      <c r="A49" s="15" t="s">
        <v>193</v>
      </c>
      <c r="B49" s="15">
        <v>431</v>
      </c>
      <c r="C49" s="81">
        <v>104</v>
      </c>
      <c r="D49" s="82">
        <f>IF((I49=0),"",(C49/I49))</f>
        <v>0.42622950819672129</v>
      </c>
      <c r="E49" s="66">
        <v>128</v>
      </c>
      <c r="F49" s="67">
        <f>IF((I49=0),"",(E49/I49))</f>
        <v>0.52459016393442626</v>
      </c>
      <c r="G49" s="15">
        <v>12</v>
      </c>
      <c r="H49" s="17">
        <f>IF((I49=0),"",(G49/I49))</f>
        <v>4.9180327868852458E-2</v>
      </c>
      <c r="I49" s="15">
        <f>SUM(C49,E49,G49)</f>
        <v>244</v>
      </c>
      <c r="J49" s="17">
        <f>IF((B49=0),"",(I49/B49))</f>
        <v>0.56612529002320189</v>
      </c>
      <c r="K49" s="29">
        <f>B49-I49</f>
        <v>187</v>
      </c>
      <c r="L49" s="17">
        <f>IF((B49=0),"",(K49/B49))</f>
        <v>0.43387470997679817</v>
      </c>
      <c r="M49" s="1"/>
      <c r="N49" s="1"/>
      <c r="O49" s="1"/>
      <c r="P49" s="1"/>
      <c r="Q49" s="1"/>
      <c r="R49" s="1"/>
      <c r="S49" s="1"/>
      <c r="T49" s="1"/>
      <c r="U49" s="1"/>
      <c r="V49" s="1"/>
      <c r="W49" s="1"/>
      <c r="X49" s="1"/>
      <c r="Y49" s="1"/>
      <c r="Z49" s="1"/>
    </row>
    <row r="50" spans="1:26" ht="12" customHeight="1" x14ac:dyDescent="0.2">
      <c r="A50" s="12" t="s">
        <v>120</v>
      </c>
      <c r="B50" s="12">
        <f>SUM(B47:B49)</f>
        <v>1303</v>
      </c>
      <c r="C50" s="78">
        <f>SUM(C47:C49)</f>
        <v>333</v>
      </c>
      <c r="D50" s="79">
        <f>IF((I50=0),"",(C50/I50))</f>
        <v>0.42258883248730966</v>
      </c>
      <c r="E50" s="63">
        <f>SUM(E47:E49)</f>
        <v>415</v>
      </c>
      <c r="F50" s="64">
        <f>IF((I50=0),"",(E50/I50))</f>
        <v>0.5266497461928934</v>
      </c>
      <c r="G50" s="12">
        <f>SUM(G47:G49)</f>
        <v>40</v>
      </c>
      <c r="H50" s="13">
        <f>IF((I50=0),"",(G50/I50))</f>
        <v>5.0761421319796954E-2</v>
      </c>
      <c r="I50" s="12">
        <f>SUM(I47:I49)</f>
        <v>788</v>
      </c>
      <c r="J50" s="13">
        <f>IF((B50=0),"",(I50/B50))</f>
        <v>0.60475825019186491</v>
      </c>
      <c r="K50" s="12">
        <f>B50-I50</f>
        <v>515</v>
      </c>
      <c r="L50" s="13">
        <f>IF((B50=0),"",(K50/B50))</f>
        <v>0.39524174980813509</v>
      </c>
      <c r="M50" s="1"/>
      <c r="N50" s="1"/>
      <c r="O50" s="1"/>
      <c r="P50" s="1"/>
      <c r="Q50" s="1"/>
      <c r="R50" s="1"/>
      <c r="S50" s="1"/>
      <c r="T50" s="1"/>
      <c r="U50" s="1"/>
      <c r="V50" s="1"/>
      <c r="W50" s="1"/>
      <c r="X50" s="1"/>
      <c r="Y50" s="1"/>
      <c r="Z50" s="1"/>
    </row>
    <row r="51" spans="1:26" s="53" customFormat="1" ht="12" customHeight="1" x14ac:dyDescent="0.2">
      <c r="A51" s="32" t="s">
        <v>542</v>
      </c>
      <c r="B51" s="32">
        <v>10</v>
      </c>
      <c r="C51" s="78"/>
      <c r="D51" s="79"/>
      <c r="E51" s="63"/>
      <c r="F51" s="64"/>
      <c r="G51" s="32"/>
      <c r="H51" s="28"/>
      <c r="I51" s="32"/>
      <c r="J51" s="28"/>
      <c r="K51" s="32"/>
      <c r="L51" s="28"/>
      <c r="M51" s="1"/>
      <c r="N51" s="1"/>
      <c r="O51" s="1"/>
      <c r="P51" s="1"/>
      <c r="Q51" s="1"/>
      <c r="R51" s="1"/>
      <c r="S51" s="1"/>
      <c r="T51" s="1"/>
      <c r="U51" s="1"/>
      <c r="V51" s="1"/>
      <c r="W51" s="1"/>
      <c r="X51" s="1"/>
      <c r="Y51" s="1"/>
      <c r="Z51" s="1"/>
    </row>
    <row r="52" spans="1:26" ht="12" customHeight="1" x14ac:dyDescent="0.2">
      <c r="A52" s="14" t="s">
        <v>383</v>
      </c>
      <c r="B52" s="32" t="s">
        <v>384</v>
      </c>
      <c r="C52" s="86"/>
      <c r="D52" s="86"/>
      <c r="E52" s="90"/>
      <c r="F52" s="90"/>
      <c r="G52" s="16"/>
      <c r="H52" s="16"/>
      <c r="I52" s="16"/>
      <c r="J52" s="16"/>
      <c r="K52" s="16"/>
      <c r="L52" s="16"/>
      <c r="M52" s="1"/>
      <c r="N52" s="1"/>
      <c r="O52" s="1"/>
      <c r="P52" s="1"/>
      <c r="Q52" s="1"/>
      <c r="R52" s="1"/>
      <c r="S52" s="1"/>
      <c r="T52" s="1"/>
      <c r="U52" s="1"/>
      <c r="V52" s="1"/>
      <c r="W52" s="1"/>
      <c r="X52" s="1"/>
      <c r="Y52" s="1"/>
      <c r="Z52" s="1"/>
    </row>
    <row r="53" spans="1:26" ht="12" customHeight="1" x14ac:dyDescent="0.2">
      <c r="A53" s="12" t="s">
        <v>128</v>
      </c>
      <c r="B53" s="12">
        <v>391</v>
      </c>
      <c r="C53" s="78">
        <v>101</v>
      </c>
      <c r="D53" s="79">
        <f>IF((I53=0),"",(C53/I53))</f>
        <v>0.42259414225941422</v>
      </c>
      <c r="E53" s="63">
        <v>122</v>
      </c>
      <c r="F53" s="64">
        <f>IF((I53=0),"",(E53/I53))</f>
        <v>0.5104602510460251</v>
      </c>
      <c r="G53" s="12">
        <v>16</v>
      </c>
      <c r="H53" s="13">
        <f>IF((I53=0),"",(G53/I53))</f>
        <v>6.6945606694560664E-2</v>
      </c>
      <c r="I53" s="12">
        <f>SUM(C53,E53,G53)</f>
        <v>239</v>
      </c>
      <c r="J53" s="13">
        <f>IF((B53=0),"",(I53/B53))</f>
        <v>0.61125319693094626</v>
      </c>
      <c r="K53" s="12">
        <f>B53-I53</f>
        <v>152</v>
      </c>
      <c r="L53" s="13">
        <f>IF((B53=0),"",(K53/B53))</f>
        <v>0.38874680306905368</v>
      </c>
      <c r="M53" s="1"/>
      <c r="N53" s="1"/>
      <c r="O53" s="1"/>
      <c r="P53" s="1"/>
      <c r="Q53" s="1"/>
      <c r="R53" s="1"/>
      <c r="S53" s="1"/>
      <c r="T53" s="1"/>
      <c r="U53" s="1"/>
      <c r="V53" s="1"/>
      <c r="W53" s="1"/>
      <c r="X53" s="1"/>
      <c r="Y53" s="1"/>
      <c r="Z53" s="1"/>
    </row>
    <row r="54" spans="1:26" s="53" customFormat="1" ht="12" customHeight="1" x14ac:dyDescent="0.2">
      <c r="A54" s="32" t="s">
        <v>542</v>
      </c>
      <c r="B54" s="32">
        <v>4</v>
      </c>
      <c r="C54" s="78"/>
      <c r="D54" s="79"/>
      <c r="E54" s="63"/>
      <c r="F54" s="64"/>
      <c r="G54" s="32"/>
      <c r="H54" s="28"/>
      <c r="I54" s="32"/>
      <c r="J54" s="28"/>
      <c r="K54" s="32"/>
      <c r="L54" s="28"/>
      <c r="M54" s="1"/>
      <c r="N54" s="1"/>
      <c r="O54" s="1"/>
      <c r="P54" s="1"/>
      <c r="Q54" s="1"/>
      <c r="R54" s="1"/>
      <c r="S54" s="1"/>
      <c r="T54" s="1"/>
      <c r="U54" s="1"/>
      <c r="V54" s="1"/>
      <c r="W54" s="1"/>
      <c r="X54" s="1"/>
      <c r="Y54" s="1"/>
      <c r="Z54" s="1"/>
    </row>
    <row r="55" spans="1:26" ht="12" customHeight="1" x14ac:dyDescent="0.2">
      <c r="A55" s="14" t="s">
        <v>385</v>
      </c>
      <c r="B55" s="32" t="s">
        <v>386</v>
      </c>
      <c r="C55" s="86"/>
      <c r="D55" s="86"/>
      <c r="E55" s="90"/>
      <c r="F55" s="90"/>
      <c r="G55" s="16"/>
      <c r="H55" s="16"/>
      <c r="I55" s="16"/>
      <c r="J55" s="16"/>
      <c r="K55" s="16"/>
      <c r="L55" s="16"/>
      <c r="M55" s="1"/>
      <c r="N55" s="1"/>
      <c r="O55" s="1"/>
      <c r="P55" s="1"/>
      <c r="Q55" s="1"/>
      <c r="R55" s="1"/>
      <c r="S55" s="1"/>
      <c r="T55" s="1"/>
      <c r="U55" s="1"/>
      <c r="V55" s="1"/>
      <c r="W55" s="1"/>
      <c r="X55" s="1"/>
      <c r="Y55" s="1"/>
      <c r="Z55" s="1"/>
    </row>
    <row r="56" spans="1:26" ht="12" customHeight="1" x14ac:dyDescent="0.2">
      <c r="A56" s="15" t="s">
        <v>136</v>
      </c>
      <c r="B56" s="15">
        <v>485</v>
      </c>
      <c r="C56" s="81">
        <v>95</v>
      </c>
      <c r="D56" s="82">
        <f t="shared" ref="D56:D62" si="26">IF((I56=0),"",(C56/I56))</f>
        <v>0.34926470588235292</v>
      </c>
      <c r="E56" s="66">
        <v>176</v>
      </c>
      <c r="F56" s="67">
        <f t="shared" ref="F56:F62" si="27">IF((I56=0),"",(E56/I56))</f>
        <v>0.6470588235294118</v>
      </c>
      <c r="G56" s="15">
        <v>1</v>
      </c>
      <c r="H56" s="17">
        <f t="shared" ref="H56:H62" si="28">IF((I56=0),"",(G56/I56))</f>
        <v>3.6764705882352941E-3</v>
      </c>
      <c r="I56" s="15">
        <f t="shared" ref="I56:I61" si="29">SUM(C56,E56,G56)</f>
        <v>272</v>
      </c>
      <c r="J56" s="17">
        <f t="shared" ref="J56:J62" si="30">IF((B56=0),"",(I56/B56))</f>
        <v>0.56082474226804124</v>
      </c>
      <c r="K56" s="29">
        <f t="shared" ref="K56:K61" si="31">B56-I56</f>
        <v>213</v>
      </c>
      <c r="L56" s="17">
        <f t="shared" ref="L56:L62" si="32">IF((B56=0),"",(K56/B56))</f>
        <v>0.43917525773195876</v>
      </c>
      <c r="M56" s="1"/>
      <c r="N56" s="1"/>
      <c r="O56" s="1"/>
      <c r="P56" s="1"/>
      <c r="Q56" s="1"/>
      <c r="R56" s="1"/>
      <c r="S56" s="1"/>
      <c r="T56" s="1"/>
      <c r="U56" s="1"/>
      <c r="V56" s="1"/>
      <c r="W56" s="1"/>
      <c r="X56" s="1"/>
      <c r="Y56" s="1"/>
      <c r="Z56" s="1"/>
    </row>
    <row r="57" spans="1:26" ht="12" customHeight="1" x14ac:dyDescent="0.2">
      <c r="A57" s="15" t="s">
        <v>167</v>
      </c>
      <c r="B57" s="15">
        <v>467</v>
      </c>
      <c r="C57" s="81">
        <v>116</v>
      </c>
      <c r="D57" s="82">
        <f t="shared" si="26"/>
        <v>0.46774193548387094</v>
      </c>
      <c r="E57" s="66">
        <v>132</v>
      </c>
      <c r="F57" s="67">
        <f t="shared" si="27"/>
        <v>0.532258064516129</v>
      </c>
      <c r="G57" s="15">
        <v>0</v>
      </c>
      <c r="H57" s="17">
        <f t="shared" si="28"/>
        <v>0</v>
      </c>
      <c r="I57" s="15">
        <f t="shared" si="29"/>
        <v>248</v>
      </c>
      <c r="J57" s="17">
        <f t="shared" si="30"/>
        <v>0.53104925053533192</v>
      </c>
      <c r="K57" s="29">
        <f t="shared" si="31"/>
        <v>219</v>
      </c>
      <c r="L57" s="17">
        <f t="shared" si="32"/>
        <v>0.46895074946466808</v>
      </c>
      <c r="M57" s="1"/>
      <c r="N57" s="1"/>
      <c r="O57" s="1"/>
      <c r="P57" s="1"/>
      <c r="Q57" s="1"/>
      <c r="R57" s="1"/>
      <c r="S57" s="1"/>
      <c r="T57" s="1"/>
      <c r="U57" s="1"/>
      <c r="V57" s="1"/>
      <c r="W57" s="1"/>
      <c r="X57" s="1"/>
      <c r="Y57" s="1"/>
      <c r="Z57" s="1"/>
    </row>
    <row r="58" spans="1:26" ht="12" customHeight="1" x14ac:dyDescent="0.2">
      <c r="A58" s="15" t="s">
        <v>480</v>
      </c>
      <c r="B58" s="15">
        <v>320</v>
      </c>
      <c r="C58" s="81">
        <v>83</v>
      </c>
      <c r="D58" s="82">
        <f t="shared" si="26"/>
        <v>0.43915343915343913</v>
      </c>
      <c r="E58" s="66">
        <v>105</v>
      </c>
      <c r="F58" s="67">
        <f t="shared" si="27"/>
        <v>0.55555555555555558</v>
      </c>
      <c r="G58" s="15">
        <v>1</v>
      </c>
      <c r="H58" s="17">
        <f t="shared" si="28"/>
        <v>5.2910052910052907E-3</v>
      </c>
      <c r="I58" s="15">
        <f t="shared" si="29"/>
        <v>189</v>
      </c>
      <c r="J58" s="17">
        <f t="shared" si="30"/>
        <v>0.59062499999999996</v>
      </c>
      <c r="K58" s="29">
        <f t="shared" si="31"/>
        <v>131</v>
      </c>
      <c r="L58" s="17">
        <f t="shared" si="32"/>
        <v>0.40937499999999999</v>
      </c>
      <c r="M58" s="1"/>
      <c r="N58" s="1"/>
      <c r="O58" s="1"/>
      <c r="P58" s="1"/>
      <c r="Q58" s="1"/>
      <c r="R58" s="1"/>
      <c r="S58" s="1"/>
      <c r="T58" s="1"/>
      <c r="U58" s="1"/>
      <c r="V58" s="1"/>
      <c r="W58" s="1"/>
      <c r="X58" s="1"/>
      <c r="Y58" s="1"/>
      <c r="Z58" s="1"/>
    </row>
    <row r="59" spans="1:26" ht="12" customHeight="1" x14ac:dyDescent="0.2">
      <c r="A59" s="15" t="s">
        <v>464</v>
      </c>
      <c r="B59" s="15">
        <v>349</v>
      </c>
      <c r="C59" s="81">
        <v>102</v>
      </c>
      <c r="D59" s="82">
        <f t="shared" si="26"/>
        <v>0.51515151515151514</v>
      </c>
      <c r="E59" s="66">
        <v>95</v>
      </c>
      <c r="F59" s="67">
        <f t="shared" si="27"/>
        <v>0.47979797979797978</v>
      </c>
      <c r="G59" s="15">
        <v>1</v>
      </c>
      <c r="H59" s="17">
        <f t="shared" si="28"/>
        <v>5.0505050505050509E-3</v>
      </c>
      <c r="I59" s="15">
        <f t="shared" si="29"/>
        <v>198</v>
      </c>
      <c r="J59" s="17">
        <f t="shared" si="30"/>
        <v>0.56733524355300857</v>
      </c>
      <c r="K59" s="29">
        <f t="shared" si="31"/>
        <v>151</v>
      </c>
      <c r="L59" s="17">
        <f t="shared" si="32"/>
        <v>0.43266475644699143</v>
      </c>
      <c r="M59" s="1"/>
      <c r="N59" s="1"/>
      <c r="O59" s="1"/>
      <c r="P59" s="1"/>
      <c r="Q59" s="1"/>
      <c r="R59" s="1"/>
      <c r="S59" s="1"/>
      <c r="T59" s="1"/>
      <c r="U59" s="1"/>
      <c r="V59" s="1"/>
      <c r="W59" s="1"/>
      <c r="X59" s="1"/>
      <c r="Y59" s="1"/>
      <c r="Z59" s="1"/>
    </row>
    <row r="60" spans="1:26" ht="12" customHeight="1" x14ac:dyDescent="0.2">
      <c r="A60" s="15" t="s">
        <v>153</v>
      </c>
      <c r="B60" s="15">
        <v>387</v>
      </c>
      <c r="C60" s="81">
        <v>74</v>
      </c>
      <c r="D60" s="82">
        <f t="shared" si="26"/>
        <v>0.3645320197044335</v>
      </c>
      <c r="E60" s="66">
        <v>128</v>
      </c>
      <c r="F60" s="67">
        <f t="shared" si="27"/>
        <v>0.63054187192118227</v>
      </c>
      <c r="G60" s="15">
        <v>1</v>
      </c>
      <c r="H60" s="17">
        <f t="shared" si="28"/>
        <v>4.9261083743842365E-3</v>
      </c>
      <c r="I60" s="15">
        <f t="shared" si="29"/>
        <v>203</v>
      </c>
      <c r="J60" s="17">
        <f t="shared" si="30"/>
        <v>0.52454780361757103</v>
      </c>
      <c r="K60" s="29">
        <f t="shared" si="31"/>
        <v>184</v>
      </c>
      <c r="L60" s="17">
        <f t="shared" si="32"/>
        <v>0.47545219638242892</v>
      </c>
      <c r="M60" s="1"/>
      <c r="N60" s="1"/>
      <c r="O60" s="1"/>
      <c r="P60" s="1"/>
      <c r="Q60" s="1"/>
      <c r="R60" s="1"/>
      <c r="S60" s="1"/>
      <c r="T60" s="1"/>
      <c r="U60" s="1"/>
      <c r="V60" s="1"/>
      <c r="W60" s="1"/>
      <c r="X60" s="1"/>
      <c r="Y60" s="1"/>
      <c r="Z60" s="1"/>
    </row>
    <row r="61" spans="1:26" ht="12" customHeight="1" x14ac:dyDescent="0.2">
      <c r="A61" s="15" t="s">
        <v>145</v>
      </c>
      <c r="B61" s="15">
        <v>340</v>
      </c>
      <c r="C61" s="81">
        <v>93</v>
      </c>
      <c r="D61" s="82">
        <f t="shared" si="26"/>
        <v>0.46969696969696972</v>
      </c>
      <c r="E61" s="66">
        <v>98</v>
      </c>
      <c r="F61" s="67">
        <f t="shared" si="27"/>
        <v>0.49494949494949497</v>
      </c>
      <c r="G61" s="15">
        <v>7</v>
      </c>
      <c r="H61" s="17">
        <f t="shared" si="28"/>
        <v>3.5353535353535352E-2</v>
      </c>
      <c r="I61" s="15">
        <f t="shared" si="29"/>
        <v>198</v>
      </c>
      <c r="J61" s="17">
        <f t="shared" si="30"/>
        <v>0.58235294117647063</v>
      </c>
      <c r="K61" s="29">
        <f t="shared" si="31"/>
        <v>142</v>
      </c>
      <c r="L61" s="17">
        <f t="shared" si="32"/>
        <v>0.41764705882352943</v>
      </c>
      <c r="M61" s="1"/>
      <c r="N61" s="1"/>
      <c r="O61" s="1"/>
      <c r="P61" s="1"/>
      <c r="Q61" s="1"/>
      <c r="R61" s="1"/>
      <c r="S61" s="1"/>
      <c r="T61" s="1"/>
      <c r="U61" s="1"/>
      <c r="V61" s="1"/>
      <c r="W61" s="1"/>
      <c r="X61" s="1"/>
      <c r="Y61" s="1"/>
      <c r="Z61" s="1"/>
    </row>
    <row r="62" spans="1:26" ht="12" customHeight="1" x14ac:dyDescent="0.2">
      <c r="A62" s="12" t="s">
        <v>120</v>
      </c>
      <c r="B62" s="12">
        <f>SUM(B56:B61)</f>
        <v>2348</v>
      </c>
      <c r="C62" s="78">
        <f>SUM(C56:C61)</f>
        <v>563</v>
      </c>
      <c r="D62" s="79">
        <f t="shared" si="26"/>
        <v>0.43042813455657492</v>
      </c>
      <c r="E62" s="63">
        <f>SUM(E56:E61)</f>
        <v>734</v>
      </c>
      <c r="F62" s="64">
        <f t="shared" si="27"/>
        <v>0.5611620795107034</v>
      </c>
      <c r="G62" s="12">
        <f>SUM(G56:G61)</f>
        <v>11</v>
      </c>
      <c r="H62" s="13">
        <f t="shared" si="28"/>
        <v>8.4097859327217118E-3</v>
      </c>
      <c r="I62" s="12">
        <f>SUM(I56:I61)</f>
        <v>1308</v>
      </c>
      <c r="J62" s="13">
        <f t="shared" si="30"/>
        <v>0.55706984667802384</v>
      </c>
      <c r="K62" s="12">
        <f>B62-I62</f>
        <v>1040</v>
      </c>
      <c r="L62" s="13">
        <f t="shared" si="32"/>
        <v>0.44293015332197616</v>
      </c>
      <c r="M62" s="1"/>
      <c r="N62" s="1"/>
      <c r="O62" s="1"/>
      <c r="P62" s="1"/>
      <c r="Q62" s="1"/>
      <c r="R62" s="1"/>
      <c r="S62" s="1"/>
      <c r="T62" s="1"/>
      <c r="U62" s="1"/>
      <c r="V62" s="1"/>
      <c r="W62" s="1"/>
      <c r="X62" s="1"/>
      <c r="Y62" s="1"/>
      <c r="Z62" s="1"/>
    </row>
    <row r="63" spans="1:26" ht="12.75" customHeight="1" x14ac:dyDescent="0.2">
      <c r="A63" s="43" t="s">
        <v>542</v>
      </c>
      <c r="B63" s="43">
        <v>15</v>
      </c>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11">
    <mergeCell ref="E2:F2"/>
    <mergeCell ref="G2:L2"/>
    <mergeCell ref="A1:L1"/>
    <mergeCell ref="C3:D3"/>
    <mergeCell ref="E3:F3"/>
    <mergeCell ref="G3:H3"/>
    <mergeCell ref="I3:J3"/>
    <mergeCell ref="K3:L3"/>
    <mergeCell ref="A3:B3"/>
    <mergeCell ref="A2:B2"/>
    <mergeCell ref="C2:D2"/>
  </mergeCells>
  <pageMargins left="0.75" right="0.75" top="1" bottom="1" header="0.3" footer="0.3"/>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1000"/>
  <sheetViews>
    <sheetView workbookViewId="0"/>
  </sheetViews>
  <sheetFormatPr defaultRowHeight="15" customHeight="1" x14ac:dyDescent="0.2"/>
  <sheetData>
    <row r="1" spans="1:256" ht="12" customHeight="1" x14ac:dyDescent="0.2">
      <c r="A1" s="1" t="e">
        <f>IF('St. Lucia 2016 Election Results'!1:1,"AAAAAF/ppAA=",0)</f>
        <v>#VALUE!</v>
      </c>
      <c r="B1" s="1" t="e">
        <f>AND('St. Lucia 2016 Election Results'!A1,"AAAAAF/ppAE=")</f>
        <v>#VALUE!</v>
      </c>
      <c r="C1" s="1" t="e">
        <f>AND('St. Lucia 2016 Election Results'!B1,"AAAAAF/ppAI=")</f>
        <v>#VALUE!</v>
      </c>
      <c r="D1" s="1" t="e">
        <f>AND('St. Lucia 2016 Election Results'!C1,"AAAAAF/ppAM=")</f>
        <v>#VALUE!</v>
      </c>
      <c r="E1" s="1" t="e">
        <f>AND('St. Lucia 2016 Election Results'!D1,"AAAAAF/ppAQ=")</f>
        <v>#VALUE!</v>
      </c>
      <c r="F1" s="1" t="e">
        <f>AND('St. Lucia 2016 Election Results'!E1,"AAAAAF/ppAU=")</f>
        <v>#VALUE!</v>
      </c>
      <c r="G1" s="1" t="e">
        <f>AND('St. Lucia 2016 Election Results'!F1,"AAAAAF/ppAY=")</f>
        <v>#VALUE!</v>
      </c>
      <c r="H1" s="1" t="e">
        <f>AND('St. Lucia 2016 Election Results'!G1,"AAAAAF/ppAc=")</f>
        <v>#VALUE!</v>
      </c>
      <c r="I1" s="1" t="e">
        <f>AND('St. Lucia 2016 Election Results'!H1,"AAAAAF/ppAg=")</f>
        <v>#VALUE!</v>
      </c>
      <c r="J1" s="1" t="e">
        <f>AND('St. Lucia 2016 Election Results'!I1,"AAAAAF/ppAk=")</f>
        <v>#VALUE!</v>
      </c>
      <c r="K1" s="1" t="e">
        <f>AND('St. Lucia 2016 Election Results'!J1,"AAAAAF/ppAo=")</f>
        <v>#VALUE!</v>
      </c>
      <c r="L1" s="1" t="e">
        <f>AND('St. Lucia 2016 Election Results'!K1,"AAAAAF/ppAs=")</f>
        <v>#VALUE!</v>
      </c>
      <c r="M1" s="1" t="e">
        <f>AND('St. Lucia 2016 Election Results'!L1,"AAAAAF/ppAw=")</f>
        <v>#VALUE!</v>
      </c>
      <c r="N1" s="1" t="e">
        <f>AND('St. Lucia 2016 Election Results'!M1,"AAAAAF/ppA0=")</f>
        <v>#VALUE!</v>
      </c>
      <c r="O1" s="1" t="e">
        <f>AND('St. Lucia 2016 Election Results'!N1,"AAAAAF/ppA4=")</f>
        <v>#VALUE!</v>
      </c>
      <c r="P1" s="1" t="e">
        <f>AND('St. Lucia 2016 Election Results'!O1,"AAAAAF/ppA8=")</f>
        <v>#VALUE!</v>
      </c>
      <c r="Q1" s="1" t="e">
        <f>AND('St. Lucia 2016 Election Results'!P1,"AAAAAF/ppBA=")</f>
        <v>#VALUE!</v>
      </c>
      <c r="R1" s="1" t="e">
        <f>AND('St. Lucia 2016 Election Results'!Q1,"AAAAAF/ppBE=")</f>
        <v>#VALUE!</v>
      </c>
      <c r="S1" s="1" t="e">
        <f>AND('St. Lucia 2016 Election Results'!R1,"AAAAAF/ppBI=")</f>
        <v>#VALUE!</v>
      </c>
      <c r="T1" s="1" t="e">
        <f>AND('St. Lucia 2016 Election Results'!S1,"AAAAAF/ppBM=")</f>
        <v>#VALUE!</v>
      </c>
      <c r="U1" s="1">
        <f>IF('St. Lucia 2016 Election Results'!2:2,"AAAAAF/ppBQ=",0)</f>
        <v>0</v>
      </c>
      <c r="V1" s="1" t="e">
        <f>AND('St. Lucia 2016 Election Results'!A2,"AAAAAF/ppBU=")</f>
        <v>#VALUE!</v>
      </c>
      <c r="W1" s="1" t="e">
        <f>AND('St. Lucia 2016 Election Results'!B2,"AAAAAF/ppBY=")</f>
        <v>#VALUE!</v>
      </c>
      <c r="X1" s="1" t="e">
        <f>AND('St. Lucia 2016 Election Results'!C2,"AAAAAF/ppBc=")</f>
        <v>#VALUE!</v>
      </c>
      <c r="Y1" s="1" t="e">
        <f>AND('St. Lucia 2016 Election Results'!D2,"AAAAAF/ppBg=")</f>
        <v>#VALUE!</v>
      </c>
      <c r="Z1" s="1" t="e">
        <f>AND('St. Lucia 2016 Election Results'!E2,"AAAAAF/ppBk=")</f>
        <v>#VALUE!</v>
      </c>
      <c r="AA1" s="1" t="e">
        <f>AND('St. Lucia 2016 Election Results'!F2,"AAAAAF/ppBo=")</f>
        <v>#VALUE!</v>
      </c>
      <c r="AB1" s="1" t="e">
        <f>AND('St. Lucia 2016 Election Results'!G2,"AAAAAF/ppBs=")</f>
        <v>#VALUE!</v>
      </c>
      <c r="AC1" s="1" t="e">
        <f>AND('St. Lucia 2016 Election Results'!H2,"AAAAAF/ppBw=")</f>
        <v>#VALUE!</v>
      </c>
      <c r="AD1" s="1" t="e">
        <f>AND('St. Lucia 2016 Election Results'!I2,"AAAAAF/ppB0=")</f>
        <v>#VALUE!</v>
      </c>
      <c r="AE1" s="1" t="e">
        <f>AND('St. Lucia 2016 Election Results'!J2,"AAAAAF/ppB4=")</f>
        <v>#VALUE!</v>
      </c>
      <c r="AF1" s="1" t="e">
        <f>AND('St. Lucia 2016 Election Results'!K2,"AAAAAF/ppB8=")</f>
        <v>#VALUE!</v>
      </c>
      <c r="AG1" s="1" t="e">
        <f>AND('St. Lucia 2016 Election Results'!L2,"AAAAAF/ppCA=")</f>
        <v>#VALUE!</v>
      </c>
      <c r="AH1" s="1" t="e">
        <f>AND('St. Lucia 2016 Election Results'!M2,"AAAAAF/ppCE=")</f>
        <v>#VALUE!</v>
      </c>
      <c r="AI1" s="1" t="e">
        <f>AND('St. Lucia 2016 Election Results'!N2,"AAAAAF/ppCI=")</f>
        <v>#VALUE!</v>
      </c>
      <c r="AJ1" s="1" t="e">
        <f>AND('St. Lucia 2016 Election Results'!O2,"AAAAAF/ppCM=")</f>
        <v>#VALUE!</v>
      </c>
      <c r="AK1" s="1" t="e">
        <f>AND('St. Lucia 2016 Election Results'!P2,"AAAAAF/ppCQ=")</f>
        <v>#VALUE!</v>
      </c>
      <c r="AL1" s="1" t="e">
        <f>AND('St. Lucia 2016 Election Results'!Q2,"AAAAAF/ppCU=")</f>
        <v>#VALUE!</v>
      </c>
      <c r="AM1" s="1" t="e">
        <f>AND('St. Lucia 2016 Election Results'!R2,"AAAAAF/ppCY=")</f>
        <v>#VALUE!</v>
      </c>
      <c r="AN1" s="1" t="e">
        <f>AND('St. Lucia 2016 Election Results'!S2,"AAAAAF/ppCc=")</f>
        <v>#VALUE!</v>
      </c>
      <c r="AO1" s="1">
        <f>IF('St. Lucia 2016 Election Results'!3:3,"AAAAAF/ppCg=",0)</f>
        <v>0</v>
      </c>
      <c r="AP1" s="1" t="e">
        <f>AND('St. Lucia 2016 Election Results'!A3,"AAAAAF/ppCk=")</f>
        <v>#VALUE!</v>
      </c>
      <c r="AQ1" s="1" t="e">
        <f>AND('St. Lucia 2016 Election Results'!B3,"AAAAAF/ppCo=")</f>
        <v>#VALUE!</v>
      </c>
      <c r="AR1" s="1" t="e">
        <f>AND('St. Lucia 2016 Election Results'!C3,"AAAAAF/ppCs=")</f>
        <v>#VALUE!</v>
      </c>
      <c r="AS1" s="1" t="e">
        <f>AND('St. Lucia 2016 Election Results'!D3,"AAAAAF/ppCw=")</f>
        <v>#VALUE!</v>
      </c>
      <c r="AT1" s="1" t="e">
        <f>AND('St. Lucia 2016 Election Results'!E3,"AAAAAF/ppC0=")</f>
        <v>#VALUE!</v>
      </c>
      <c r="AU1" s="1" t="e">
        <f>AND('St. Lucia 2016 Election Results'!F3,"AAAAAF/ppC4=")</f>
        <v>#VALUE!</v>
      </c>
      <c r="AV1" s="1" t="e">
        <f>AND('St. Lucia 2016 Election Results'!G3,"AAAAAF/ppC8=")</f>
        <v>#VALUE!</v>
      </c>
      <c r="AW1" s="1" t="e">
        <f>AND('St. Lucia 2016 Election Results'!H3,"AAAAAF/ppDA=")</f>
        <v>#VALUE!</v>
      </c>
      <c r="AX1" s="1" t="e">
        <f>AND('St. Lucia 2016 Election Results'!I3,"AAAAAF/ppDE=")</f>
        <v>#VALUE!</v>
      </c>
      <c r="AY1" s="1" t="e">
        <f>AND('St. Lucia 2016 Election Results'!J3,"AAAAAF/ppDI=")</f>
        <v>#VALUE!</v>
      </c>
      <c r="AZ1" s="1" t="e">
        <f>AND('St. Lucia 2016 Election Results'!K3,"AAAAAF/ppDM=")</f>
        <v>#VALUE!</v>
      </c>
      <c r="BA1" s="1" t="e">
        <f>AND('St. Lucia 2016 Election Results'!L3,"AAAAAF/ppDQ=")</f>
        <v>#VALUE!</v>
      </c>
      <c r="BB1" s="1" t="e">
        <f>AND('St. Lucia 2016 Election Results'!M3,"AAAAAF/ppDU=")</f>
        <v>#VALUE!</v>
      </c>
      <c r="BC1" s="1" t="e">
        <f>AND('St. Lucia 2016 Election Results'!N3,"AAAAAF/ppDY=")</f>
        <v>#VALUE!</v>
      </c>
      <c r="BD1" s="1" t="e">
        <f>AND('St. Lucia 2016 Election Results'!O3,"AAAAAF/ppDc=")</f>
        <v>#VALUE!</v>
      </c>
      <c r="BE1" s="1" t="e">
        <f>AND('St. Lucia 2016 Election Results'!P3,"AAAAAF/ppDg=")</f>
        <v>#VALUE!</v>
      </c>
      <c r="BF1" s="1" t="e">
        <f>AND('St. Lucia 2016 Election Results'!Q3,"AAAAAF/ppDk=")</f>
        <v>#VALUE!</v>
      </c>
      <c r="BG1" s="1" t="e">
        <f>AND('St. Lucia 2016 Election Results'!R3,"AAAAAF/ppDo=")</f>
        <v>#VALUE!</v>
      </c>
      <c r="BH1" s="1" t="e">
        <f>AND('St. Lucia 2016 Election Results'!S3,"AAAAAF/ppDs=")</f>
        <v>#VALUE!</v>
      </c>
      <c r="BI1" s="1">
        <f>IF('St. Lucia 2016 Election Results'!4:4,"AAAAAF/ppDw=",0)</f>
        <v>0</v>
      </c>
      <c r="BJ1" s="1" t="e">
        <f>AND('St. Lucia 2016 Election Results'!A4,"AAAAAF/ppD0=")</f>
        <v>#VALUE!</v>
      </c>
      <c r="BK1" s="1" t="b">
        <f>AND('St. Lucia 2016 Election Results'!B4,"AAAAAF/ppD4=")</f>
        <v>1</v>
      </c>
      <c r="BL1" s="1" t="b">
        <f>AND('St. Lucia 2016 Election Results'!C4,"AAAAAF/ppD8=")</f>
        <v>1</v>
      </c>
      <c r="BM1" s="1" t="b">
        <f>AND('St. Lucia 2016 Election Results'!D4,"AAAAAF/ppEA=")</f>
        <v>1</v>
      </c>
      <c r="BN1" s="1" t="b">
        <f>AND('St. Lucia 2016 Election Results'!E4,"AAAAAF/ppEE=")</f>
        <v>1</v>
      </c>
      <c r="BO1" s="1" t="b">
        <f>AND('St. Lucia 2016 Election Results'!F4,"AAAAAF/ppEI=")</f>
        <v>1</v>
      </c>
      <c r="BP1" s="1" t="b">
        <f>AND('St. Lucia 2016 Election Results'!G4,"AAAAAF/ppEM=")</f>
        <v>1</v>
      </c>
      <c r="BQ1" s="1" t="b">
        <f>AND('St. Lucia 2016 Election Results'!H4,"AAAAAF/ppEQ=")</f>
        <v>1</v>
      </c>
      <c r="BR1" s="1" t="b">
        <f>AND('St. Lucia 2016 Election Results'!I4,"AAAAAF/ppEU=")</f>
        <v>1</v>
      </c>
      <c r="BS1" s="1" t="b">
        <f>AND('St. Lucia 2016 Election Results'!J4,"AAAAAF/ppEY=")</f>
        <v>1</v>
      </c>
      <c r="BT1" s="1" t="b">
        <f>AND('St. Lucia 2016 Election Results'!K4,"AAAAAF/ppEc=")</f>
        <v>1</v>
      </c>
      <c r="BU1" s="1" t="b">
        <f>AND('St. Lucia 2016 Election Results'!L4,"AAAAAF/ppEg=")</f>
        <v>1</v>
      </c>
      <c r="BV1" s="1" t="b">
        <f>AND('St. Lucia 2016 Election Results'!M4,"AAAAAF/ppEk=")</f>
        <v>1</v>
      </c>
      <c r="BW1" s="1" t="b">
        <f>AND('St. Lucia 2016 Election Results'!N4,"AAAAAF/ppEo=")</f>
        <v>1</v>
      </c>
      <c r="BX1" s="1" t="b">
        <f>AND('St. Lucia 2016 Election Results'!O4,"AAAAAF/ppEs=")</f>
        <v>1</v>
      </c>
      <c r="BY1" s="1" t="b">
        <f>AND('St. Lucia 2016 Election Results'!P4,"AAAAAF/ppEw=")</f>
        <v>1</v>
      </c>
      <c r="BZ1" s="1" t="b">
        <f>AND('St. Lucia 2016 Election Results'!Q4,"AAAAAF/ppE0=")</f>
        <v>1</v>
      </c>
      <c r="CA1" s="1" t="b">
        <f>AND('St. Lucia 2016 Election Results'!R4,"AAAAAF/ppE4=")</f>
        <v>1</v>
      </c>
      <c r="CB1" s="1" t="b">
        <f>AND('St. Lucia 2016 Election Results'!S4,"AAAAAF/ppE8=")</f>
        <v>1</v>
      </c>
      <c r="CC1" s="1">
        <f>IF('St. Lucia 2016 Election Results'!5:5,"AAAAAF/ppFA=",0)</f>
        <v>0</v>
      </c>
      <c r="CD1" s="1" t="e">
        <f>AND('St. Lucia 2016 Election Results'!A5,"AAAAAF/ppFE=")</f>
        <v>#VALUE!</v>
      </c>
      <c r="CE1" s="1" t="b">
        <f>AND('St. Lucia 2016 Election Results'!B5,"AAAAAF/ppFI=")</f>
        <v>1</v>
      </c>
      <c r="CF1" s="1" t="b">
        <f>AND('St. Lucia 2016 Election Results'!C5,"AAAAAF/ppFM=")</f>
        <v>1</v>
      </c>
      <c r="CG1" s="1" t="b">
        <f>AND('St. Lucia 2016 Election Results'!D5,"AAAAAF/ppFQ=")</f>
        <v>1</v>
      </c>
      <c r="CH1" s="1" t="b">
        <f>AND('St. Lucia 2016 Election Results'!E5,"AAAAAF/ppFU=")</f>
        <v>1</v>
      </c>
      <c r="CI1" s="1" t="b">
        <f>AND('St. Lucia 2016 Election Results'!F5,"AAAAAF/ppFY=")</f>
        <v>1</v>
      </c>
      <c r="CJ1" s="1" t="b">
        <f>AND('St. Lucia 2016 Election Results'!G5,"AAAAAF/ppFc=")</f>
        <v>1</v>
      </c>
      <c r="CK1" s="1" t="b">
        <f>AND('St. Lucia 2016 Election Results'!H5,"AAAAAF/ppFg=")</f>
        <v>1</v>
      </c>
      <c r="CL1" s="1" t="b">
        <f>AND('St. Lucia 2016 Election Results'!I5,"AAAAAF/ppFk=")</f>
        <v>1</v>
      </c>
      <c r="CM1" s="1" t="b">
        <f>AND('St. Lucia 2016 Election Results'!J5,"AAAAAF/ppFo=")</f>
        <v>1</v>
      </c>
      <c r="CN1" s="1" t="b">
        <f>AND('St. Lucia 2016 Election Results'!K5,"AAAAAF/ppFs=")</f>
        <v>1</v>
      </c>
      <c r="CO1" s="1" t="b">
        <f>AND('St. Lucia 2016 Election Results'!L5,"AAAAAF/ppFw=")</f>
        <v>1</v>
      </c>
      <c r="CP1" s="1" t="b">
        <f>AND('St. Lucia 2016 Election Results'!M5,"AAAAAF/ppF0=")</f>
        <v>1</v>
      </c>
      <c r="CQ1" s="1" t="b">
        <f>AND('St. Lucia 2016 Election Results'!N5,"AAAAAF/ppF4=")</f>
        <v>1</v>
      </c>
      <c r="CR1" s="1" t="b">
        <f>AND('St. Lucia 2016 Election Results'!O5,"AAAAAF/ppF8=")</f>
        <v>1</v>
      </c>
      <c r="CS1" s="1" t="b">
        <f>AND('St. Lucia 2016 Election Results'!P5,"AAAAAF/ppGA=")</f>
        <v>1</v>
      </c>
      <c r="CT1" s="1" t="b">
        <f>AND('St. Lucia 2016 Election Results'!Q5,"AAAAAF/ppGE=")</f>
        <v>1</v>
      </c>
      <c r="CU1" s="1" t="b">
        <f>AND('St. Lucia 2016 Election Results'!R5,"AAAAAF/ppGI=")</f>
        <v>1</v>
      </c>
      <c r="CV1" s="1" t="b">
        <f>AND('St. Lucia 2016 Election Results'!S5,"AAAAAF/ppGM=")</f>
        <v>1</v>
      </c>
      <c r="CW1" s="1">
        <f>IF('St. Lucia 2016 Election Results'!6:6,"AAAAAF/ppGQ=",0)</f>
        <v>0</v>
      </c>
      <c r="CX1" s="1" t="e">
        <f>AND('St. Lucia 2016 Election Results'!A6,"AAAAAF/ppGU=")</f>
        <v>#VALUE!</v>
      </c>
      <c r="CY1" s="1" t="b">
        <f>AND('St. Lucia 2016 Election Results'!B6,"AAAAAF/ppGY=")</f>
        <v>1</v>
      </c>
      <c r="CZ1" s="1" t="b">
        <f>AND('St. Lucia 2016 Election Results'!C6,"AAAAAF/ppGc=")</f>
        <v>1</v>
      </c>
      <c r="DA1" s="1" t="b">
        <f>AND('St. Lucia 2016 Election Results'!D6,"AAAAAF/ppGg=")</f>
        <v>1</v>
      </c>
      <c r="DB1" s="1" t="b">
        <f>AND('St. Lucia 2016 Election Results'!E6,"AAAAAF/ppGk=")</f>
        <v>1</v>
      </c>
      <c r="DC1" s="1" t="b">
        <f>AND('St. Lucia 2016 Election Results'!F6,"AAAAAF/ppGo=")</f>
        <v>1</v>
      </c>
      <c r="DD1" s="1" t="b">
        <f>AND('St. Lucia 2016 Election Results'!G6,"AAAAAF/ppGs=")</f>
        <v>1</v>
      </c>
      <c r="DE1" s="1" t="b">
        <f>AND('St. Lucia 2016 Election Results'!H6,"AAAAAF/ppGw=")</f>
        <v>1</v>
      </c>
      <c r="DF1" s="1" t="b">
        <f>AND('St. Lucia 2016 Election Results'!I6,"AAAAAF/ppG0=")</f>
        <v>1</v>
      </c>
      <c r="DG1" s="1" t="b">
        <f>AND('St. Lucia 2016 Election Results'!J6,"AAAAAF/ppG4=")</f>
        <v>1</v>
      </c>
      <c r="DH1" s="1" t="b">
        <f>AND('St. Lucia 2016 Election Results'!K6,"AAAAAF/ppG8=")</f>
        <v>1</v>
      </c>
      <c r="DI1" s="1" t="b">
        <f>AND('St. Lucia 2016 Election Results'!L6,"AAAAAF/ppHA=")</f>
        <v>1</v>
      </c>
      <c r="DJ1" s="1" t="b">
        <f>AND('St. Lucia 2016 Election Results'!M6,"AAAAAF/ppHE=")</f>
        <v>1</v>
      </c>
      <c r="DK1" s="1" t="b">
        <f>AND('St. Lucia 2016 Election Results'!N6,"AAAAAF/ppHI=")</f>
        <v>1</v>
      </c>
      <c r="DL1" s="1" t="b">
        <f>AND('St. Lucia 2016 Election Results'!O6,"AAAAAF/ppHM=")</f>
        <v>1</v>
      </c>
      <c r="DM1" s="1" t="b">
        <f>AND('St. Lucia 2016 Election Results'!P6,"AAAAAF/ppHQ=")</f>
        <v>1</v>
      </c>
      <c r="DN1" s="1" t="b">
        <f>AND('St. Lucia 2016 Election Results'!Q6,"AAAAAF/ppHU=")</f>
        <v>1</v>
      </c>
      <c r="DO1" s="1" t="b">
        <f>AND('St. Lucia 2016 Election Results'!R6,"AAAAAF/ppHY=")</f>
        <v>1</v>
      </c>
      <c r="DP1" s="1" t="b">
        <f>AND('St. Lucia 2016 Election Results'!S6,"AAAAAF/ppHc=")</f>
        <v>1</v>
      </c>
      <c r="DQ1" s="1">
        <f>IF('St. Lucia 2016 Election Results'!7:7,"AAAAAF/ppHg=",0)</f>
        <v>0</v>
      </c>
      <c r="DR1" s="1" t="e">
        <f>AND('St. Lucia 2016 Election Results'!A7,"AAAAAF/ppHk=")</f>
        <v>#VALUE!</v>
      </c>
      <c r="DS1" s="1" t="b">
        <f>AND('St. Lucia 2016 Election Results'!B7,"AAAAAF/ppHo=")</f>
        <v>1</v>
      </c>
      <c r="DT1" s="1" t="b">
        <f>AND('St. Lucia 2016 Election Results'!C7,"AAAAAF/ppHs=")</f>
        <v>1</v>
      </c>
      <c r="DU1" s="1" t="b">
        <f>AND('St. Lucia 2016 Election Results'!D7,"AAAAAF/ppHw=")</f>
        <v>1</v>
      </c>
      <c r="DV1" s="1" t="b">
        <f>AND('St. Lucia 2016 Election Results'!E7,"AAAAAF/ppH0=")</f>
        <v>1</v>
      </c>
      <c r="DW1" s="1" t="b">
        <f>AND('St. Lucia 2016 Election Results'!F7,"AAAAAF/ppH4=")</f>
        <v>1</v>
      </c>
      <c r="DX1" s="1" t="b">
        <f>AND('St. Lucia 2016 Election Results'!G7,"AAAAAF/ppH8=")</f>
        <v>1</v>
      </c>
      <c r="DY1" s="1" t="b">
        <f>AND('St. Lucia 2016 Election Results'!H7,"AAAAAF/ppIA=")</f>
        <v>1</v>
      </c>
      <c r="DZ1" s="1" t="b">
        <f>AND('St. Lucia 2016 Election Results'!I7,"AAAAAF/ppIE=")</f>
        <v>1</v>
      </c>
      <c r="EA1" s="1" t="b">
        <f>AND('St. Lucia 2016 Election Results'!J7,"AAAAAF/ppII=")</f>
        <v>1</v>
      </c>
      <c r="EB1" s="1" t="b">
        <f>AND('St. Lucia 2016 Election Results'!K7,"AAAAAF/ppIM=")</f>
        <v>1</v>
      </c>
      <c r="EC1" s="1" t="b">
        <f>AND('St. Lucia 2016 Election Results'!L7,"AAAAAF/ppIQ=")</f>
        <v>1</v>
      </c>
      <c r="ED1" s="1" t="b">
        <f>AND('St. Lucia 2016 Election Results'!M7,"AAAAAF/ppIU=")</f>
        <v>1</v>
      </c>
      <c r="EE1" s="1" t="b">
        <f>AND('St. Lucia 2016 Election Results'!N7,"AAAAAF/ppIY=")</f>
        <v>1</v>
      </c>
      <c r="EF1" s="1" t="b">
        <f>AND('St. Lucia 2016 Election Results'!O7,"AAAAAF/ppIc=")</f>
        <v>1</v>
      </c>
      <c r="EG1" s="1" t="b">
        <f>AND('St. Lucia 2016 Election Results'!P7,"AAAAAF/ppIg=")</f>
        <v>1</v>
      </c>
      <c r="EH1" s="1" t="b">
        <f>AND('St. Lucia 2016 Election Results'!Q7,"AAAAAF/ppIk=")</f>
        <v>1</v>
      </c>
      <c r="EI1" s="1" t="b">
        <f>AND('St. Lucia 2016 Election Results'!R7,"AAAAAF/ppIo=")</f>
        <v>1</v>
      </c>
      <c r="EJ1" s="1" t="b">
        <f>AND('St. Lucia 2016 Election Results'!S7,"AAAAAF/ppIs=")</f>
        <v>1</v>
      </c>
      <c r="EK1" s="1">
        <f>IF('St. Lucia 2016 Election Results'!8:8,"AAAAAF/ppIw=",0)</f>
        <v>0</v>
      </c>
      <c r="EL1" s="1" t="e">
        <f>AND('St. Lucia 2016 Election Results'!A8,"AAAAAF/ppI0=")</f>
        <v>#VALUE!</v>
      </c>
      <c r="EM1" s="1" t="b">
        <f>AND('St. Lucia 2016 Election Results'!B8,"AAAAAF/ppI4=")</f>
        <v>1</v>
      </c>
      <c r="EN1" s="1" t="b">
        <f>AND('St. Lucia 2016 Election Results'!C8,"AAAAAF/ppI8=")</f>
        <v>1</v>
      </c>
      <c r="EO1" s="1" t="b">
        <f>AND('St. Lucia 2016 Election Results'!D8,"AAAAAF/ppJA=")</f>
        <v>1</v>
      </c>
      <c r="EP1" s="1" t="b">
        <f>AND('St. Lucia 2016 Election Results'!E8,"AAAAAF/ppJE=")</f>
        <v>1</v>
      </c>
      <c r="EQ1" s="1" t="b">
        <f>AND('St. Lucia 2016 Election Results'!F8,"AAAAAF/ppJI=")</f>
        <v>1</v>
      </c>
      <c r="ER1" s="1" t="b">
        <f>AND('St. Lucia 2016 Election Results'!G8,"AAAAAF/ppJM=")</f>
        <v>1</v>
      </c>
      <c r="ES1" s="1" t="b">
        <f>AND('St. Lucia 2016 Election Results'!H8,"AAAAAF/ppJQ=")</f>
        <v>1</v>
      </c>
      <c r="ET1" s="1" t="b">
        <f>AND('St. Lucia 2016 Election Results'!I8,"AAAAAF/ppJU=")</f>
        <v>1</v>
      </c>
      <c r="EU1" s="1" t="b">
        <f>AND('St. Lucia 2016 Election Results'!J8,"AAAAAF/ppJY=")</f>
        <v>1</v>
      </c>
      <c r="EV1" s="1" t="b">
        <f>AND('St. Lucia 2016 Election Results'!K8,"AAAAAF/ppJc=")</f>
        <v>1</v>
      </c>
      <c r="EW1" s="1" t="b">
        <f>AND('St. Lucia 2016 Election Results'!L8,"AAAAAF/ppJg=")</f>
        <v>1</v>
      </c>
      <c r="EX1" s="1" t="b">
        <f>AND('St. Lucia 2016 Election Results'!M8,"AAAAAF/ppJk=")</f>
        <v>1</v>
      </c>
      <c r="EY1" s="1" t="b">
        <f>AND('St. Lucia 2016 Election Results'!N8,"AAAAAF/ppJo=")</f>
        <v>1</v>
      </c>
      <c r="EZ1" s="1" t="b">
        <f>AND('St. Lucia 2016 Election Results'!O8,"AAAAAF/ppJs=")</f>
        <v>1</v>
      </c>
      <c r="FA1" s="1" t="b">
        <f>AND('St. Lucia 2016 Election Results'!P8,"AAAAAF/ppJw=")</f>
        <v>1</v>
      </c>
      <c r="FB1" s="1" t="b">
        <f>AND('St. Lucia 2016 Election Results'!Q8,"AAAAAF/ppJ0=")</f>
        <v>1</v>
      </c>
      <c r="FC1" s="1" t="b">
        <f>AND('St. Lucia 2016 Election Results'!R8,"AAAAAF/ppJ4=")</f>
        <v>1</v>
      </c>
      <c r="FD1" s="1" t="b">
        <f>AND('St. Lucia 2016 Election Results'!S8,"AAAAAF/ppJ8=")</f>
        <v>1</v>
      </c>
      <c r="FE1" s="1">
        <f>IF('St. Lucia 2016 Election Results'!9:9,"AAAAAF/ppKA=",0)</f>
        <v>0</v>
      </c>
      <c r="FF1" s="1" t="e">
        <f>AND('St. Lucia 2016 Election Results'!A9,"AAAAAF/ppKE=")</f>
        <v>#VALUE!</v>
      </c>
      <c r="FG1" s="1" t="b">
        <f>AND('St. Lucia 2016 Election Results'!B9,"AAAAAF/ppKI=")</f>
        <v>1</v>
      </c>
      <c r="FH1" s="1" t="b">
        <f>AND('St. Lucia 2016 Election Results'!C9,"AAAAAF/ppKM=")</f>
        <v>0</v>
      </c>
      <c r="FI1" s="1" t="b">
        <f>AND('St. Lucia 2016 Election Results'!D9,"AAAAAF/ppKQ=")</f>
        <v>0</v>
      </c>
      <c r="FJ1" s="1" t="b">
        <f>AND('St. Lucia 2016 Election Results'!E9,"AAAAAF/ppKU=")</f>
        <v>0</v>
      </c>
      <c r="FK1" s="1" t="b">
        <f>AND('St. Lucia 2016 Election Results'!F9,"AAAAAF/ppKY=")</f>
        <v>0</v>
      </c>
      <c r="FL1" s="1" t="b">
        <f>AND('St. Lucia 2016 Election Results'!G9,"AAAAAF/ppKc=")</f>
        <v>0</v>
      </c>
      <c r="FM1" s="1" t="b">
        <f>AND('St. Lucia 2016 Election Results'!H9,"AAAAAF/ppKg=")</f>
        <v>0</v>
      </c>
      <c r="FN1" s="1" t="b">
        <f>AND('St. Lucia 2016 Election Results'!I9,"AAAAAF/ppKk=")</f>
        <v>0</v>
      </c>
      <c r="FO1" s="1" t="b">
        <f>AND('St. Lucia 2016 Election Results'!J9,"AAAAAF/ppKo=")</f>
        <v>1</v>
      </c>
      <c r="FP1" s="1" t="b">
        <f>AND('St. Lucia 2016 Election Results'!K9,"AAAAAF/ppKs=")</f>
        <v>0</v>
      </c>
      <c r="FQ1" s="1" t="b">
        <f>AND('St. Lucia 2016 Election Results'!L9,"AAAAAF/ppKw=")</f>
        <v>0</v>
      </c>
      <c r="FR1" s="1" t="b">
        <f>AND('St. Lucia 2016 Election Results'!M9,"AAAAAF/ppK0=")</f>
        <v>0</v>
      </c>
      <c r="FS1" s="1" t="b">
        <f>AND('St. Lucia 2016 Election Results'!N9,"AAAAAF/ppK4=")</f>
        <v>0</v>
      </c>
      <c r="FT1" s="1" t="b">
        <f>AND('St. Lucia 2016 Election Results'!O9,"AAAAAF/ppK8=")</f>
        <v>0</v>
      </c>
      <c r="FU1" s="1" t="b">
        <f>AND('St. Lucia 2016 Election Results'!P9,"AAAAAF/ppLA=")</f>
        <v>0</v>
      </c>
      <c r="FV1" s="1" t="b">
        <f>AND('St. Lucia 2016 Election Results'!Q9,"AAAAAF/ppLE=")</f>
        <v>0</v>
      </c>
      <c r="FW1" s="1" t="b">
        <f>AND('St. Lucia 2016 Election Results'!R9,"AAAAAF/ppLI=")</f>
        <v>0</v>
      </c>
      <c r="FX1" s="1" t="b">
        <f>AND('St. Lucia 2016 Election Results'!S9,"AAAAAF/ppLM=")</f>
        <v>0</v>
      </c>
      <c r="FY1" s="1">
        <f>IF('St. Lucia 2016 Election Results'!10:10,"AAAAAF/ppLQ=",0)</f>
        <v>0</v>
      </c>
      <c r="FZ1" s="1" t="e">
        <f>AND('St. Lucia 2016 Election Results'!A10,"AAAAAF/ppLU=")</f>
        <v>#VALUE!</v>
      </c>
      <c r="GA1" s="1" t="b">
        <f>AND('St. Lucia 2016 Election Results'!B10,"AAAAAF/ppLY=")</f>
        <v>1</v>
      </c>
      <c r="GB1" s="1" t="b">
        <f>AND('St. Lucia 2016 Election Results'!C10,"AAAAAF/ppLc=")</f>
        <v>0</v>
      </c>
      <c r="GC1" s="1" t="b">
        <f>AND('St. Lucia 2016 Election Results'!D10,"AAAAAF/ppLg=")</f>
        <v>0</v>
      </c>
      <c r="GD1" s="1" t="b">
        <f>AND('St. Lucia 2016 Election Results'!E10,"AAAAAF/ppLk=")</f>
        <v>0</v>
      </c>
      <c r="GE1" s="1" t="b">
        <f>AND('St. Lucia 2016 Election Results'!F10,"AAAAAF/ppLo=")</f>
        <v>0</v>
      </c>
      <c r="GF1" s="1" t="b">
        <f>AND('St. Lucia 2016 Election Results'!G10,"AAAAAF/ppLs=")</f>
        <v>0</v>
      </c>
      <c r="GG1" s="1" t="b">
        <f>AND('St. Lucia 2016 Election Results'!H10,"AAAAAF/ppLw=")</f>
        <v>0</v>
      </c>
      <c r="GH1" s="1" t="b">
        <f>AND('St. Lucia 2016 Election Results'!I10,"AAAAAF/ppL0=")</f>
        <v>0</v>
      </c>
      <c r="GI1" s="1" t="b">
        <f>AND('St. Lucia 2016 Election Results'!J10,"AAAAAF/ppL4=")</f>
        <v>1</v>
      </c>
      <c r="GJ1" s="1" t="b">
        <f>AND('St. Lucia 2016 Election Results'!K10,"AAAAAF/ppL8=")</f>
        <v>0</v>
      </c>
      <c r="GK1" s="1" t="b">
        <f>AND('St. Lucia 2016 Election Results'!L10,"AAAAAF/ppMA=")</f>
        <v>0</v>
      </c>
      <c r="GL1" s="1" t="b">
        <f>AND('St. Lucia 2016 Election Results'!M10,"AAAAAF/ppME=")</f>
        <v>0</v>
      </c>
      <c r="GM1" s="1" t="b">
        <f>AND('St. Lucia 2016 Election Results'!N10,"AAAAAF/ppMI=")</f>
        <v>0</v>
      </c>
      <c r="GN1" s="1" t="b">
        <f>AND('St. Lucia 2016 Election Results'!O10,"AAAAAF/ppMM=")</f>
        <v>0</v>
      </c>
      <c r="GO1" s="1" t="b">
        <f>AND('St. Lucia 2016 Election Results'!P10,"AAAAAF/ppMQ=")</f>
        <v>0</v>
      </c>
      <c r="GP1" s="1" t="b">
        <f>AND('St. Lucia 2016 Election Results'!Q10,"AAAAAF/ppMU=")</f>
        <v>0</v>
      </c>
      <c r="GQ1" s="1" t="b">
        <f>AND('St. Lucia 2016 Election Results'!R10,"AAAAAF/ppMY=")</f>
        <v>0</v>
      </c>
      <c r="GR1" s="1" t="b">
        <f>AND('St. Lucia 2016 Election Results'!S10,"AAAAAF/ppMc=")</f>
        <v>0</v>
      </c>
      <c r="GS1" s="1" t="e">
        <f>IF('St. Lucia 2016 Election Results'!#REF!,"AAAAAF/ppMg=",0)</f>
        <v>#REF!</v>
      </c>
      <c r="GT1" s="1" t="e">
        <f>AND('St. Lucia 2016 Election Results'!#REF!,"AAAAAF/ppMk=")</f>
        <v>#REF!</v>
      </c>
      <c r="GU1" s="1" t="e">
        <f>AND('St. Lucia 2016 Election Results'!#REF!,"AAAAAF/ppMo=")</f>
        <v>#REF!</v>
      </c>
      <c r="GV1" s="1" t="e">
        <f>AND('St. Lucia 2016 Election Results'!#REF!,"AAAAAF/ppMs=")</f>
        <v>#REF!</v>
      </c>
      <c r="GW1" s="1" t="e">
        <f>AND('St. Lucia 2016 Election Results'!#REF!,"AAAAAF/ppMw=")</f>
        <v>#REF!</v>
      </c>
      <c r="GX1" s="1" t="e">
        <f>AND('St. Lucia 2016 Election Results'!#REF!,"AAAAAF/ppM0=")</f>
        <v>#REF!</v>
      </c>
      <c r="GY1" s="1" t="e">
        <f>AND('St. Lucia 2016 Election Results'!#REF!,"AAAAAF/ppM4=")</f>
        <v>#REF!</v>
      </c>
      <c r="GZ1" s="1" t="e">
        <f>AND('St. Lucia 2016 Election Results'!#REF!,"AAAAAF/ppM8=")</f>
        <v>#REF!</v>
      </c>
      <c r="HA1" s="1" t="e">
        <f>AND('St. Lucia 2016 Election Results'!#REF!,"AAAAAF/ppNA=")</f>
        <v>#REF!</v>
      </c>
      <c r="HB1" s="1" t="e">
        <f>AND('St. Lucia 2016 Election Results'!#REF!,"AAAAAF/ppNE=")</f>
        <v>#REF!</v>
      </c>
      <c r="HC1" s="1" t="e">
        <f>AND('St. Lucia 2016 Election Results'!#REF!,"AAAAAF/ppNI=")</f>
        <v>#REF!</v>
      </c>
      <c r="HD1" s="1" t="e">
        <f>AND('St. Lucia 2016 Election Results'!#REF!,"AAAAAF/ppNM=")</f>
        <v>#REF!</v>
      </c>
      <c r="HE1" s="1" t="e">
        <f>AND('St. Lucia 2016 Election Results'!#REF!,"AAAAAF/ppNQ=")</f>
        <v>#REF!</v>
      </c>
      <c r="HF1" s="1" t="e">
        <f>AND('St. Lucia 2016 Election Results'!#REF!,"AAAAAF/ppNU=")</f>
        <v>#REF!</v>
      </c>
      <c r="HG1" s="1" t="e">
        <f>AND('St. Lucia 2016 Election Results'!#REF!,"AAAAAF/ppNY=")</f>
        <v>#REF!</v>
      </c>
      <c r="HH1" s="1" t="e">
        <f>AND('St. Lucia 2016 Election Results'!#REF!,"AAAAAF/ppNc=")</f>
        <v>#REF!</v>
      </c>
      <c r="HI1" s="1" t="e">
        <f>AND('St. Lucia 2016 Election Results'!#REF!,"AAAAAF/ppNg=")</f>
        <v>#REF!</v>
      </c>
      <c r="HJ1" s="1" t="e">
        <f>AND('St. Lucia 2016 Election Results'!#REF!,"AAAAAF/ppNk=")</f>
        <v>#REF!</v>
      </c>
      <c r="HK1" s="1" t="e">
        <f>AND('St. Lucia 2016 Election Results'!#REF!,"AAAAAF/ppNo=")</f>
        <v>#REF!</v>
      </c>
      <c r="HL1" s="1" t="e">
        <f>AND('St. Lucia 2016 Election Results'!#REF!,"AAAAAF/ppNs=")</f>
        <v>#REF!</v>
      </c>
      <c r="HM1" s="1" t="e">
        <f>IF('St. Lucia 2016 Election Results'!#REF!,"AAAAAF/ppNw=",0)</f>
        <v>#REF!</v>
      </c>
      <c r="HN1" s="1" t="e">
        <f>AND('St. Lucia 2016 Election Results'!#REF!,"AAAAAF/ppN0=")</f>
        <v>#REF!</v>
      </c>
      <c r="HO1" s="1" t="e">
        <f>AND('St. Lucia 2016 Election Results'!#REF!,"AAAAAF/ppN4=")</f>
        <v>#REF!</v>
      </c>
      <c r="HP1" s="1" t="e">
        <f>AND('St. Lucia 2016 Election Results'!#REF!,"AAAAAF/ppN8=")</f>
        <v>#REF!</v>
      </c>
      <c r="HQ1" s="1" t="e">
        <f>AND('St. Lucia 2016 Election Results'!#REF!,"AAAAAF/ppOA=")</f>
        <v>#REF!</v>
      </c>
      <c r="HR1" s="1" t="e">
        <f>AND('St. Lucia 2016 Election Results'!#REF!,"AAAAAF/ppOE=")</f>
        <v>#REF!</v>
      </c>
      <c r="HS1" s="1" t="e">
        <f>AND('St. Lucia 2016 Election Results'!#REF!,"AAAAAF/ppOI=")</f>
        <v>#REF!</v>
      </c>
      <c r="HT1" s="1" t="e">
        <f>AND('St. Lucia 2016 Election Results'!#REF!,"AAAAAF/ppOM=")</f>
        <v>#REF!</v>
      </c>
      <c r="HU1" s="1" t="e">
        <f>AND('St. Lucia 2016 Election Results'!#REF!,"AAAAAF/ppOQ=")</f>
        <v>#REF!</v>
      </c>
      <c r="HV1" s="1" t="e">
        <f>AND('St. Lucia 2016 Election Results'!#REF!,"AAAAAF/ppOU=")</f>
        <v>#REF!</v>
      </c>
      <c r="HW1" s="1" t="e">
        <f>AND('St. Lucia 2016 Election Results'!#REF!,"AAAAAF/ppOY=")</f>
        <v>#REF!</v>
      </c>
      <c r="HX1" s="1" t="e">
        <f>AND('St. Lucia 2016 Election Results'!#REF!,"AAAAAF/ppOc=")</f>
        <v>#REF!</v>
      </c>
      <c r="HY1" s="1" t="e">
        <f>AND('St. Lucia 2016 Election Results'!#REF!,"AAAAAF/ppOg=")</f>
        <v>#REF!</v>
      </c>
      <c r="HZ1" s="1" t="e">
        <f>AND('St. Lucia 2016 Election Results'!#REF!,"AAAAAF/ppOk=")</f>
        <v>#REF!</v>
      </c>
      <c r="IA1" s="1" t="e">
        <f>AND('St. Lucia 2016 Election Results'!#REF!,"AAAAAF/ppOo=")</f>
        <v>#REF!</v>
      </c>
      <c r="IB1" s="1" t="e">
        <f>AND('St. Lucia 2016 Election Results'!#REF!,"AAAAAF/ppOs=")</f>
        <v>#REF!</v>
      </c>
      <c r="IC1" s="1" t="e">
        <f>AND('St. Lucia 2016 Election Results'!#REF!,"AAAAAF/ppOw=")</f>
        <v>#REF!</v>
      </c>
      <c r="ID1" s="1" t="e">
        <f>AND('St. Lucia 2016 Election Results'!#REF!,"AAAAAF/ppO0=")</f>
        <v>#REF!</v>
      </c>
      <c r="IE1" s="1" t="e">
        <f>AND('St. Lucia 2016 Election Results'!#REF!,"AAAAAF/ppO4=")</f>
        <v>#REF!</v>
      </c>
      <c r="IF1" s="1" t="e">
        <f>AND('St. Lucia 2016 Election Results'!#REF!,"AAAAAF/ppO8=")</f>
        <v>#REF!</v>
      </c>
      <c r="IG1" s="1" t="e">
        <f>IF('St. Lucia 2016 Election Results'!#REF!,"AAAAAF/ppPA=",0)</f>
        <v>#REF!</v>
      </c>
      <c r="IH1" s="1" t="e">
        <f>AND('St. Lucia 2016 Election Results'!#REF!,"AAAAAF/ppPE=")</f>
        <v>#REF!</v>
      </c>
      <c r="II1" s="1" t="e">
        <f>AND('St. Lucia 2016 Election Results'!#REF!,"AAAAAF/ppPI=")</f>
        <v>#REF!</v>
      </c>
      <c r="IJ1" s="1" t="e">
        <f>AND('St. Lucia 2016 Election Results'!#REF!,"AAAAAF/ppPM=")</f>
        <v>#REF!</v>
      </c>
      <c r="IK1" s="1" t="e">
        <f>AND('St. Lucia 2016 Election Results'!#REF!,"AAAAAF/ppPQ=")</f>
        <v>#REF!</v>
      </c>
      <c r="IL1" s="1" t="e">
        <f>AND('St. Lucia 2016 Election Results'!#REF!,"AAAAAF/ppPU=")</f>
        <v>#REF!</v>
      </c>
      <c r="IM1" s="1" t="e">
        <f>AND('St. Lucia 2016 Election Results'!#REF!,"AAAAAF/ppPY=")</f>
        <v>#REF!</v>
      </c>
      <c r="IN1" s="1" t="e">
        <f>AND('St. Lucia 2016 Election Results'!#REF!,"AAAAAF/ppPc=")</f>
        <v>#REF!</v>
      </c>
      <c r="IO1" s="1" t="e">
        <f>AND('St. Lucia 2016 Election Results'!#REF!,"AAAAAF/ppPg=")</f>
        <v>#REF!</v>
      </c>
      <c r="IP1" s="1" t="e">
        <f>AND('St. Lucia 2016 Election Results'!#REF!,"AAAAAF/ppPk=")</f>
        <v>#REF!</v>
      </c>
      <c r="IQ1" s="1" t="e">
        <f>AND('St. Lucia 2016 Election Results'!#REF!,"AAAAAF/ppPo=")</f>
        <v>#REF!</v>
      </c>
      <c r="IR1" s="1" t="e">
        <f>AND('St. Lucia 2016 Election Results'!#REF!,"AAAAAF/ppPs=")</f>
        <v>#REF!</v>
      </c>
      <c r="IS1" s="1" t="e">
        <f>AND('St. Lucia 2016 Election Results'!#REF!,"AAAAAF/ppPw=")</f>
        <v>#REF!</v>
      </c>
      <c r="IT1" s="1" t="e">
        <f>AND('St. Lucia 2016 Election Results'!#REF!,"AAAAAF/ppP0=")</f>
        <v>#REF!</v>
      </c>
      <c r="IU1" s="1" t="e">
        <f>AND('St. Lucia 2016 Election Results'!#REF!,"AAAAAF/ppP4=")</f>
        <v>#REF!</v>
      </c>
      <c r="IV1" s="1" t="e">
        <f>AND('St. Lucia 2016 Election Results'!#REF!,"AAAAAF/ppP8=")</f>
        <v>#REF!</v>
      </c>
    </row>
    <row r="2" spans="1:256" ht="12" customHeight="1" x14ac:dyDescent="0.2">
      <c r="A2" s="1" t="e">
        <f>AND('St. Lucia 2016 Election Results'!#REF!,"AAAAAHrndAA=")</f>
        <v>#REF!</v>
      </c>
      <c r="B2" s="1" t="e">
        <f>AND('St. Lucia 2016 Election Results'!#REF!,"AAAAAHrndAE=")</f>
        <v>#REF!</v>
      </c>
      <c r="C2" s="1" t="e">
        <f>AND('St. Lucia 2016 Election Results'!#REF!,"AAAAAHrndAI=")</f>
        <v>#REF!</v>
      </c>
      <c r="D2" s="1" t="e">
        <f>AND('St. Lucia 2016 Election Results'!#REF!,"AAAAAHrndAM=")</f>
        <v>#REF!</v>
      </c>
      <c r="E2" s="1" t="e">
        <f>IF('St. Lucia 2016 Election Results'!#REF!,"AAAAAHrndAQ=",0)</f>
        <v>#REF!</v>
      </c>
      <c r="F2" s="1" t="e">
        <f>AND('St. Lucia 2016 Election Results'!#REF!,"AAAAAHrndAU=")</f>
        <v>#REF!</v>
      </c>
      <c r="G2" s="1" t="e">
        <f>AND('St. Lucia 2016 Election Results'!#REF!,"AAAAAHrndAY=")</f>
        <v>#REF!</v>
      </c>
      <c r="H2" s="1" t="e">
        <f>AND('St. Lucia 2016 Election Results'!#REF!,"AAAAAHrndAc=")</f>
        <v>#REF!</v>
      </c>
      <c r="I2" s="1" t="e">
        <f>AND('St. Lucia 2016 Election Results'!#REF!,"AAAAAHrndAg=")</f>
        <v>#REF!</v>
      </c>
      <c r="J2" s="1" t="e">
        <f>AND('St. Lucia 2016 Election Results'!#REF!,"AAAAAHrndAk=")</f>
        <v>#REF!</v>
      </c>
      <c r="K2" s="1" t="e">
        <f>AND('St. Lucia 2016 Election Results'!#REF!,"AAAAAHrndAo=")</f>
        <v>#REF!</v>
      </c>
      <c r="L2" s="1" t="e">
        <f>AND('St. Lucia 2016 Election Results'!#REF!,"AAAAAHrndAs=")</f>
        <v>#REF!</v>
      </c>
      <c r="M2" s="1" t="e">
        <f>AND('St. Lucia 2016 Election Results'!#REF!,"AAAAAHrndAw=")</f>
        <v>#REF!</v>
      </c>
      <c r="N2" s="1" t="e">
        <f>AND('St. Lucia 2016 Election Results'!#REF!,"AAAAAHrndA0=")</f>
        <v>#REF!</v>
      </c>
      <c r="O2" s="1" t="e">
        <f>AND('St. Lucia 2016 Election Results'!#REF!,"AAAAAHrndA4=")</f>
        <v>#REF!</v>
      </c>
      <c r="P2" s="1" t="e">
        <f>AND('St. Lucia 2016 Election Results'!#REF!,"AAAAAHrndA8=")</f>
        <v>#REF!</v>
      </c>
      <c r="Q2" s="1" t="e">
        <f>AND('St. Lucia 2016 Election Results'!#REF!,"AAAAAHrndBA=")</f>
        <v>#REF!</v>
      </c>
      <c r="R2" s="1" t="e">
        <f>AND('St. Lucia 2016 Election Results'!#REF!,"AAAAAHrndBE=")</f>
        <v>#REF!</v>
      </c>
      <c r="S2" s="1" t="e">
        <f>AND('St. Lucia 2016 Election Results'!#REF!,"AAAAAHrndBI=")</f>
        <v>#REF!</v>
      </c>
      <c r="T2" s="1" t="e">
        <f>AND('St. Lucia 2016 Election Results'!#REF!,"AAAAAHrndBM=")</f>
        <v>#REF!</v>
      </c>
      <c r="U2" s="1" t="e">
        <f>AND('St. Lucia 2016 Election Results'!#REF!,"AAAAAHrndBQ=")</f>
        <v>#REF!</v>
      </c>
      <c r="V2" s="1" t="e">
        <f>AND('St. Lucia 2016 Election Results'!#REF!,"AAAAAHrndBU=")</f>
        <v>#REF!</v>
      </c>
      <c r="W2" s="1" t="e">
        <f>AND('St. Lucia 2016 Election Results'!#REF!,"AAAAAHrndBY=")</f>
        <v>#REF!</v>
      </c>
      <c r="X2" s="1" t="e">
        <f>AND('St. Lucia 2016 Election Results'!#REF!,"AAAAAHrndBc=")</f>
        <v>#REF!</v>
      </c>
      <c r="Y2" s="1" t="e">
        <f>IF('St. Lucia 2016 Election Results'!#REF!,"AAAAAHrndBg=",0)</f>
        <v>#REF!</v>
      </c>
      <c r="Z2" s="1" t="e">
        <f>AND('St. Lucia 2016 Election Results'!#REF!,"AAAAAHrndBk=")</f>
        <v>#REF!</v>
      </c>
      <c r="AA2" s="1" t="e">
        <f>AND('St. Lucia 2016 Election Results'!#REF!,"AAAAAHrndBo=")</f>
        <v>#REF!</v>
      </c>
      <c r="AB2" s="1" t="e">
        <f>AND('St. Lucia 2016 Election Results'!#REF!,"AAAAAHrndBs=")</f>
        <v>#REF!</v>
      </c>
      <c r="AC2" s="1" t="e">
        <f>AND('St. Lucia 2016 Election Results'!#REF!,"AAAAAHrndBw=")</f>
        <v>#REF!</v>
      </c>
      <c r="AD2" s="1" t="e">
        <f>AND('St. Lucia 2016 Election Results'!#REF!,"AAAAAHrndB0=")</f>
        <v>#REF!</v>
      </c>
      <c r="AE2" s="1" t="e">
        <f>AND('St. Lucia 2016 Election Results'!#REF!,"AAAAAHrndB4=")</f>
        <v>#REF!</v>
      </c>
      <c r="AF2" s="1" t="e">
        <f>AND('St. Lucia 2016 Election Results'!#REF!,"AAAAAHrndB8=")</f>
        <v>#REF!</v>
      </c>
      <c r="AG2" s="1" t="e">
        <f>AND('St. Lucia 2016 Election Results'!#REF!,"AAAAAHrndCA=")</f>
        <v>#REF!</v>
      </c>
      <c r="AH2" s="1" t="e">
        <f>AND('St. Lucia 2016 Election Results'!#REF!,"AAAAAHrndCE=")</f>
        <v>#REF!</v>
      </c>
      <c r="AI2" s="1" t="e">
        <f>AND('St. Lucia 2016 Election Results'!#REF!,"AAAAAHrndCI=")</f>
        <v>#REF!</v>
      </c>
      <c r="AJ2" s="1" t="e">
        <f>AND('St. Lucia 2016 Election Results'!#REF!,"AAAAAHrndCM=")</f>
        <v>#REF!</v>
      </c>
      <c r="AK2" s="1" t="e">
        <f>AND('St. Lucia 2016 Election Results'!#REF!,"AAAAAHrndCQ=")</f>
        <v>#REF!</v>
      </c>
      <c r="AL2" s="1" t="e">
        <f>AND('St. Lucia 2016 Election Results'!#REF!,"AAAAAHrndCU=")</f>
        <v>#REF!</v>
      </c>
      <c r="AM2" s="1" t="e">
        <f>AND('St. Lucia 2016 Election Results'!#REF!,"AAAAAHrndCY=")</f>
        <v>#REF!</v>
      </c>
      <c r="AN2" s="1" t="e">
        <f>AND('St. Lucia 2016 Election Results'!#REF!,"AAAAAHrndCc=")</f>
        <v>#REF!</v>
      </c>
      <c r="AO2" s="1" t="e">
        <f>AND('St. Lucia 2016 Election Results'!#REF!,"AAAAAHrndCg=")</f>
        <v>#REF!</v>
      </c>
      <c r="AP2" s="1" t="e">
        <f>AND('St. Lucia 2016 Election Results'!#REF!,"AAAAAHrndCk=")</f>
        <v>#REF!</v>
      </c>
      <c r="AQ2" s="1" t="e">
        <f>AND('St. Lucia 2016 Election Results'!#REF!,"AAAAAHrndCo=")</f>
        <v>#REF!</v>
      </c>
      <c r="AR2" s="1" t="e">
        <f>AND('St. Lucia 2016 Election Results'!#REF!,"AAAAAHrndCs=")</f>
        <v>#REF!</v>
      </c>
      <c r="AS2" s="1">
        <f>IF('St. Lucia 2016 Election Results'!14:14,"AAAAAHrndCw=",0)</f>
        <v>0</v>
      </c>
      <c r="AT2" s="1" t="e">
        <f>AND('St. Lucia 2016 Election Results'!A14,"AAAAAHrndC0=")</f>
        <v>#VALUE!</v>
      </c>
      <c r="AU2" s="1" t="b">
        <f>AND('St. Lucia 2016 Election Results'!B14,"AAAAAHrndC4=")</f>
        <v>1</v>
      </c>
      <c r="AV2" s="1" t="b">
        <f>AND('St. Lucia 2016 Election Results'!C14,"AAAAAHrndC8=")</f>
        <v>0</v>
      </c>
      <c r="AW2" s="1" t="b">
        <f>AND('St. Lucia 2016 Election Results'!D14,"AAAAAHrndDA=")</f>
        <v>0</v>
      </c>
      <c r="AX2" s="1" t="b">
        <f>AND('St. Lucia 2016 Election Results'!E14,"AAAAAHrndDE=")</f>
        <v>0</v>
      </c>
      <c r="AY2" s="1" t="b">
        <f>AND('St. Lucia 2016 Election Results'!F14,"AAAAAHrndDI=")</f>
        <v>0</v>
      </c>
      <c r="AZ2" s="1" t="b">
        <f>AND('St. Lucia 2016 Election Results'!G14,"AAAAAHrndDM=")</f>
        <v>1</v>
      </c>
      <c r="BA2" s="1" t="b">
        <f>AND('St. Lucia 2016 Election Results'!H14,"AAAAAHrndDQ=")</f>
        <v>0</v>
      </c>
      <c r="BB2" s="1" t="b">
        <f>AND('St. Lucia 2016 Election Results'!I14,"AAAAAHrndDU=")</f>
        <v>0</v>
      </c>
      <c r="BC2" s="1" t="b">
        <f>AND('St. Lucia 2016 Election Results'!J14,"AAAAAHrndDY=")</f>
        <v>0</v>
      </c>
      <c r="BD2" s="1" t="b">
        <f>AND('St. Lucia 2016 Election Results'!K14,"AAAAAHrndDc=")</f>
        <v>0</v>
      </c>
      <c r="BE2" s="1" t="b">
        <f>AND('St. Lucia 2016 Election Results'!L14,"AAAAAHrndDg=")</f>
        <v>0</v>
      </c>
      <c r="BF2" s="1" t="b">
        <f>AND('St. Lucia 2016 Election Results'!M14,"AAAAAHrndDk=")</f>
        <v>0</v>
      </c>
      <c r="BG2" s="1" t="b">
        <f>AND('St. Lucia 2016 Election Results'!N14,"AAAAAHrndDo=")</f>
        <v>0</v>
      </c>
      <c r="BH2" s="1" t="b">
        <f>AND('St. Lucia 2016 Election Results'!O14,"AAAAAHrndDs=")</f>
        <v>0</v>
      </c>
      <c r="BI2" s="1" t="b">
        <f>AND('St. Lucia 2016 Election Results'!P14,"AAAAAHrndDw=")</f>
        <v>1</v>
      </c>
      <c r="BJ2" s="1" t="b">
        <f>AND('St. Lucia 2016 Election Results'!Q14,"AAAAAHrndD0=")</f>
        <v>1</v>
      </c>
      <c r="BK2" s="1" t="b">
        <f>AND('St. Lucia 2016 Election Results'!R14,"AAAAAHrndD4=")</f>
        <v>0</v>
      </c>
      <c r="BL2" s="1" t="b">
        <f>AND('St. Lucia 2016 Election Results'!S14,"AAAAAHrndD8=")</f>
        <v>0</v>
      </c>
      <c r="BM2" s="1" t="e">
        <f>IF('St. Lucia 2016 Election Results'!#REF!,"AAAAAHrndEA=",0)</f>
        <v>#REF!</v>
      </c>
      <c r="BN2" s="1" t="e">
        <f>AND('St. Lucia 2016 Election Results'!#REF!,"AAAAAHrndEE=")</f>
        <v>#REF!</v>
      </c>
      <c r="BO2" s="1" t="e">
        <f>AND('St. Lucia 2016 Election Results'!#REF!,"AAAAAHrndEI=")</f>
        <v>#REF!</v>
      </c>
      <c r="BP2" s="1" t="e">
        <f>AND('St. Lucia 2016 Election Results'!#REF!,"AAAAAHrndEM=")</f>
        <v>#REF!</v>
      </c>
      <c r="BQ2" s="1" t="e">
        <f>AND('St. Lucia 2016 Election Results'!#REF!,"AAAAAHrndEQ=")</f>
        <v>#REF!</v>
      </c>
      <c r="BR2" s="1" t="e">
        <f>AND('St. Lucia 2016 Election Results'!#REF!,"AAAAAHrndEU=")</f>
        <v>#REF!</v>
      </c>
      <c r="BS2" s="1" t="e">
        <f>AND('St. Lucia 2016 Election Results'!#REF!,"AAAAAHrndEY=")</f>
        <v>#REF!</v>
      </c>
      <c r="BT2" s="1" t="e">
        <f>AND('St. Lucia 2016 Election Results'!#REF!,"AAAAAHrndEc=")</f>
        <v>#REF!</v>
      </c>
      <c r="BU2" s="1" t="e">
        <f>AND('St. Lucia 2016 Election Results'!#REF!,"AAAAAHrndEg=")</f>
        <v>#REF!</v>
      </c>
      <c r="BV2" s="1" t="e">
        <f>AND('St. Lucia 2016 Election Results'!#REF!,"AAAAAHrndEk=")</f>
        <v>#REF!</v>
      </c>
      <c r="BW2" s="1" t="e">
        <f>AND('St. Lucia 2016 Election Results'!#REF!,"AAAAAHrndEo=")</f>
        <v>#REF!</v>
      </c>
      <c r="BX2" s="1" t="e">
        <f>AND('St. Lucia 2016 Election Results'!#REF!,"AAAAAHrndEs=")</f>
        <v>#REF!</v>
      </c>
      <c r="BY2" s="1" t="e">
        <f>AND('St. Lucia 2016 Election Results'!#REF!,"AAAAAHrndEw=")</f>
        <v>#REF!</v>
      </c>
      <c r="BZ2" s="1" t="e">
        <f>AND('St. Lucia 2016 Election Results'!#REF!,"AAAAAHrndE0=")</f>
        <v>#REF!</v>
      </c>
      <c r="CA2" s="1" t="e">
        <f>AND('St. Lucia 2016 Election Results'!#REF!,"AAAAAHrndE4=")</f>
        <v>#REF!</v>
      </c>
      <c r="CB2" s="1" t="e">
        <f>AND('St. Lucia 2016 Election Results'!#REF!,"AAAAAHrndE8=")</f>
        <v>#REF!</v>
      </c>
      <c r="CC2" s="1" t="e">
        <f>AND('St. Lucia 2016 Election Results'!#REF!,"AAAAAHrndFA=")</f>
        <v>#REF!</v>
      </c>
      <c r="CD2" s="1" t="e">
        <f>AND('St. Lucia 2016 Election Results'!#REF!,"AAAAAHrndFE=")</f>
        <v>#REF!</v>
      </c>
      <c r="CE2" s="1" t="e">
        <f>AND('St. Lucia 2016 Election Results'!#REF!,"AAAAAHrndFI=")</f>
        <v>#REF!</v>
      </c>
      <c r="CF2" s="1" t="e">
        <f>AND('St. Lucia 2016 Election Results'!#REF!,"AAAAAHrndFM=")</f>
        <v>#REF!</v>
      </c>
      <c r="CG2" s="1" t="e">
        <f>IF('St. Lucia 2016 Election Results'!#REF!,"AAAAAHrndFQ=",0)</f>
        <v>#REF!</v>
      </c>
      <c r="CH2" s="1" t="e">
        <f>AND('St. Lucia 2016 Election Results'!#REF!,"AAAAAHrndFU=")</f>
        <v>#REF!</v>
      </c>
      <c r="CI2" s="1" t="e">
        <f>AND('St. Lucia 2016 Election Results'!#REF!,"AAAAAHrndFY=")</f>
        <v>#REF!</v>
      </c>
      <c r="CJ2" s="1" t="e">
        <f>AND('St. Lucia 2016 Election Results'!#REF!,"AAAAAHrndFc=")</f>
        <v>#REF!</v>
      </c>
      <c r="CK2" s="1" t="e">
        <f>AND('St. Lucia 2016 Election Results'!#REF!,"AAAAAHrndFg=")</f>
        <v>#REF!</v>
      </c>
      <c r="CL2" s="1" t="e">
        <f>AND('St. Lucia 2016 Election Results'!#REF!,"AAAAAHrndFk=")</f>
        <v>#REF!</v>
      </c>
      <c r="CM2" s="1" t="e">
        <f>AND('St. Lucia 2016 Election Results'!#REF!,"AAAAAHrndFo=")</f>
        <v>#REF!</v>
      </c>
      <c r="CN2" s="1" t="e">
        <f>AND('St. Lucia 2016 Election Results'!#REF!,"AAAAAHrndFs=")</f>
        <v>#REF!</v>
      </c>
      <c r="CO2" s="1" t="e">
        <f>AND('St. Lucia 2016 Election Results'!#REF!,"AAAAAHrndFw=")</f>
        <v>#REF!</v>
      </c>
      <c r="CP2" s="1" t="e">
        <f>AND('St. Lucia 2016 Election Results'!#REF!,"AAAAAHrndF0=")</f>
        <v>#REF!</v>
      </c>
      <c r="CQ2" s="1" t="e">
        <f>AND('St. Lucia 2016 Election Results'!#REF!,"AAAAAHrndF4=")</f>
        <v>#REF!</v>
      </c>
      <c r="CR2" s="1" t="e">
        <f>AND('St. Lucia 2016 Election Results'!#REF!,"AAAAAHrndF8=")</f>
        <v>#REF!</v>
      </c>
      <c r="CS2" s="1" t="e">
        <f>AND('St. Lucia 2016 Election Results'!#REF!,"AAAAAHrndGA=")</f>
        <v>#REF!</v>
      </c>
      <c r="CT2" s="1" t="e">
        <f>AND('St. Lucia 2016 Election Results'!#REF!,"AAAAAHrndGE=")</f>
        <v>#REF!</v>
      </c>
      <c r="CU2" s="1" t="e">
        <f>AND('St. Lucia 2016 Election Results'!#REF!,"AAAAAHrndGI=")</f>
        <v>#REF!</v>
      </c>
      <c r="CV2" s="1" t="e">
        <f>AND('St. Lucia 2016 Election Results'!#REF!,"AAAAAHrndGM=")</f>
        <v>#REF!</v>
      </c>
      <c r="CW2" s="1" t="e">
        <f>AND('St. Lucia 2016 Election Results'!#REF!,"AAAAAHrndGQ=")</f>
        <v>#REF!</v>
      </c>
      <c r="CX2" s="1" t="e">
        <f>AND('St. Lucia 2016 Election Results'!#REF!,"AAAAAHrndGU=")</f>
        <v>#REF!</v>
      </c>
      <c r="CY2" s="1" t="e">
        <f>AND('St. Lucia 2016 Election Results'!#REF!,"AAAAAHrndGY=")</f>
        <v>#REF!</v>
      </c>
      <c r="CZ2" s="1" t="e">
        <f>AND('St. Lucia 2016 Election Results'!#REF!,"AAAAAHrndGc=")</f>
        <v>#REF!</v>
      </c>
      <c r="DA2" s="1" t="e">
        <f>IF('St. Lucia 2016 Election Results'!#REF!,"AAAAAHrndGg=",0)</f>
        <v>#REF!</v>
      </c>
      <c r="DB2" s="1" t="e">
        <f>AND('St. Lucia 2016 Election Results'!#REF!,"AAAAAHrndGk=")</f>
        <v>#REF!</v>
      </c>
      <c r="DC2" s="1" t="e">
        <f>AND('St. Lucia 2016 Election Results'!#REF!,"AAAAAHrndGo=")</f>
        <v>#REF!</v>
      </c>
      <c r="DD2" s="1" t="e">
        <f>AND('St. Lucia 2016 Election Results'!#REF!,"AAAAAHrndGs=")</f>
        <v>#REF!</v>
      </c>
      <c r="DE2" s="1" t="e">
        <f>AND('St. Lucia 2016 Election Results'!#REF!,"AAAAAHrndGw=")</f>
        <v>#REF!</v>
      </c>
      <c r="DF2" s="1" t="e">
        <f>AND('St. Lucia 2016 Election Results'!#REF!,"AAAAAHrndG0=")</f>
        <v>#REF!</v>
      </c>
      <c r="DG2" s="1" t="e">
        <f>AND('St. Lucia 2016 Election Results'!#REF!,"AAAAAHrndG4=")</f>
        <v>#REF!</v>
      </c>
      <c r="DH2" s="1" t="e">
        <f>AND('St. Lucia 2016 Election Results'!#REF!,"AAAAAHrndG8=")</f>
        <v>#REF!</v>
      </c>
      <c r="DI2" s="1" t="e">
        <f>AND('St. Lucia 2016 Election Results'!#REF!,"AAAAAHrndHA=")</f>
        <v>#REF!</v>
      </c>
      <c r="DJ2" s="1" t="e">
        <f>AND('St. Lucia 2016 Election Results'!#REF!,"AAAAAHrndHE=")</f>
        <v>#REF!</v>
      </c>
      <c r="DK2" s="1" t="e">
        <f>AND('St. Lucia 2016 Election Results'!#REF!,"AAAAAHrndHI=")</f>
        <v>#REF!</v>
      </c>
      <c r="DL2" s="1" t="e">
        <f>AND('St. Lucia 2016 Election Results'!#REF!,"AAAAAHrndHM=")</f>
        <v>#REF!</v>
      </c>
      <c r="DM2" s="1" t="e">
        <f>AND('St. Lucia 2016 Election Results'!#REF!,"AAAAAHrndHQ=")</f>
        <v>#REF!</v>
      </c>
      <c r="DN2" s="1" t="e">
        <f>AND('St. Lucia 2016 Election Results'!#REF!,"AAAAAHrndHU=")</f>
        <v>#REF!</v>
      </c>
      <c r="DO2" s="1" t="e">
        <f>AND('St. Lucia 2016 Election Results'!#REF!,"AAAAAHrndHY=")</f>
        <v>#REF!</v>
      </c>
      <c r="DP2" s="1" t="e">
        <f>AND('St. Lucia 2016 Election Results'!#REF!,"AAAAAHrndHc=")</f>
        <v>#REF!</v>
      </c>
      <c r="DQ2" s="1" t="e">
        <f>AND('St. Lucia 2016 Election Results'!#REF!,"AAAAAHrndHg=")</f>
        <v>#REF!</v>
      </c>
      <c r="DR2" s="1" t="e">
        <f>AND('St. Lucia 2016 Election Results'!#REF!,"AAAAAHrndHk=")</f>
        <v>#REF!</v>
      </c>
      <c r="DS2" s="1" t="e">
        <f>AND('St. Lucia 2016 Election Results'!#REF!,"AAAAAHrndHo=")</f>
        <v>#REF!</v>
      </c>
      <c r="DT2" s="1" t="e">
        <f>AND('St. Lucia 2016 Election Results'!#REF!,"AAAAAHrndHs=")</f>
        <v>#REF!</v>
      </c>
      <c r="DU2" s="1" t="e">
        <f>IF('St. Lucia 2016 Election Results'!#REF!,"AAAAAHrndHw=",0)</f>
        <v>#REF!</v>
      </c>
      <c r="DV2" s="1" t="e">
        <f>AND('St. Lucia 2016 Election Results'!#REF!,"AAAAAHrndH0=")</f>
        <v>#REF!</v>
      </c>
      <c r="DW2" s="1" t="e">
        <f>AND('St. Lucia 2016 Election Results'!#REF!,"AAAAAHrndH4=")</f>
        <v>#REF!</v>
      </c>
      <c r="DX2" s="1" t="e">
        <f>AND('St. Lucia 2016 Election Results'!#REF!,"AAAAAHrndH8=")</f>
        <v>#REF!</v>
      </c>
      <c r="DY2" s="1" t="e">
        <f>AND('St. Lucia 2016 Election Results'!#REF!,"AAAAAHrndIA=")</f>
        <v>#REF!</v>
      </c>
      <c r="DZ2" s="1" t="e">
        <f>AND('St. Lucia 2016 Election Results'!#REF!,"AAAAAHrndIE=")</f>
        <v>#REF!</v>
      </c>
      <c r="EA2" s="1" t="e">
        <f>AND('St. Lucia 2016 Election Results'!#REF!,"AAAAAHrndII=")</f>
        <v>#REF!</v>
      </c>
      <c r="EB2" s="1" t="e">
        <f>AND('St. Lucia 2016 Election Results'!#REF!,"AAAAAHrndIM=")</f>
        <v>#REF!</v>
      </c>
      <c r="EC2" s="1" t="e">
        <f>AND('St. Lucia 2016 Election Results'!#REF!,"AAAAAHrndIQ=")</f>
        <v>#REF!</v>
      </c>
      <c r="ED2" s="1" t="e">
        <f>AND('St. Lucia 2016 Election Results'!#REF!,"AAAAAHrndIU=")</f>
        <v>#REF!</v>
      </c>
      <c r="EE2" s="1" t="e">
        <f>AND('St. Lucia 2016 Election Results'!#REF!,"AAAAAHrndIY=")</f>
        <v>#REF!</v>
      </c>
      <c r="EF2" s="1" t="e">
        <f>AND('St. Lucia 2016 Election Results'!#REF!,"AAAAAHrndIc=")</f>
        <v>#REF!</v>
      </c>
      <c r="EG2" s="1" t="e">
        <f>AND('St. Lucia 2016 Election Results'!#REF!,"AAAAAHrndIg=")</f>
        <v>#REF!</v>
      </c>
      <c r="EH2" s="1" t="e">
        <f>AND('St. Lucia 2016 Election Results'!#REF!,"AAAAAHrndIk=")</f>
        <v>#REF!</v>
      </c>
      <c r="EI2" s="1" t="e">
        <f>AND('St. Lucia 2016 Election Results'!#REF!,"AAAAAHrndIo=")</f>
        <v>#REF!</v>
      </c>
      <c r="EJ2" s="1" t="e">
        <f>AND('St. Lucia 2016 Election Results'!#REF!,"AAAAAHrndIs=")</f>
        <v>#REF!</v>
      </c>
      <c r="EK2" s="1" t="e">
        <f>AND('St. Lucia 2016 Election Results'!#REF!,"AAAAAHrndIw=")</f>
        <v>#REF!</v>
      </c>
      <c r="EL2" s="1" t="e">
        <f>AND('St. Lucia 2016 Election Results'!#REF!,"AAAAAHrndI0=")</f>
        <v>#REF!</v>
      </c>
      <c r="EM2" s="1" t="e">
        <f>AND('St. Lucia 2016 Election Results'!#REF!,"AAAAAHrndI4=")</f>
        <v>#REF!</v>
      </c>
      <c r="EN2" s="1" t="e">
        <f>AND('St. Lucia 2016 Election Results'!#REF!,"AAAAAHrndI8=")</f>
        <v>#REF!</v>
      </c>
      <c r="EO2" s="1" t="e">
        <f>IF('St. Lucia 2016 Election Results'!#REF!,"AAAAAHrndJA=",0)</f>
        <v>#REF!</v>
      </c>
      <c r="EP2" s="1" t="e">
        <f>AND('St. Lucia 2016 Election Results'!#REF!,"AAAAAHrndJE=")</f>
        <v>#REF!</v>
      </c>
      <c r="EQ2" s="1" t="e">
        <f>AND('St. Lucia 2016 Election Results'!#REF!,"AAAAAHrndJI=")</f>
        <v>#REF!</v>
      </c>
      <c r="ER2" s="1" t="e">
        <f>AND('St. Lucia 2016 Election Results'!#REF!,"AAAAAHrndJM=")</f>
        <v>#REF!</v>
      </c>
      <c r="ES2" s="1" t="e">
        <f>AND('St. Lucia 2016 Election Results'!#REF!,"AAAAAHrndJQ=")</f>
        <v>#REF!</v>
      </c>
      <c r="ET2" s="1" t="e">
        <f>AND('St. Lucia 2016 Election Results'!#REF!,"AAAAAHrndJU=")</f>
        <v>#REF!</v>
      </c>
      <c r="EU2" s="1" t="e">
        <f>AND('St. Lucia 2016 Election Results'!#REF!,"AAAAAHrndJY=")</f>
        <v>#REF!</v>
      </c>
      <c r="EV2" s="1" t="e">
        <f>AND('St. Lucia 2016 Election Results'!#REF!,"AAAAAHrndJc=")</f>
        <v>#REF!</v>
      </c>
      <c r="EW2" s="1" t="e">
        <f>AND('St. Lucia 2016 Election Results'!#REF!,"AAAAAHrndJg=")</f>
        <v>#REF!</v>
      </c>
      <c r="EX2" s="1" t="e">
        <f>AND('St. Lucia 2016 Election Results'!#REF!,"AAAAAHrndJk=")</f>
        <v>#REF!</v>
      </c>
      <c r="EY2" s="1" t="e">
        <f>AND('St. Lucia 2016 Election Results'!#REF!,"AAAAAHrndJo=")</f>
        <v>#REF!</v>
      </c>
      <c r="EZ2" s="1" t="e">
        <f>AND('St. Lucia 2016 Election Results'!#REF!,"AAAAAHrndJs=")</f>
        <v>#REF!</v>
      </c>
      <c r="FA2" s="1" t="e">
        <f>AND('St. Lucia 2016 Election Results'!#REF!,"AAAAAHrndJw=")</f>
        <v>#REF!</v>
      </c>
      <c r="FB2" s="1" t="e">
        <f>AND('St. Lucia 2016 Election Results'!#REF!,"AAAAAHrndJ0=")</f>
        <v>#REF!</v>
      </c>
      <c r="FC2" s="1" t="e">
        <f>AND('St. Lucia 2016 Election Results'!#REF!,"AAAAAHrndJ4=")</f>
        <v>#REF!</v>
      </c>
      <c r="FD2" s="1" t="e">
        <f>AND('St. Lucia 2016 Election Results'!#REF!,"AAAAAHrndJ8=")</f>
        <v>#REF!</v>
      </c>
      <c r="FE2" s="1" t="e">
        <f>AND('St. Lucia 2016 Election Results'!#REF!,"AAAAAHrndKA=")</f>
        <v>#REF!</v>
      </c>
      <c r="FF2" s="1" t="e">
        <f>AND('St. Lucia 2016 Election Results'!#REF!,"AAAAAHrndKE=")</f>
        <v>#REF!</v>
      </c>
      <c r="FG2" s="1" t="e">
        <f>AND('St. Lucia 2016 Election Results'!#REF!,"AAAAAHrndKI=")</f>
        <v>#REF!</v>
      </c>
      <c r="FH2" s="1" t="e">
        <f>AND('St. Lucia 2016 Election Results'!#REF!,"AAAAAHrndKM=")</f>
        <v>#REF!</v>
      </c>
      <c r="FI2" s="1" t="e">
        <f>IF('St. Lucia 2016 Election Results'!#REF!,"AAAAAHrndKQ=",0)</f>
        <v>#REF!</v>
      </c>
      <c r="FJ2" s="1" t="e">
        <f>AND('St. Lucia 2016 Election Results'!#REF!,"AAAAAHrndKU=")</f>
        <v>#REF!</v>
      </c>
      <c r="FK2" s="1" t="e">
        <f>AND('St. Lucia 2016 Election Results'!#REF!,"AAAAAHrndKY=")</f>
        <v>#REF!</v>
      </c>
      <c r="FL2" s="1" t="e">
        <f>AND('St. Lucia 2016 Election Results'!#REF!,"AAAAAHrndKc=")</f>
        <v>#REF!</v>
      </c>
      <c r="FM2" s="1" t="e">
        <f>AND('St. Lucia 2016 Election Results'!#REF!,"AAAAAHrndKg=")</f>
        <v>#REF!</v>
      </c>
      <c r="FN2" s="1" t="e">
        <f>AND('St. Lucia 2016 Election Results'!#REF!,"AAAAAHrndKk=")</f>
        <v>#REF!</v>
      </c>
      <c r="FO2" s="1" t="e">
        <f>AND('St. Lucia 2016 Election Results'!#REF!,"AAAAAHrndKo=")</f>
        <v>#REF!</v>
      </c>
      <c r="FP2" s="1" t="e">
        <f>AND('St. Lucia 2016 Election Results'!#REF!,"AAAAAHrndKs=")</f>
        <v>#REF!</v>
      </c>
      <c r="FQ2" s="1" t="e">
        <f>AND('St. Lucia 2016 Election Results'!#REF!,"AAAAAHrndKw=")</f>
        <v>#REF!</v>
      </c>
      <c r="FR2" s="1" t="e">
        <f>AND('St. Lucia 2016 Election Results'!#REF!,"AAAAAHrndK0=")</f>
        <v>#REF!</v>
      </c>
      <c r="FS2" s="1" t="e">
        <f>AND('St. Lucia 2016 Election Results'!#REF!,"AAAAAHrndK4=")</f>
        <v>#REF!</v>
      </c>
      <c r="FT2" s="1" t="e">
        <f>AND('St. Lucia 2016 Election Results'!#REF!,"AAAAAHrndK8=")</f>
        <v>#REF!</v>
      </c>
      <c r="FU2" s="1" t="e">
        <f>AND('St. Lucia 2016 Election Results'!#REF!,"AAAAAHrndLA=")</f>
        <v>#REF!</v>
      </c>
      <c r="FV2" s="1" t="e">
        <f>AND('St. Lucia 2016 Election Results'!#REF!,"AAAAAHrndLE=")</f>
        <v>#REF!</v>
      </c>
      <c r="FW2" s="1" t="e">
        <f>AND('St. Lucia 2016 Election Results'!#REF!,"AAAAAHrndLI=")</f>
        <v>#REF!</v>
      </c>
      <c r="FX2" s="1" t="e">
        <f>AND('St. Lucia 2016 Election Results'!#REF!,"AAAAAHrndLM=")</f>
        <v>#REF!</v>
      </c>
      <c r="FY2" s="1" t="e">
        <f>AND('St. Lucia 2016 Election Results'!#REF!,"AAAAAHrndLQ=")</f>
        <v>#REF!</v>
      </c>
      <c r="FZ2" s="1" t="e">
        <f>AND('St. Lucia 2016 Election Results'!#REF!,"AAAAAHrndLU=")</f>
        <v>#REF!</v>
      </c>
      <c r="GA2" s="1" t="e">
        <f>AND('St. Lucia 2016 Election Results'!#REF!,"AAAAAHrndLY=")</f>
        <v>#REF!</v>
      </c>
      <c r="GB2" s="1" t="e">
        <f>AND('St. Lucia 2016 Election Results'!#REF!,"AAAAAHrndLc=")</f>
        <v>#REF!</v>
      </c>
      <c r="GC2" s="1">
        <f>IF('St. Lucia 2016 Election Results'!15:15,"AAAAAHrndLg=",0)</f>
        <v>0</v>
      </c>
      <c r="GD2" s="1" t="e">
        <f>AND('St. Lucia 2016 Election Results'!A15,"AAAAAHrndLk=")</f>
        <v>#VALUE!</v>
      </c>
      <c r="GE2" s="1" t="b">
        <f>AND('St. Lucia 2016 Election Results'!B15,"AAAAAHrndLo=")</f>
        <v>1</v>
      </c>
      <c r="GF2" s="1" t="b">
        <f>AND('St. Lucia 2016 Election Results'!C15,"AAAAAHrndLs=")</f>
        <v>0</v>
      </c>
      <c r="GG2" s="1" t="b">
        <f>AND('St. Lucia 2016 Election Results'!D15,"AAAAAHrndLw=")</f>
        <v>0</v>
      </c>
      <c r="GH2" s="1" t="b">
        <f>AND('St. Lucia 2016 Election Results'!E15,"AAAAAHrndL0=")</f>
        <v>0</v>
      </c>
      <c r="GI2" s="1" t="b">
        <f>AND('St. Lucia 2016 Election Results'!F15,"AAAAAHrndL4=")</f>
        <v>0</v>
      </c>
      <c r="GJ2" s="1" t="e">
        <f>AND('St. Lucia 2016 Election Results'!G15,"AAAAAHrndL8=")</f>
        <v>#VALUE!</v>
      </c>
      <c r="GK2" s="1" t="b">
        <f>AND('St. Lucia 2016 Election Results'!H15,"AAAAAHrndMA=")</f>
        <v>0</v>
      </c>
      <c r="GL2" s="1" t="b">
        <f>AND('St. Lucia 2016 Election Results'!I15,"AAAAAHrndME=")</f>
        <v>0</v>
      </c>
      <c r="GM2" s="1" t="b">
        <f>AND('St. Lucia 2016 Election Results'!J15,"AAAAAHrndMI=")</f>
        <v>0</v>
      </c>
      <c r="GN2" s="1" t="b">
        <f>AND('St. Lucia 2016 Election Results'!K15,"AAAAAHrndMM=")</f>
        <v>0</v>
      </c>
      <c r="GO2" s="1" t="b">
        <f>AND('St. Lucia 2016 Election Results'!L15,"AAAAAHrndMQ=")</f>
        <v>0</v>
      </c>
      <c r="GP2" s="1" t="b">
        <f>AND('St. Lucia 2016 Election Results'!M15,"AAAAAHrndMU=")</f>
        <v>0</v>
      </c>
      <c r="GQ2" s="1" t="b">
        <f>AND('St. Lucia 2016 Election Results'!N15,"AAAAAHrndMY=")</f>
        <v>0</v>
      </c>
      <c r="GR2" s="1" t="b">
        <f>AND('St. Lucia 2016 Election Results'!O15,"AAAAAHrndMc=")</f>
        <v>0</v>
      </c>
      <c r="GS2" s="1" t="b">
        <f>AND('St. Lucia 2016 Election Results'!P15,"AAAAAHrndMg=")</f>
        <v>1</v>
      </c>
      <c r="GT2" s="1" t="b">
        <f>AND('St. Lucia 2016 Election Results'!Q15,"AAAAAHrndMk=")</f>
        <v>0</v>
      </c>
      <c r="GU2" s="1" t="b">
        <f>AND('St. Lucia 2016 Election Results'!R15,"AAAAAHrndMo=")</f>
        <v>0</v>
      </c>
      <c r="GV2" s="1" t="b">
        <f>AND('St. Lucia 2016 Election Results'!S15,"AAAAAHrndMs=")</f>
        <v>0</v>
      </c>
      <c r="GW2" s="1">
        <f>IF('St. Lucia 2016 Election Results'!16:16,"AAAAAHrndMw=",0)</f>
        <v>0</v>
      </c>
      <c r="GX2" s="1" t="e">
        <f>AND('St. Lucia 2016 Election Results'!A16,"AAAAAHrndM0=")</f>
        <v>#VALUE!</v>
      </c>
      <c r="GY2" s="1" t="b">
        <f>AND('St. Lucia 2016 Election Results'!B16,"AAAAAHrndM4=")</f>
        <v>1</v>
      </c>
      <c r="GZ2" s="1" t="b">
        <f>AND('St. Lucia 2016 Election Results'!C16,"AAAAAHrndM8=")</f>
        <v>0</v>
      </c>
      <c r="HA2" s="1" t="b">
        <f>AND('St. Lucia 2016 Election Results'!D16,"AAAAAHrndNA=")</f>
        <v>0</v>
      </c>
      <c r="HB2" s="1" t="b">
        <f>AND('St. Lucia 2016 Election Results'!E16,"AAAAAHrndNE=")</f>
        <v>0</v>
      </c>
      <c r="HC2" s="1" t="b">
        <f>AND('St. Lucia 2016 Election Results'!F16,"AAAAAHrndNI=")</f>
        <v>0</v>
      </c>
      <c r="HD2" s="1" t="b">
        <f>AND('St. Lucia 2016 Election Results'!G16,"AAAAAHrndNM=")</f>
        <v>0</v>
      </c>
      <c r="HE2" s="1" t="b">
        <f>AND('St. Lucia 2016 Election Results'!H16,"AAAAAHrndNQ=")</f>
        <v>0</v>
      </c>
      <c r="HF2" s="1" t="b">
        <f>AND('St. Lucia 2016 Election Results'!I16,"AAAAAHrndNU=")</f>
        <v>0</v>
      </c>
      <c r="HG2" s="1" t="b">
        <f>AND('St. Lucia 2016 Election Results'!J16,"AAAAAHrndNY=")</f>
        <v>0</v>
      </c>
      <c r="HH2" s="1" t="b">
        <f>AND('St. Lucia 2016 Election Results'!K16,"AAAAAHrndNc=")</f>
        <v>0</v>
      </c>
      <c r="HI2" s="1" t="b">
        <f>AND('St. Lucia 2016 Election Results'!L16,"AAAAAHrndNg=")</f>
        <v>0</v>
      </c>
      <c r="HJ2" s="1" t="b">
        <f>AND('St. Lucia 2016 Election Results'!M16,"AAAAAHrndNk=")</f>
        <v>0</v>
      </c>
      <c r="HK2" s="1" t="b">
        <f>AND('St. Lucia 2016 Election Results'!N16,"AAAAAHrndNo=")</f>
        <v>0</v>
      </c>
      <c r="HL2" s="1" t="b">
        <f>AND('St. Lucia 2016 Election Results'!O16,"AAAAAHrndNs=")</f>
        <v>0</v>
      </c>
      <c r="HM2" s="1" t="b">
        <f>AND('St. Lucia 2016 Election Results'!P16,"AAAAAHrndNw=")</f>
        <v>1</v>
      </c>
      <c r="HN2" s="1" t="b">
        <f>AND('St. Lucia 2016 Election Results'!Q16,"AAAAAHrndN0=")</f>
        <v>0</v>
      </c>
      <c r="HO2" s="1" t="b">
        <f>AND('St. Lucia 2016 Election Results'!R16,"AAAAAHrndN4=")</f>
        <v>0</v>
      </c>
      <c r="HP2" s="1" t="b">
        <f>AND('St. Lucia 2016 Election Results'!S16,"AAAAAHrndN8=")</f>
        <v>0</v>
      </c>
      <c r="HQ2" s="1">
        <f>IF('St. Lucia 2016 Election Results'!17:17,"AAAAAHrndOA=",0)</f>
        <v>0</v>
      </c>
      <c r="HR2" s="1" t="e">
        <f>AND('St. Lucia 2016 Election Results'!A17,"AAAAAHrndOE=")</f>
        <v>#VALUE!</v>
      </c>
      <c r="HS2" s="1" t="b">
        <f>AND('St. Lucia 2016 Election Results'!B17,"AAAAAHrndOI=")</f>
        <v>1</v>
      </c>
      <c r="HT2" s="1" t="b">
        <f>AND('St. Lucia 2016 Election Results'!C17,"AAAAAHrndOM=")</f>
        <v>1</v>
      </c>
      <c r="HU2" s="1" t="b">
        <f>AND('St. Lucia 2016 Election Results'!D17,"AAAAAHrndOQ=")</f>
        <v>1</v>
      </c>
      <c r="HV2" s="1" t="b">
        <f>AND('St. Lucia 2016 Election Results'!E17,"AAAAAHrndOU=")</f>
        <v>1</v>
      </c>
      <c r="HW2" s="1" t="b">
        <f>AND('St. Lucia 2016 Election Results'!F17,"AAAAAHrndOY=")</f>
        <v>1</v>
      </c>
      <c r="HX2" s="1" t="b">
        <f>AND('St. Lucia 2016 Election Results'!G17,"AAAAAHrndOc=")</f>
        <v>1</v>
      </c>
      <c r="HY2" s="1" t="b">
        <f>AND('St. Lucia 2016 Election Results'!H17,"AAAAAHrndOg=")</f>
        <v>1</v>
      </c>
      <c r="HZ2" s="1" t="b">
        <f>AND('St. Lucia 2016 Election Results'!I17,"AAAAAHrndOk=")</f>
        <v>1</v>
      </c>
      <c r="IA2" s="1" t="b">
        <f>AND('St. Lucia 2016 Election Results'!J17,"AAAAAHrndOo=")</f>
        <v>1</v>
      </c>
      <c r="IB2" s="1" t="b">
        <f>AND('St. Lucia 2016 Election Results'!K17,"AAAAAHrndOs=")</f>
        <v>1</v>
      </c>
      <c r="IC2" s="1" t="b">
        <f>AND('St. Lucia 2016 Election Results'!L17,"AAAAAHrndOw=")</f>
        <v>1</v>
      </c>
      <c r="ID2" s="1" t="b">
        <f>AND('St. Lucia 2016 Election Results'!M17,"AAAAAHrndO0=")</f>
        <v>1</v>
      </c>
      <c r="IE2" s="1" t="b">
        <f>AND('St. Lucia 2016 Election Results'!N17,"AAAAAHrndO4=")</f>
        <v>1</v>
      </c>
      <c r="IF2" s="1" t="b">
        <f>AND('St. Lucia 2016 Election Results'!O17,"AAAAAHrndO8=")</f>
        <v>1</v>
      </c>
      <c r="IG2" s="1" t="b">
        <f>AND('St. Lucia 2016 Election Results'!P17,"AAAAAHrndPA=")</f>
        <v>1</v>
      </c>
      <c r="IH2" s="1" t="b">
        <f>AND('St. Lucia 2016 Election Results'!Q17,"AAAAAHrndPE=")</f>
        <v>1</v>
      </c>
      <c r="II2" s="1" t="b">
        <f>AND('St. Lucia 2016 Election Results'!R17,"AAAAAHrndPI=")</f>
        <v>1</v>
      </c>
      <c r="IJ2" s="1" t="b">
        <f>AND('St. Lucia 2016 Election Results'!S17,"AAAAAHrndPM=")</f>
        <v>1</v>
      </c>
      <c r="IK2" s="1">
        <f>IF('St. Lucia 2016 Election Results'!18:18,"AAAAAHrndPQ=",0)</f>
        <v>0</v>
      </c>
      <c r="IL2" s="1" t="e">
        <f>AND('St. Lucia 2016 Election Results'!A18,"AAAAAHrndPU=")</f>
        <v>#VALUE!</v>
      </c>
      <c r="IM2" s="1" t="b">
        <f>AND('St. Lucia 2016 Election Results'!B18,"AAAAAHrndPY=")</f>
        <v>1</v>
      </c>
      <c r="IN2" s="1" t="b">
        <f>AND('St. Lucia 2016 Election Results'!C18,"AAAAAHrndPc=")</f>
        <v>1</v>
      </c>
      <c r="IO2" s="1" t="b">
        <f>AND('St. Lucia 2016 Election Results'!D18,"AAAAAHrndPg=")</f>
        <v>1</v>
      </c>
      <c r="IP2" s="1" t="b">
        <f>AND('St. Lucia 2016 Election Results'!E18,"AAAAAHrndPk=")</f>
        <v>1</v>
      </c>
      <c r="IQ2" s="1" t="b">
        <f>AND('St. Lucia 2016 Election Results'!F18,"AAAAAHrndPo=")</f>
        <v>1</v>
      </c>
      <c r="IR2" s="1" t="b">
        <f>AND('St. Lucia 2016 Election Results'!G18,"AAAAAHrndPs=")</f>
        <v>1</v>
      </c>
      <c r="IS2" s="1" t="b">
        <f>AND('St. Lucia 2016 Election Results'!H18,"AAAAAHrndPw=")</f>
        <v>1</v>
      </c>
      <c r="IT2" s="1" t="b">
        <f>AND('St. Lucia 2016 Election Results'!I18,"AAAAAHrndP0=")</f>
        <v>1</v>
      </c>
      <c r="IU2" s="1" t="b">
        <f>AND('St. Lucia 2016 Election Results'!J18,"AAAAAHrndP4=")</f>
        <v>1</v>
      </c>
      <c r="IV2" s="1" t="b">
        <f>AND('St. Lucia 2016 Election Results'!K18,"AAAAAHrndP8=")</f>
        <v>1</v>
      </c>
    </row>
    <row r="3" spans="1:256" ht="12" customHeight="1" x14ac:dyDescent="0.2">
      <c r="A3" s="1" t="b">
        <f>AND('St. Lucia 2016 Election Results'!L18,"AAAAACb/dgA=")</f>
        <v>1</v>
      </c>
      <c r="B3" s="1" t="b">
        <f>AND('St. Lucia 2016 Election Results'!M18,"AAAAACb/dgE=")</f>
        <v>1</v>
      </c>
      <c r="C3" s="1" t="b">
        <f>AND('St. Lucia 2016 Election Results'!N18,"AAAAACb/dgI=")</f>
        <v>1</v>
      </c>
      <c r="D3" s="1" t="b">
        <f>AND('St. Lucia 2016 Election Results'!O18,"AAAAACb/dgM=")</f>
        <v>1</v>
      </c>
      <c r="E3" s="1" t="b">
        <f>AND('St. Lucia 2016 Election Results'!P18,"AAAAACb/dgQ=")</f>
        <v>1</v>
      </c>
      <c r="F3" s="1" t="b">
        <f>AND('St. Lucia 2016 Election Results'!Q18,"AAAAACb/dgU=")</f>
        <v>1</v>
      </c>
      <c r="G3" s="1" t="b">
        <f>AND('St. Lucia 2016 Election Results'!R18,"AAAAACb/dgY=")</f>
        <v>1</v>
      </c>
      <c r="H3" s="1" t="b">
        <f>AND('St. Lucia 2016 Election Results'!S18,"AAAAACb/dgc=")</f>
        <v>1</v>
      </c>
      <c r="I3" s="1" t="str">
        <f>IF('St. Lucia 2016 Election Results'!19:19,"AAAAACb/dgg=",0)</f>
        <v>AAAAACb/dgg=</v>
      </c>
      <c r="J3" s="1" t="e">
        <f>AND('St. Lucia 2016 Election Results'!A19,"AAAAACb/dgk=")</f>
        <v>#VALUE!</v>
      </c>
      <c r="K3" s="1" t="b">
        <f>AND('St. Lucia 2016 Election Results'!B19,"AAAAACb/dgo=")</f>
        <v>1</v>
      </c>
      <c r="L3" s="1" t="b">
        <f>AND('St. Lucia 2016 Election Results'!C19,"AAAAACb/dgs=")</f>
        <v>1</v>
      </c>
      <c r="M3" s="1" t="b">
        <f>AND('St. Lucia 2016 Election Results'!D19,"AAAAACb/dgw=")</f>
        <v>1</v>
      </c>
      <c r="N3" s="1" t="b">
        <f>AND('St. Lucia 2016 Election Results'!E19,"AAAAACb/dg0=")</f>
        <v>1</v>
      </c>
      <c r="O3" s="1" t="b">
        <f>AND('St. Lucia 2016 Election Results'!F19,"AAAAACb/dg4=")</f>
        <v>1</v>
      </c>
      <c r="P3" s="1" t="b">
        <f>AND('St. Lucia 2016 Election Results'!G19,"AAAAACb/dg8=")</f>
        <v>1</v>
      </c>
      <c r="Q3" s="1" t="b">
        <f>AND('St. Lucia 2016 Election Results'!H19,"AAAAACb/dhA=")</f>
        <v>1</v>
      </c>
      <c r="R3" s="1" t="b">
        <f>AND('St. Lucia 2016 Election Results'!I19,"AAAAACb/dhE=")</f>
        <v>1</v>
      </c>
      <c r="S3" s="1" t="b">
        <f>AND('St. Lucia 2016 Election Results'!J19,"AAAAACb/dhI=")</f>
        <v>1</v>
      </c>
      <c r="T3" s="1" t="b">
        <f>AND('St. Lucia 2016 Election Results'!K19,"AAAAACb/dhM=")</f>
        <v>1</v>
      </c>
      <c r="U3" s="1" t="b">
        <f>AND('St. Lucia 2016 Election Results'!L19,"AAAAACb/dhQ=")</f>
        <v>1</v>
      </c>
      <c r="V3" s="1" t="b">
        <f>AND('St. Lucia 2016 Election Results'!M19,"AAAAACb/dhU=")</f>
        <v>1</v>
      </c>
      <c r="W3" s="1" t="b">
        <f>AND('St. Lucia 2016 Election Results'!N19,"AAAAACb/dhY=")</f>
        <v>1</v>
      </c>
      <c r="X3" s="1" t="b">
        <f>AND('St. Lucia 2016 Election Results'!O19,"AAAAACb/dhc=")</f>
        <v>1</v>
      </c>
      <c r="Y3" s="1" t="b">
        <f>AND('St. Lucia 2016 Election Results'!P19,"AAAAACb/dhg=")</f>
        <v>1</v>
      </c>
      <c r="Z3" s="1" t="b">
        <f>AND('St. Lucia 2016 Election Results'!Q19,"AAAAACb/dhk=")</f>
        <v>1</v>
      </c>
      <c r="AA3" s="1" t="b">
        <f>AND('St. Lucia 2016 Election Results'!R19,"AAAAACb/dho=")</f>
        <v>1</v>
      </c>
      <c r="AB3" s="1" t="b">
        <f>AND('St. Lucia 2016 Election Results'!S19,"AAAAACb/dhs=")</f>
        <v>1</v>
      </c>
      <c r="AC3" s="1">
        <f>IF('St. Lucia 2016 Election Results'!20:20,"AAAAACb/dhw=",0)</f>
        <v>0</v>
      </c>
      <c r="AD3" s="1" t="e">
        <f>AND('St. Lucia 2016 Election Results'!A20,"AAAAACb/dh0=")</f>
        <v>#VALUE!</v>
      </c>
      <c r="AE3" s="1" t="b">
        <f>AND('St. Lucia 2016 Election Results'!B20,"AAAAACb/dh4=")</f>
        <v>1</v>
      </c>
      <c r="AF3" s="1" t="b">
        <f>AND('St. Lucia 2016 Election Results'!C20,"AAAAACb/dh8=")</f>
        <v>1</v>
      </c>
      <c r="AG3" s="1" t="b">
        <f>AND('St. Lucia 2016 Election Results'!D20,"AAAAACb/diA=")</f>
        <v>1</v>
      </c>
      <c r="AH3" s="1" t="b">
        <f>AND('St. Lucia 2016 Election Results'!E20,"AAAAACb/diE=")</f>
        <v>1</v>
      </c>
      <c r="AI3" s="1" t="b">
        <f>AND('St. Lucia 2016 Election Results'!F20,"AAAAACb/diI=")</f>
        <v>1</v>
      </c>
      <c r="AJ3" s="1" t="b">
        <f>AND('St. Lucia 2016 Election Results'!G20,"AAAAACb/diM=")</f>
        <v>1</v>
      </c>
      <c r="AK3" s="1" t="b">
        <f>AND('St. Lucia 2016 Election Results'!H20,"AAAAACb/diQ=")</f>
        <v>1</v>
      </c>
      <c r="AL3" s="1" t="b">
        <f>AND('St. Lucia 2016 Election Results'!I20,"AAAAACb/diU=")</f>
        <v>1</v>
      </c>
      <c r="AM3" s="1" t="b">
        <f>AND('St. Lucia 2016 Election Results'!J20,"AAAAACb/diY=")</f>
        <v>1</v>
      </c>
      <c r="AN3" s="1" t="b">
        <f>AND('St. Lucia 2016 Election Results'!K20,"AAAAACb/dic=")</f>
        <v>1</v>
      </c>
      <c r="AO3" s="1" t="b">
        <f>AND('St. Lucia 2016 Election Results'!L20,"AAAAACb/dig=")</f>
        <v>1</v>
      </c>
      <c r="AP3" s="1" t="b">
        <f>AND('St. Lucia 2016 Election Results'!M20,"AAAAACb/dik=")</f>
        <v>1</v>
      </c>
      <c r="AQ3" s="1" t="b">
        <f>AND('St. Lucia 2016 Election Results'!N20,"AAAAACb/dio=")</f>
        <v>1</v>
      </c>
      <c r="AR3" s="1" t="b">
        <f>AND('St. Lucia 2016 Election Results'!O20,"AAAAACb/dis=")</f>
        <v>1</v>
      </c>
      <c r="AS3" s="1" t="b">
        <f>AND('St. Lucia 2016 Election Results'!P20,"AAAAACb/diw=")</f>
        <v>1</v>
      </c>
      <c r="AT3" s="1" t="b">
        <f>AND('St. Lucia 2016 Election Results'!Q20,"AAAAACb/di0=")</f>
        <v>1</v>
      </c>
      <c r="AU3" s="1" t="b">
        <f>AND('St. Lucia 2016 Election Results'!R20,"AAAAACb/di4=")</f>
        <v>1</v>
      </c>
      <c r="AV3" s="1" t="b">
        <f>AND('St. Lucia 2016 Election Results'!S20,"AAAAACb/di8=")</f>
        <v>1</v>
      </c>
      <c r="AW3" s="1">
        <f>IF('St. Lucia 2016 Election Results'!21:21,"AAAAACb/djA=",0)</f>
        <v>0</v>
      </c>
      <c r="AX3" s="1" t="e">
        <f>AND('St. Lucia 2016 Election Results'!A21,"AAAAACb/djE=")</f>
        <v>#VALUE!</v>
      </c>
      <c r="AY3" s="1" t="b">
        <f>AND('St. Lucia 2016 Election Results'!B21,"AAAAACb/djI=")</f>
        <v>1</v>
      </c>
      <c r="AZ3" s="1" t="b">
        <f>AND('St. Lucia 2016 Election Results'!C21,"AAAAACb/djM=")</f>
        <v>1</v>
      </c>
      <c r="BA3" s="1" t="b">
        <f>AND('St. Lucia 2016 Election Results'!D21,"AAAAACb/djQ=")</f>
        <v>1</v>
      </c>
      <c r="BB3" s="1" t="b">
        <f>AND('St. Lucia 2016 Election Results'!E21,"AAAAACb/djU=")</f>
        <v>1</v>
      </c>
      <c r="BC3" s="1" t="b">
        <f>AND('St. Lucia 2016 Election Results'!F21,"AAAAACb/djY=")</f>
        <v>1</v>
      </c>
      <c r="BD3" s="1" t="b">
        <f>AND('St. Lucia 2016 Election Results'!G21,"AAAAACb/djc=")</f>
        <v>1</v>
      </c>
      <c r="BE3" s="1" t="b">
        <f>AND('St. Lucia 2016 Election Results'!H21,"AAAAACb/djg=")</f>
        <v>1</v>
      </c>
      <c r="BF3" s="1" t="b">
        <f>AND('St. Lucia 2016 Election Results'!I21,"AAAAACb/djk=")</f>
        <v>1</v>
      </c>
      <c r="BG3" s="1" t="b">
        <f>AND('St. Lucia 2016 Election Results'!J21,"AAAAACb/djo=")</f>
        <v>1</v>
      </c>
      <c r="BH3" s="1" t="b">
        <f>AND('St. Lucia 2016 Election Results'!K21,"AAAAACb/djs=")</f>
        <v>1</v>
      </c>
      <c r="BI3" s="1" t="b">
        <f>AND('St. Lucia 2016 Election Results'!L21,"AAAAACb/djw=")</f>
        <v>1</v>
      </c>
      <c r="BJ3" s="1" t="b">
        <f>AND('St. Lucia 2016 Election Results'!M21,"AAAAACb/dj0=")</f>
        <v>1</v>
      </c>
      <c r="BK3" s="1" t="b">
        <f>AND('St. Lucia 2016 Election Results'!N21,"AAAAACb/dj4=")</f>
        <v>1</v>
      </c>
      <c r="BL3" s="1" t="b">
        <f>AND('St. Lucia 2016 Election Results'!O21,"AAAAACb/dj8=")</f>
        <v>1</v>
      </c>
      <c r="BM3" s="1" t="b">
        <f>AND('St. Lucia 2016 Election Results'!P21,"AAAAACb/dkA=")</f>
        <v>1</v>
      </c>
      <c r="BN3" s="1" t="b">
        <f>AND('St. Lucia 2016 Election Results'!Q21,"AAAAACb/dkE=")</f>
        <v>1</v>
      </c>
      <c r="BO3" s="1" t="b">
        <f>AND('St. Lucia 2016 Election Results'!R21,"AAAAACb/dkI=")</f>
        <v>1</v>
      </c>
      <c r="BP3" s="1" t="b">
        <f>AND('St. Lucia 2016 Election Results'!S21,"AAAAACb/dkM=")</f>
        <v>1</v>
      </c>
      <c r="BQ3" s="1">
        <f>IF('St. Lucia 2016 Election Results'!22:22,"AAAAACb/dkQ=",0)</f>
        <v>0</v>
      </c>
      <c r="BR3" s="1" t="e">
        <f>AND('St. Lucia 2016 Election Results'!A22,"AAAAACb/dkU=")</f>
        <v>#VALUE!</v>
      </c>
      <c r="BS3" s="1" t="b">
        <f>AND('St. Lucia 2016 Election Results'!B22,"AAAAACb/dkY=")</f>
        <v>1</v>
      </c>
      <c r="BT3" s="1" t="b">
        <f>AND('St. Lucia 2016 Election Results'!C22,"AAAAACb/dkc=")</f>
        <v>1</v>
      </c>
      <c r="BU3" s="1" t="b">
        <f>AND('St. Lucia 2016 Election Results'!D22,"AAAAACb/dkg=")</f>
        <v>1</v>
      </c>
      <c r="BV3" s="1" t="b">
        <f>AND('St. Lucia 2016 Election Results'!E22,"AAAAACb/dkk=")</f>
        <v>1</v>
      </c>
      <c r="BW3" s="1" t="b">
        <f>AND('St. Lucia 2016 Election Results'!F22,"AAAAACb/dko=")</f>
        <v>1</v>
      </c>
      <c r="BX3" s="1" t="b">
        <f>AND('St. Lucia 2016 Election Results'!G22,"AAAAACb/dks=")</f>
        <v>1</v>
      </c>
      <c r="BY3" s="1" t="b">
        <f>AND('St. Lucia 2016 Election Results'!H22,"AAAAACb/dkw=")</f>
        <v>1</v>
      </c>
      <c r="BZ3" s="1" t="b">
        <f>AND('St. Lucia 2016 Election Results'!I22,"AAAAACb/dk0=")</f>
        <v>1</v>
      </c>
      <c r="CA3" s="1" t="b">
        <f>AND('St. Lucia 2016 Election Results'!J22,"AAAAACb/dk4=")</f>
        <v>1</v>
      </c>
      <c r="CB3" s="1" t="b">
        <f>AND('St. Lucia 2016 Election Results'!K22,"AAAAACb/dk8=")</f>
        <v>1</v>
      </c>
      <c r="CC3" s="1" t="b">
        <f>AND('St. Lucia 2016 Election Results'!L22,"AAAAACb/dlA=")</f>
        <v>1</v>
      </c>
      <c r="CD3" s="1" t="b">
        <f>AND('St. Lucia 2016 Election Results'!M22,"AAAAACb/dlE=")</f>
        <v>1</v>
      </c>
      <c r="CE3" s="1" t="b">
        <f>AND('St. Lucia 2016 Election Results'!N22,"AAAAACb/dlI=")</f>
        <v>1</v>
      </c>
      <c r="CF3" s="1" t="b">
        <f>AND('St. Lucia 2016 Election Results'!O22,"AAAAACb/dlM=")</f>
        <v>1</v>
      </c>
      <c r="CG3" s="1" t="b">
        <f>AND('St. Lucia 2016 Election Results'!P22,"AAAAACb/dlQ=")</f>
        <v>1</v>
      </c>
      <c r="CH3" s="1" t="b">
        <f>AND('St. Lucia 2016 Election Results'!Q22,"AAAAACb/dlU=")</f>
        <v>1</v>
      </c>
      <c r="CI3" s="1" t="b">
        <f>AND('St. Lucia 2016 Election Results'!R22,"AAAAACb/dlY=")</f>
        <v>1</v>
      </c>
      <c r="CJ3" s="1" t="b">
        <f>AND('St. Lucia 2016 Election Results'!S22,"AAAAACb/dlc=")</f>
        <v>1</v>
      </c>
      <c r="CK3" s="1">
        <f>IF('St. Lucia 2016 Election Results'!A:A,"AAAAACb/dlg=",0)</f>
        <v>0</v>
      </c>
      <c r="CL3" s="1">
        <f>IF('St. Lucia 2016 Election Results'!B:B,"AAAAACb/dlk=",0)</f>
        <v>0</v>
      </c>
      <c r="CM3" s="1">
        <f>IF('St. Lucia 2016 Election Results'!C:C,"AAAAACb/dlo=",0)</f>
        <v>0</v>
      </c>
      <c r="CN3" s="1">
        <f>IF('St. Lucia 2016 Election Results'!D:D,"AAAAACb/dls=",0)</f>
        <v>0</v>
      </c>
      <c r="CO3" s="1" t="e">
        <f>IF('St. Lucia 2016 Election Results'!E:E,"AAAAACb/dlw=",0)</f>
        <v>#VALUE!</v>
      </c>
      <c r="CP3" s="1" t="e">
        <f>IF('St. Lucia 2016 Election Results'!F:F,"AAAAACb/dl0=",0)</f>
        <v>#VALUE!</v>
      </c>
      <c r="CQ3" s="1" t="e">
        <f>IF('St. Lucia 2016 Election Results'!G:G,"AAAAACb/dl4=",0)</f>
        <v>#VALUE!</v>
      </c>
      <c r="CR3" s="1" t="e">
        <f>IF('St. Lucia 2016 Election Results'!H:H,"AAAAACb/dl8=",0)</f>
        <v>#VALUE!</v>
      </c>
      <c r="CS3" s="1" t="e">
        <f>IF('St. Lucia 2016 Election Results'!I:I,"AAAAACb/dmA=",0)</f>
        <v>#VALUE!</v>
      </c>
      <c r="CT3" s="1">
        <f>IF('St. Lucia 2016 Election Results'!J:J,"AAAAACb/dmE=",0)</f>
        <v>0</v>
      </c>
      <c r="CU3" s="1">
        <f>IF('St. Lucia 2016 Election Results'!K:K,"AAAAACb/dmI=",0)</f>
        <v>0</v>
      </c>
      <c r="CV3" s="1">
        <f>IF('St. Lucia 2016 Election Results'!L:L,"AAAAACb/dmM=",0)</f>
        <v>0</v>
      </c>
      <c r="CW3" s="1" t="e">
        <f>IF('St. Lucia 2016 Election Results'!M:M,"AAAAACb/dmQ=",0)</f>
        <v>#VALUE!</v>
      </c>
      <c r="CX3" s="1" t="e">
        <f>IF('St. Lucia 2016 Election Results'!N:N,"AAAAACb/dmU=",0)</f>
        <v>#VALUE!</v>
      </c>
      <c r="CY3" s="1" t="e">
        <f>IF('St. Lucia 2016 Election Results'!O:O,"AAAAACb/dmY=",0)</f>
        <v>#VALUE!</v>
      </c>
      <c r="CZ3" s="1" t="e">
        <f>IF('St. Lucia 2016 Election Results'!P:P,"AAAAACb/dmc=",0)</f>
        <v>#VALUE!</v>
      </c>
      <c r="DA3" s="1" t="e">
        <f>IF('St. Lucia 2016 Election Results'!Q:Q,"AAAAACb/dmg=",0)</f>
        <v>#VALUE!</v>
      </c>
      <c r="DB3" s="1" t="e">
        <f>IF('St. Lucia 2016 Election Results'!R:R,"AAAAACb/dmk=",0)</f>
        <v>#VALUE!</v>
      </c>
      <c r="DC3" s="1" t="e">
        <f>IF('St. Lucia 2016 Election Results'!S:S,"AAAAACb/dmo=",0)</f>
        <v>#VALUE!</v>
      </c>
      <c r="DD3" s="1">
        <f>IF('2016 Candidates'!1:1,"AAAAACb/dms=",0)</f>
        <v>0</v>
      </c>
      <c r="DE3" s="1" t="e">
        <f>AND('2016 Candidates'!A1,"AAAAACb/dmw=")</f>
        <v>#VALUE!</v>
      </c>
      <c r="DF3" s="1" t="e">
        <f>AND('2016 Candidates'!B1,"AAAAACb/dm0=")</f>
        <v>#VALUE!</v>
      </c>
      <c r="DG3" s="1" t="e">
        <f>AND('2016 Candidates'!C1,"AAAAACb/dm4=")</f>
        <v>#VALUE!</v>
      </c>
      <c r="DH3" s="1" t="e">
        <f>AND('2016 Candidates'!D1,"AAAAACb/dm8=")</f>
        <v>#VALUE!</v>
      </c>
      <c r="DI3" s="1" t="e">
        <f>AND('2016 Candidates'!E1,"AAAAACb/dnA=")</f>
        <v>#VALUE!</v>
      </c>
      <c r="DJ3" s="1">
        <f>IF('2016 Candidates'!2:2,"AAAAACb/dnE=",0)</f>
        <v>0</v>
      </c>
      <c r="DK3" s="1" t="e">
        <f>AND('2016 Candidates'!A2,"AAAAACb/dnI=")</f>
        <v>#VALUE!</v>
      </c>
      <c r="DL3" s="1" t="e">
        <f>AND('2016 Candidates'!B2,"AAAAACb/dnM=")</f>
        <v>#VALUE!</v>
      </c>
      <c r="DM3" s="1" t="e">
        <f>AND('2016 Candidates'!C2,"AAAAACb/dnQ=")</f>
        <v>#VALUE!</v>
      </c>
      <c r="DN3" s="1" t="e">
        <f>AND('2016 Candidates'!D2,"AAAAACb/dnU=")</f>
        <v>#VALUE!</v>
      </c>
      <c r="DO3" s="1" t="e">
        <f>AND('2016 Candidates'!E2,"AAAAACb/dnY=")</f>
        <v>#VALUE!</v>
      </c>
      <c r="DP3" s="1">
        <f>IF('2016 Candidates'!3:3,"AAAAACb/dnc=",0)</f>
        <v>0</v>
      </c>
      <c r="DQ3" s="1" t="e">
        <f>AND('2016 Candidates'!A3,"AAAAACb/dng=")</f>
        <v>#VALUE!</v>
      </c>
      <c r="DR3" s="1" t="e">
        <f>AND('2016 Candidates'!B3,"AAAAACb/dnk=")</f>
        <v>#VALUE!</v>
      </c>
      <c r="DS3" s="1" t="b">
        <f>AND('2016 Candidates'!C3,"AAAAACb/dno=")</f>
        <v>1</v>
      </c>
      <c r="DT3" s="1" t="b">
        <f>AND('2016 Candidates'!D3,"AAAAACb/dns=")</f>
        <v>1</v>
      </c>
      <c r="DU3" s="1" t="b">
        <f>AND('2016 Candidates'!E3,"AAAAACb/dnw=")</f>
        <v>1</v>
      </c>
      <c r="DV3" s="1">
        <f>IF('2016 Candidates'!4:4,"AAAAACb/dn0=",0)</f>
        <v>0</v>
      </c>
      <c r="DW3" s="1" t="e">
        <f>AND('2016 Candidates'!A4,"AAAAACb/dn4=")</f>
        <v>#VALUE!</v>
      </c>
      <c r="DX3" s="1" t="e">
        <f>AND('2016 Candidates'!B4,"AAAAACb/dn8=")</f>
        <v>#VALUE!</v>
      </c>
      <c r="DY3" s="1" t="e">
        <f>AND('2016 Candidates'!C4,"AAAAACb/doA=")</f>
        <v>#VALUE!</v>
      </c>
      <c r="DZ3" s="1" t="b">
        <f>AND('2016 Candidates'!D4,"AAAAACb/doE=")</f>
        <v>1</v>
      </c>
      <c r="EA3" s="1" t="b">
        <f>AND('2016 Candidates'!E4,"AAAAACb/doI=")</f>
        <v>1</v>
      </c>
      <c r="EB3" s="1">
        <f>IF('2016 Candidates'!5:5,"AAAAACb/doM=",0)</f>
        <v>0</v>
      </c>
      <c r="EC3" s="1" t="e">
        <f>AND('2016 Candidates'!A5,"AAAAACb/doQ=")</f>
        <v>#VALUE!</v>
      </c>
      <c r="ED3" s="1" t="e">
        <f>AND('2016 Candidates'!B5,"AAAAACb/doU=")</f>
        <v>#VALUE!</v>
      </c>
      <c r="EE3" s="1" t="e">
        <f>AND('2016 Candidates'!C5,"AAAAACb/doY=")</f>
        <v>#VALUE!</v>
      </c>
      <c r="EF3" s="1" t="b">
        <f>AND('2016 Candidates'!D5,"AAAAACb/doc=")</f>
        <v>1</v>
      </c>
      <c r="EG3" s="1" t="b">
        <f>AND('2016 Candidates'!E5,"AAAAACb/dog=")</f>
        <v>1</v>
      </c>
      <c r="EH3" s="1" t="e">
        <f>IF('2016 Candidates'!#REF!,"AAAAACb/dok=",0)</f>
        <v>#REF!</v>
      </c>
      <c r="EI3" s="1" t="e">
        <f>AND('2016 Candidates'!#REF!,"AAAAACb/doo=")</f>
        <v>#REF!</v>
      </c>
      <c r="EJ3" s="1" t="e">
        <f>AND('2016 Candidates'!#REF!,"AAAAACb/dos=")</f>
        <v>#REF!</v>
      </c>
      <c r="EK3" s="1" t="e">
        <f>AND('2016 Candidates'!#REF!,"AAAAACb/dow=")</f>
        <v>#REF!</v>
      </c>
      <c r="EL3" s="1" t="e">
        <f>AND('2016 Candidates'!#REF!,"AAAAACb/do0=")</f>
        <v>#REF!</v>
      </c>
      <c r="EM3" s="1" t="e">
        <f>AND('2016 Candidates'!#REF!,"AAAAACb/do4=")</f>
        <v>#REF!</v>
      </c>
      <c r="EN3" s="1">
        <f>IF('2016 Candidates'!6:6,"AAAAACb/do8=",0)</f>
        <v>0</v>
      </c>
      <c r="EO3" s="1" t="e">
        <f>AND('2016 Candidates'!A6,"AAAAACb/dpA=")</f>
        <v>#VALUE!</v>
      </c>
      <c r="EP3" s="1" t="e">
        <f>AND('2016 Candidates'!B6,"AAAAACb/dpE=")</f>
        <v>#VALUE!</v>
      </c>
      <c r="EQ3" s="1" t="e">
        <f>AND('2016 Candidates'!C6,"AAAAACb/dpI=")</f>
        <v>#VALUE!</v>
      </c>
      <c r="ER3" s="1" t="b">
        <f>AND('2016 Candidates'!D6,"AAAAACb/dpM=")</f>
        <v>1</v>
      </c>
      <c r="ES3" s="1" t="b">
        <f>AND('2016 Candidates'!E6,"AAAAACb/dpQ=")</f>
        <v>1</v>
      </c>
      <c r="ET3" s="1">
        <f>IF('2016 Candidates'!7:7,"AAAAACb/dpU=",0)</f>
        <v>0</v>
      </c>
      <c r="EU3" s="1" t="e">
        <f>AND('2016 Candidates'!A7,"AAAAACb/dpY=")</f>
        <v>#VALUE!</v>
      </c>
      <c r="EV3" s="1" t="e">
        <f>AND('2016 Candidates'!B7,"AAAAACb/dpc=")</f>
        <v>#VALUE!</v>
      </c>
      <c r="EW3" s="1" t="e">
        <f>AND('2016 Candidates'!C7,"AAAAACb/dpg=")</f>
        <v>#VALUE!</v>
      </c>
      <c r="EX3" s="1" t="b">
        <f>AND('2016 Candidates'!D7,"AAAAACb/dpk=")</f>
        <v>1</v>
      </c>
      <c r="EY3" s="1" t="b">
        <f>AND('2016 Candidates'!E7,"AAAAACb/dpo=")</f>
        <v>1</v>
      </c>
      <c r="EZ3" s="1">
        <f>IF('2016 Candidates'!8:8,"AAAAACb/dps=",0)</f>
        <v>0</v>
      </c>
      <c r="FA3" s="1" t="e">
        <f>AND('2016 Candidates'!A8,"AAAAACb/dpw=")</f>
        <v>#VALUE!</v>
      </c>
      <c r="FB3" s="1" t="e">
        <f>AND('2016 Candidates'!B8,"AAAAACb/dp0=")</f>
        <v>#VALUE!</v>
      </c>
      <c r="FC3" s="1" t="b">
        <f>AND('2016 Candidates'!C8,"AAAAACb/dp4=")</f>
        <v>1</v>
      </c>
      <c r="FD3" s="1" t="b">
        <f>AND('2016 Candidates'!D8,"AAAAACb/dp8=")</f>
        <v>1</v>
      </c>
      <c r="FE3" s="1" t="b">
        <f>AND('2016 Candidates'!E8,"AAAAACb/dqA=")</f>
        <v>1</v>
      </c>
      <c r="FF3" s="1">
        <f>IF('2016 Candidates'!9:9,"AAAAACb/dqE=",0)</f>
        <v>0</v>
      </c>
      <c r="FG3" s="1" t="e">
        <f>AND('2016 Candidates'!A9,"AAAAACb/dqI=")</f>
        <v>#VALUE!</v>
      </c>
      <c r="FH3" s="1" t="e">
        <f>AND('2016 Candidates'!B9,"AAAAACb/dqM=")</f>
        <v>#VALUE!</v>
      </c>
      <c r="FI3" s="1" t="e">
        <f>AND('2016 Candidates'!C9,"AAAAACb/dqQ=")</f>
        <v>#VALUE!</v>
      </c>
      <c r="FJ3" s="1" t="b">
        <f>AND('2016 Candidates'!D9,"AAAAACb/dqU=")</f>
        <v>1</v>
      </c>
      <c r="FK3" s="1" t="b">
        <f>AND('2016 Candidates'!E9,"AAAAACb/dqY=")</f>
        <v>1</v>
      </c>
      <c r="FL3" s="1">
        <f>IF('2016 Candidates'!10:10,"AAAAACb/dqc=",0)</f>
        <v>0</v>
      </c>
      <c r="FM3" s="1" t="e">
        <f>AND('2016 Candidates'!A10,"AAAAACb/dqg=")</f>
        <v>#VALUE!</v>
      </c>
      <c r="FN3" s="1" t="e">
        <f>AND('2016 Candidates'!B10,"AAAAACb/dqk=")</f>
        <v>#VALUE!</v>
      </c>
      <c r="FO3" s="1" t="e">
        <f>AND('2016 Candidates'!C10,"AAAAACb/dqo=")</f>
        <v>#VALUE!</v>
      </c>
      <c r="FP3" s="1" t="b">
        <f>AND('2016 Candidates'!D10,"AAAAACb/dqs=")</f>
        <v>1</v>
      </c>
      <c r="FQ3" s="1" t="b">
        <f>AND('2016 Candidates'!E10,"AAAAACb/dqw=")</f>
        <v>1</v>
      </c>
      <c r="FR3" s="1">
        <f>IF('2016 Candidates'!11:11,"AAAAACb/dq0=",0)</f>
        <v>0</v>
      </c>
      <c r="FS3" s="1" t="e">
        <f>AND('2016 Candidates'!A11,"AAAAACb/dq4=")</f>
        <v>#VALUE!</v>
      </c>
      <c r="FT3" s="1" t="e">
        <f>AND('2016 Candidates'!B11,"AAAAACb/dq8=")</f>
        <v>#VALUE!</v>
      </c>
      <c r="FU3" s="1" t="e">
        <f>AND('2016 Candidates'!C11,"AAAAACb/drA=")</f>
        <v>#VALUE!</v>
      </c>
      <c r="FV3" s="1" t="b">
        <f>AND('2016 Candidates'!D11,"AAAAACb/drE=")</f>
        <v>1</v>
      </c>
      <c r="FW3" s="1" t="b">
        <f>AND('2016 Candidates'!E11,"AAAAACb/drI=")</f>
        <v>1</v>
      </c>
      <c r="FX3" s="1">
        <f>IF('2016 Candidates'!12:12,"AAAAACb/drM=",0)</f>
        <v>0</v>
      </c>
      <c r="FY3" s="1" t="e">
        <f>AND('2016 Candidates'!A12,"AAAAACb/drQ=")</f>
        <v>#VALUE!</v>
      </c>
      <c r="FZ3" s="1" t="e">
        <f>AND('2016 Candidates'!B12,"AAAAACb/drU=")</f>
        <v>#VALUE!</v>
      </c>
      <c r="GA3" s="1" t="b">
        <f>AND('2016 Candidates'!C12,"AAAAACb/drY=")</f>
        <v>1</v>
      </c>
      <c r="GB3" s="1" t="b">
        <f>AND('2016 Candidates'!D12,"AAAAACb/drc=")</f>
        <v>1</v>
      </c>
      <c r="GC3" s="1" t="b">
        <f>AND('2016 Candidates'!E12,"AAAAACb/drg=")</f>
        <v>1</v>
      </c>
      <c r="GD3" s="1" t="e">
        <f>IF('2016 Candidates'!#REF!,"AAAAACb/drk=",0)</f>
        <v>#REF!</v>
      </c>
      <c r="GE3" s="1" t="e">
        <f>AND('2016 Candidates'!#REF!,"AAAAACb/dro=")</f>
        <v>#REF!</v>
      </c>
      <c r="GF3" s="1" t="e">
        <f>AND('2016 Candidates'!#REF!,"AAAAACb/drs=")</f>
        <v>#REF!</v>
      </c>
      <c r="GG3" s="1" t="e">
        <f>AND('2016 Candidates'!#REF!,"AAAAACb/drw=")</f>
        <v>#REF!</v>
      </c>
      <c r="GH3" s="1" t="e">
        <f>AND('2016 Candidates'!#REF!,"AAAAACb/dr0=")</f>
        <v>#REF!</v>
      </c>
      <c r="GI3" s="1" t="e">
        <f>AND('2016 Candidates'!#REF!,"AAAAACb/dr4=")</f>
        <v>#REF!</v>
      </c>
      <c r="GJ3" s="1">
        <f>IF('2016 Candidates'!13:13,"AAAAACb/dr8=",0)</f>
        <v>0</v>
      </c>
      <c r="GK3" s="1" t="e">
        <f>AND('2016 Candidates'!A13,"AAAAACb/dsA=")</f>
        <v>#VALUE!</v>
      </c>
      <c r="GL3" s="1" t="e">
        <f>AND('2016 Candidates'!B13,"AAAAACb/dsE=")</f>
        <v>#VALUE!</v>
      </c>
      <c r="GM3" s="1" t="e">
        <f>AND('2016 Candidates'!C13,"AAAAACb/dsI=")</f>
        <v>#VALUE!</v>
      </c>
      <c r="GN3" s="1" t="b">
        <f>AND('2016 Candidates'!D13,"AAAAACb/dsM=")</f>
        <v>1</v>
      </c>
      <c r="GO3" s="1" t="b">
        <f>AND('2016 Candidates'!E13,"AAAAACb/dsQ=")</f>
        <v>1</v>
      </c>
      <c r="GP3" s="1">
        <f>IF('2016 Candidates'!14:14,"AAAAACb/dsU=",0)</f>
        <v>0</v>
      </c>
      <c r="GQ3" s="1" t="e">
        <f>AND('2016 Candidates'!A14,"AAAAACb/dsY=")</f>
        <v>#VALUE!</v>
      </c>
      <c r="GR3" s="1" t="e">
        <f>AND('2016 Candidates'!B14,"AAAAACb/dsc=")</f>
        <v>#VALUE!</v>
      </c>
      <c r="GS3" s="1" t="e">
        <f>AND('2016 Candidates'!C14,"AAAAACb/dsg=")</f>
        <v>#VALUE!</v>
      </c>
      <c r="GT3" s="1" t="b">
        <f>AND('2016 Candidates'!D14,"AAAAACb/dsk=")</f>
        <v>1</v>
      </c>
      <c r="GU3" s="1" t="b">
        <f>AND('2016 Candidates'!E14,"AAAAACb/dso=")</f>
        <v>1</v>
      </c>
      <c r="GV3" s="1">
        <f>IF('2016 Candidates'!15:15,"AAAAACb/dss=",0)</f>
        <v>0</v>
      </c>
      <c r="GW3" s="1" t="e">
        <f>AND('2016 Candidates'!A15,"AAAAACb/dsw=")</f>
        <v>#VALUE!</v>
      </c>
      <c r="GX3" s="1" t="e">
        <f>AND('2016 Candidates'!B15,"AAAAACb/ds0=")</f>
        <v>#VALUE!</v>
      </c>
      <c r="GY3" s="1" t="e">
        <f>AND('2016 Candidates'!C15,"AAAAACb/ds4=")</f>
        <v>#VALUE!</v>
      </c>
      <c r="GZ3" s="1" t="b">
        <f>AND('2016 Candidates'!D15,"AAAAACb/ds8=")</f>
        <v>1</v>
      </c>
      <c r="HA3" s="1" t="b">
        <f>AND('2016 Candidates'!E15,"AAAAACb/dtA=")</f>
        <v>1</v>
      </c>
      <c r="HB3" s="1">
        <f>IF('2016 Candidates'!16:16,"AAAAACb/dtE=",0)</f>
        <v>0</v>
      </c>
      <c r="HC3" s="1" t="e">
        <f>AND('2016 Candidates'!A16,"AAAAACb/dtI=")</f>
        <v>#VALUE!</v>
      </c>
      <c r="HD3" s="1" t="e">
        <f>AND('2016 Candidates'!B16,"AAAAACb/dtM=")</f>
        <v>#VALUE!</v>
      </c>
      <c r="HE3" s="1" t="b">
        <f>AND('2016 Candidates'!C16,"AAAAACb/dtQ=")</f>
        <v>1</v>
      </c>
      <c r="HF3" s="1" t="b">
        <f>AND('2016 Candidates'!D16,"AAAAACb/dtU=")</f>
        <v>1</v>
      </c>
      <c r="HG3" s="1" t="b">
        <f>AND('2016 Candidates'!E16,"AAAAACb/dtY=")</f>
        <v>1</v>
      </c>
      <c r="HH3" s="1">
        <f>IF('2016 Candidates'!17:17,"AAAAACb/dtc=",0)</f>
        <v>0</v>
      </c>
      <c r="HI3" s="1" t="e">
        <f>AND('2016 Candidates'!A17,"AAAAACb/dtg=")</f>
        <v>#VALUE!</v>
      </c>
      <c r="HJ3" s="1" t="e">
        <f>AND('2016 Candidates'!B17,"AAAAACb/dtk=")</f>
        <v>#VALUE!</v>
      </c>
      <c r="HK3" s="1" t="e">
        <f>AND('2016 Candidates'!C17,"AAAAACb/dto=")</f>
        <v>#VALUE!</v>
      </c>
      <c r="HL3" s="1" t="b">
        <f>AND('2016 Candidates'!D17,"AAAAACb/dts=")</f>
        <v>1</v>
      </c>
      <c r="HM3" s="1" t="b">
        <f>AND('2016 Candidates'!E17,"AAAAACb/dtw=")</f>
        <v>1</v>
      </c>
      <c r="HN3" s="1">
        <f>IF('2016 Candidates'!18:18,"AAAAACb/dt0=",0)</f>
        <v>0</v>
      </c>
      <c r="HO3" s="1" t="e">
        <f>AND('2016 Candidates'!A18,"AAAAACb/dt4=")</f>
        <v>#VALUE!</v>
      </c>
      <c r="HP3" s="1" t="e">
        <f>AND('2016 Candidates'!B18,"AAAAACb/dt8=")</f>
        <v>#VALUE!</v>
      </c>
      <c r="HQ3" s="1" t="e">
        <f>AND('2016 Candidates'!C18,"AAAAACb/duA=")</f>
        <v>#VALUE!</v>
      </c>
      <c r="HR3" s="1" t="b">
        <f>AND('2016 Candidates'!D18,"AAAAACb/duE=")</f>
        <v>1</v>
      </c>
      <c r="HS3" s="1" t="b">
        <f>AND('2016 Candidates'!E18,"AAAAACb/duI=")</f>
        <v>1</v>
      </c>
      <c r="HT3" s="1">
        <f>IF('2016 Candidates'!19:19,"AAAAACb/duM=",0)</f>
        <v>0</v>
      </c>
      <c r="HU3" s="1" t="e">
        <f>AND('2016 Candidates'!A19,"AAAAACb/duQ=")</f>
        <v>#VALUE!</v>
      </c>
      <c r="HV3" s="1" t="e">
        <f>AND('2016 Candidates'!B19,"AAAAACb/duU=")</f>
        <v>#VALUE!</v>
      </c>
      <c r="HW3" s="1" t="e">
        <f>AND('2016 Candidates'!C19,"AAAAACb/duY=")</f>
        <v>#VALUE!</v>
      </c>
      <c r="HX3" s="1" t="b">
        <f>AND('2016 Candidates'!D19,"AAAAACb/duc=")</f>
        <v>1</v>
      </c>
      <c r="HY3" s="1" t="b">
        <f>AND('2016 Candidates'!E19,"AAAAACb/dug=")</f>
        <v>1</v>
      </c>
      <c r="HZ3" s="1">
        <f>IF('2016 Candidates'!20:20,"AAAAACb/duk=",0)</f>
        <v>0</v>
      </c>
      <c r="IA3" s="1" t="e">
        <f>AND('2016 Candidates'!A20,"AAAAACb/duo=")</f>
        <v>#VALUE!</v>
      </c>
      <c r="IB3" s="1" t="e">
        <f>AND('2016 Candidates'!B20,"AAAAACb/dus=")</f>
        <v>#VALUE!</v>
      </c>
      <c r="IC3" s="1" t="b">
        <f>AND('2016 Candidates'!C20,"AAAAACb/duw=")</f>
        <v>1</v>
      </c>
      <c r="ID3" s="1" t="b">
        <f>AND('2016 Candidates'!D20,"AAAAACb/du0=")</f>
        <v>1</v>
      </c>
      <c r="IE3" s="1" t="b">
        <f>AND('2016 Candidates'!E20,"AAAAACb/du4=")</f>
        <v>1</v>
      </c>
      <c r="IF3" s="1" t="e">
        <f>IF('2016 Candidates'!#REF!,"AAAAACb/du8=",0)</f>
        <v>#REF!</v>
      </c>
      <c r="IG3" s="1" t="e">
        <f>AND('2016 Candidates'!#REF!,"AAAAACb/dvA=")</f>
        <v>#REF!</v>
      </c>
      <c r="IH3" s="1" t="e">
        <f>AND('2016 Candidates'!#REF!,"AAAAACb/dvE=")</f>
        <v>#REF!</v>
      </c>
      <c r="II3" s="1" t="e">
        <f>AND('2016 Candidates'!#REF!,"AAAAACb/dvI=")</f>
        <v>#REF!</v>
      </c>
      <c r="IJ3" s="1" t="e">
        <f>AND('2016 Candidates'!#REF!,"AAAAACb/dvM=")</f>
        <v>#REF!</v>
      </c>
      <c r="IK3" s="1" t="e">
        <f>AND('2016 Candidates'!#REF!,"AAAAACb/dvQ=")</f>
        <v>#REF!</v>
      </c>
      <c r="IL3" s="1">
        <f>IF('2016 Candidates'!21:21,"AAAAACb/dvU=",0)</f>
        <v>0</v>
      </c>
      <c r="IM3" s="1" t="e">
        <f>AND('2016 Candidates'!A21,"AAAAACb/dvY=")</f>
        <v>#VALUE!</v>
      </c>
      <c r="IN3" s="1" t="e">
        <f>AND('2016 Candidates'!B21,"AAAAACb/dvc=")</f>
        <v>#VALUE!</v>
      </c>
      <c r="IO3" s="1" t="e">
        <f>AND('2016 Candidates'!C21,"AAAAACb/dvg=")</f>
        <v>#VALUE!</v>
      </c>
      <c r="IP3" s="1" t="b">
        <f>AND('2016 Candidates'!D21,"AAAAACb/dvk=")</f>
        <v>1</v>
      </c>
      <c r="IQ3" s="1" t="b">
        <f>AND('2016 Candidates'!E21,"AAAAACb/dvo=")</f>
        <v>1</v>
      </c>
      <c r="IR3" s="1">
        <f>IF('2016 Candidates'!22:22,"AAAAACb/dvs=",0)</f>
        <v>0</v>
      </c>
      <c r="IS3" s="1" t="e">
        <f>AND('2016 Candidates'!A22,"AAAAACb/dvw=")</f>
        <v>#VALUE!</v>
      </c>
      <c r="IT3" s="1" t="e">
        <f>AND('2016 Candidates'!B22,"AAAAACb/dv0=")</f>
        <v>#VALUE!</v>
      </c>
      <c r="IU3" s="1" t="e">
        <f>AND('2016 Candidates'!C22,"AAAAACb/dv4=")</f>
        <v>#VALUE!</v>
      </c>
      <c r="IV3" s="1" t="b">
        <f>AND('2016 Candidates'!D22,"AAAAACb/dv8=")</f>
        <v>1</v>
      </c>
    </row>
    <row r="4" spans="1:256" ht="12" customHeight="1" x14ac:dyDescent="0.2">
      <c r="A4" s="1" t="b">
        <f>AND('2016 Candidates'!E22,"AAAAADfe/wA=")</f>
        <v>1</v>
      </c>
      <c r="B4" s="1" t="e">
        <f>IF('2016 Candidates'!23:23,"AAAAADfe/wE=",0)</f>
        <v>#VALUE!</v>
      </c>
      <c r="C4" s="1" t="e">
        <f>AND('2016 Candidates'!A23,"AAAAADfe/wI=")</f>
        <v>#VALUE!</v>
      </c>
      <c r="D4" s="1" t="e">
        <f>AND('2016 Candidates'!B23,"AAAAADfe/wM=")</f>
        <v>#VALUE!</v>
      </c>
      <c r="E4" s="1" t="e">
        <f>AND('2016 Candidates'!C23,"AAAAADfe/wQ=")</f>
        <v>#VALUE!</v>
      </c>
      <c r="F4" s="1" t="b">
        <f>AND('2016 Candidates'!D23,"AAAAADfe/wU=")</f>
        <v>1</v>
      </c>
      <c r="G4" s="1" t="b">
        <f>AND('2016 Candidates'!E23,"AAAAADfe/wY=")</f>
        <v>1</v>
      </c>
      <c r="H4" s="1">
        <f>IF('2016 Candidates'!24:24,"AAAAADfe/wc=",0)</f>
        <v>0</v>
      </c>
      <c r="I4" s="1" t="e">
        <f>AND('2016 Candidates'!A24,"AAAAADfe/wg=")</f>
        <v>#VALUE!</v>
      </c>
      <c r="J4" s="1" t="e">
        <f>AND('2016 Candidates'!B24,"AAAAADfe/wk=")</f>
        <v>#VALUE!</v>
      </c>
      <c r="K4" s="1" t="e">
        <f>AND('2016 Candidates'!C24,"AAAAADfe/wo=")</f>
        <v>#VALUE!</v>
      </c>
      <c r="L4" s="1" t="b">
        <f>AND('2016 Candidates'!D24,"AAAAADfe/ws=")</f>
        <v>1</v>
      </c>
      <c r="M4" s="1" t="b">
        <f>AND('2016 Candidates'!E24,"AAAAADfe/ww=")</f>
        <v>1</v>
      </c>
      <c r="N4" s="1">
        <f>IF('2016 Candidates'!25:25,"AAAAADfe/w0=",0)</f>
        <v>0</v>
      </c>
      <c r="O4" s="1" t="e">
        <f>AND('2016 Candidates'!A25,"AAAAADfe/w4=")</f>
        <v>#VALUE!</v>
      </c>
      <c r="P4" s="1" t="e">
        <f>AND('2016 Candidates'!B25,"AAAAADfe/w8=")</f>
        <v>#VALUE!</v>
      </c>
      <c r="Q4" s="1" t="b">
        <f>AND('2016 Candidates'!C25,"AAAAADfe/xA=")</f>
        <v>1</v>
      </c>
      <c r="R4" s="1" t="b">
        <f>AND('2016 Candidates'!D25,"AAAAADfe/xE=")</f>
        <v>1</v>
      </c>
      <c r="S4" s="1" t="b">
        <f>AND('2016 Candidates'!E25,"AAAAADfe/xI=")</f>
        <v>1</v>
      </c>
      <c r="T4" s="1">
        <f>IF('2016 Candidates'!26:26,"AAAAADfe/xM=",0)</f>
        <v>0</v>
      </c>
      <c r="U4" s="1" t="e">
        <f>AND('2016 Candidates'!A26,"AAAAADfe/xQ=")</f>
        <v>#VALUE!</v>
      </c>
      <c r="V4" s="1" t="e">
        <f>AND('2016 Candidates'!B26,"AAAAADfe/xU=")</f>
        <v>#VALUE!</v>
      </c>
      <c r="W4" s="1" t="e">
        <f>AND('2016 Candidates'!C26,"AAAAADfe/xY=")</f>
        <v>#VALUE!</v>
      </c>
      <c r="X4" s="1" t="b">
        <f>AND('2016 Candidates'!D26,"AAAAADfe/xc=")</f>
        <v>1</v>
      </c>
      <c r="Y4" s="1" t="b">
        <f>AND('2016 Candidates'!E26,"AAAAADfe/xg=")</f>
        <v>1</v>
      </c>
      <c r="Z4" s="1">
        <f>IF('2016 Candidates'!27:27,"AAAAADfe/xk=",0)</f>
        <v>0</v>
      </c>
      <c r="AA4" s="1" t="e">
        <f>AND('2016 Candidates'!A27,"AAAAADfe/xo=")</f>
        <v>#VALUE!</v>
      </c>
      <c r="AB4" s="1" t="e">
        <f>AND('2016 Candidates'!B27,"AAAAADfe/xs=")</f>
        <v>#VALUE!</v>
      </c>
      <c r="AC4" s="1" t="e">
        <f>AND('2016 Candidates'!C27,"AAAAADfe/xw=")</f>
        <v>#VALUE!</v>
      </c>
      <c r="AD4" s="1" t="b">
        <f>AND('2016 Candidates'!D27,"AAAAADfe/x0=")</f>
        <v>1</v>
      </c>
      <c r="AE4" s="1" t="b">
        <f>AND('2016 Candidates'!E27,"AAAAADfe/x4=")</f>
        <v>1</v>
      </c>
      <c r="AF4" s="1">
        <f>IF('2016 Candidates'!28:28,"AAAAADfe/x8=",0)</f>
        <v>0</v>
      </c>
      <c r="AG4" s="1" t="e">
        <f>AND('2016 Candidates'!A28,"AAAAADfe/yA=")</f>
        <v>#VALUE!</v>
      </c>
      <c r="AH4" s="1" t="e">
        <f>AND('2016 Candidates'!B28,"AAAAADfe/yE=")</f>
        <v>#VALUE!</v>
      </c>
      <c r="AI4" s="1" t="e">
        <f>AND('2016 Candidates'!C28,"AAAAADfe/yI=")</f>
        <v>#VALUE!</v>
      </c>
      <c r="AJ4" s="1" t="b">
        <f>AND('2016 Candidates'!D28,"AAAAADfe/yM=")</f>
        <v>1</v>
      </c>
      <c r="AK4" s="1" t="b">
        <f>AND('2016 Candidates'!E28,"AAAAADfe/yQ=")</f>
        <v>1</v>
      </c>
      <c r="AL4" s="1">
        <f>IF('2016 Candidates'!29:29,"AAAAADfe/yU=",0)</f>
        <v>0</v>
      </c>
      <c r="AM4" s="1" t="e">
        <f>AND('2016 Candidates'!A29,"AAAAADfe/yY=")</f>
        <v>#VALUE!</v>
      </c>
      <c r="AN4" s="1" t="e">
        <f>AND('2016 Candidates'!B29,"AAAAADfe/yc=")</f>
        <v>#VALUE!</v>
      </c>
      <c r="AO4" s="1" t="b">
        <f>AND('2016 Candidates'!C29,"AAAAADfe/yg=")</f>
        <v>1</v>
      </c>
      <c r="AP4" s="1" t="b">
        <f>AND('2016 Candidates'!D29,"AAAAADfe/yk=")</f>
        <v>1</v>
      </c>
      <c r="AQ4" s="1" t="b">
        <f>AND('2016 Candidates'!E29,"AAAAADfe/yo=")</f>
        <v>1</v>
      </c>
      <c r="AR4" s="1" t="e">
        <f>IF('2016 Candidates'!#REF!,"AAAAADfe/ys=",0)</f>
        <v>#REF!</v>
      </c>
      <c r="AS4" s="1" t="e">
        <f>AND('2016 Candidates'!#REF!,"AAAAADfe/yw=")</f>
        <v>#REF!</v>
      </c>
      <c r="AT4" s="1" t="e">
        <f>AND('2016 Candidates'!#REF!,"AAAAADfe/y0=")</f>
        <v>#REF!</v>
      </c>
      <c r="AU4" s="1" t="e">
        <f>AND('2016 Candidates'!#REF!,"AAAAADfe/y4=")</f>
        <v>#REF!</v>
      </c>
      <c r="AV4" s="1" t="e">
        <f>AND('2016 Candidates'!#REF!,"AAAAADfe/y8=")</f>
        <v>#REF!</v>
      </c>
      <c r="AW4" s="1" t="e">
        <f>AND('2016 Candidates'!#REF!,"AAAAADfe/zA=")</f>
        <v>#REF!</v>
      </c>
      <c r="AX4" s="1" t="e">
        <f>IF('2016 Candidates'!#REF!,"AAAAADfe/zE=",0)</f>
        <v>#REF!</v>
      </c>
      <c r="AY4" s="1" t="e">
        <f>AND('2016 Candidates'!#REF!,"AAAAADfe/zI=")</f>
        <v>#REF!</v>
      </c>
      <c r="AZ4" s="1" t="e">
        <f>AND('2016 Candidates'!#REF!,"AAAAADfe/zM=")</f>
        <v>#REF!</v>
      </c>
      <c r="BA4" s="1" t="e">
        <f>AND('2016 Candidates'!#REF!,"AAAAADfe/zQ=")</f>
        <v>#REF!</v>
      </c>
      <c r="BB4" s="1" t="e">
        <f>AND('2016 Candidates'!#REF!,"AAAAADfe/zU=")</f>
        <v>#REF!</v>
      </c>
      <c r="BC4" s="1" t="e">
        <f>AND('2016 Candidates'!#REF!,"AAAAADfe/zY=")</f>
        <v>#REF!</v>
      </c>
      <c r="BD4" s="1">
        <f>IF('2016 Candidates'!30:30,"AAAAADfe/zc=",0)</f>
        <v>0</v>
      </c>
      <c r="BE4" s="1" t="e">
        <f>AND('2016 Candidates'!A30,"AAAAADfe/zg=")</f>
        <v>#VALUE!</v>
      </c>
      <c r="BF4" s="1" t="e">
        <f>AND('2016 Candidates'!B30,"AAAAADfe/zk=")</f>
        <v>#VALUE!</v>
      </c>
      <c r="BG4" s="1" t="e">
        <f>AND('2016 Candidates'!C30,"AAAAADfe/zo=")</f>
        <v>#VALUE!</v>
      </c>
      <c r="BH4" s="1" t="b">
        <f>AND('2016 Candidates'!D30,"AAAAADfe/zs=")</f>
        <v>1</v>
      </c>
      <c r="BI4" s="1" t="b">
        <f>AND('2016 Candidates'!E30,"AAAAADfe/zw=")</f>
        <v>1</v>
      </c>
      <c r="BJ4" s="1">
        <f>IF('2016 Candidates'!31:31,"AAAAADfe/z0=",0)</f>
        <v>0</v>
      </c>
      <c r="BK4" s="1" t="e">
        <f>AND('2016 Candidates'!A31,"AAAAADfe/z4=")</f>
        <v>#VALUE!</v>
      </c>
      <c r="BL4" s="1" t="e">
        <f>AND('2016 Candidates'!B31,"AAAAADfe/z8=")</f>
        <v>#VALUE!</v>
      </c>
      <c r="BM4" s="1" t="e">
        <f>AND('2016 Candidates'!C31,"AAAAADfe/0A=")</f>
        <v>#VALUE!</v>
      </c>
      <c r="BN4" s="1" t="b">
        <f>AND('2016 Candidates'!D31,"AAAAADfe/0E=")</f>
        <v>1</v>
      </c>
      <c r="BO4" s="1" t="b">
        <f>AND('2016 Candidates'!E31,"AAAAADfe/0I=")</f>
        <v>1</v>
      </c>
      <c r="BP4" s="1" t="e">
        <f>IF('2016 Candidates'!#REF!,"AAAAADfe/0M=",0)</f>
        <v>#REF!</v>
      </c>
      <c r="BQ4" s="1" t="e">
        <f>AND('2016 Candidates'!#REF!,"AAAAADfe/0Q=")</f>
        <v>#REF!</v>
      </c>
      <c r="BR4" s="1" t="e">
        <f>AND('2016 Candidates'!#REF!,"AAAAADfe/0U=")</f>
        <v>#REF!</v>
      </c>
      <c r="BS4" s="1" t="e">
        <f>AND('2016 Candidates'!#REF!,"AAAAADfe/0Y=")</f>
        <v>#REF!</v>
      </c>
      <c r="BT4" s="1" t="e">
        <f>AND('2016 Candidates'!#REF!,"AAAAADfe/0c=")</f>
        <v>#REF!</v>
      </c>
      <c r="BU4" s="1" t="e">
        <f>AND('2016 Candidates'!#REF!,"AAAAADfe/0g=")</f>
        <v>#REF!</v>
      </c>
      <c r="BV4" s="1">
        <f>IF('2016 Candidates'!32:32,"AAAAADfe/0k=",0)</f>
        <v>0</v>
      </c>
      <c r="BW4" s="1" t="e">
        <f>AND('2016 Candidates'!A32,"AAAAADfe/0o=")</f>
        <v>#VALUE!</v>
      </c>
      <c r="BX4" s="1" t="e">
        <f>AND('2016 Candidates'!B32,"AAAAADfe/0s=")</f>
        <v>#VALUE!</v>
      </c>
      <c r="BY4" s="1" t="e">
        <f>AND('2016 Candidates'!C32,"AAAAADfe/0w=")</f>
        <v>#VALUE!</v>
      </c>
      <c r="BZ4" s="1" t="b">
        <f>AND('2016 Candidates'!D32,"AAAAADfe/00=")</f>
        <v>1</v>
      </c>
      <c r="CA4" s="1" t="b">
        <f>AND('2016 Candidates'!E32,"AAAAADfe/04=")</f>
        <v>1</v>
      </c>
      <c r="CB4" s="1">
        <f>IF('2016 Candidates'!33:33,"AAAAADfe/08=",0)</f>
        <v>0</v>
      </c>
      <c r="CC4" s="1" t="e">
        <f>AND('2016 Candidates'!A33,"AAAAADfe/1A=")</f>
        <v>#VALUE!</v>
      </c>
      <c r="CD4" s="1" t="e">
        <f>AND('2016 Candidates'!B33,"AAAAADfe/1E=")</f>
        <v>#VALUE!</v>
      </c>
      <c r="CE4" s="1" t="b">
        <f>AND('2016 Candidates'!C33,"AAAAADfe/1I=")</f>
        <v>1</v>
      </c>
      <c r="CF4" s="1" t="b">
        <f>AND('2016 Candidates'!D33,"AAAAADfe/1M=")</f>
        <v>1</v>
      </c>
      <c r="CG4" s="1" t="b">
        <f>AND('2016 Candidates'!E33,"AAAAADfe/1Q=")</f>
        <v>1</v>
      </c>
      <c r="CH4" s="1">
        <f>IF('2016 Candidates'!34:34,"AAAAADfe/1U=",0)</f>
        <v>0</v>
      </c>
      <c r="CI4" s="1" t="e">
        <f>AND('2016 Candidates'!A34,"AAAAADfe/1Y=")</f>
        <v>#VALUE!</v>
      </c>
      <c r="CJ4" s="1" t="e">
        <f>AND('2016 Candidates'!B34,"AAAAADfe/1c=")</f>
        <v>#VALUE!</v>
      </c>
      <c r="CK4" s="1" t="e">
        <f>AND('2016 Candidates'!C34,"AAAAADfe/1g=")</f>
        <v>#VALUE!</v>
      </c>
      <c r="CL4" s="1" t="b">
        <f>AND('2016 Candidates'!D34,"AAAAADfe/1k=")</f>
        <v>1</v>
      </c>
      <c r="CM4" s="1" t="b">
        <f>AND('2016 Candidates'!E34,"AAAAADfe/1o=")</f>
        <v>1</v>
      </c>
      <c r="CN4" s="1" t="e">
        <f>IF('2016 Candidates'!#REF!,"AAAAADfe/1s=",0)</f>
        <v>#REF!</v>
      </c>
      <c r="CO4" s="1" t="e">
        <f>AND('2016 Candidates'!#REF!,"AAAAADfe/1w=")</f>
        <v>#REF!</v>
      </c>
      <c r="CP4" s="1" t="e">
        <f>AND('2016 Candidates'!#REF!,"AAAAADfe/10=")</f>
        <v>#REF!</v>
      </c>
      <c r="CQ4" s="1" t="e">
        <f>AND('2016 Candidates'!#REF!,"AAAAADfe/14=")</f>
        <v>#REF!</v>
      </c>
      <c r="CR4" s="1" t="e">
        <f>AND('2016 Candidates'!#REF!,"AAAAADfe/18=")</f>
        <v>#REF!</v>
      </c>
      <c r="CS4" s="1" t="e">
        <f>AND('2016 Candidates'!#REF!,"AAAAADfe/2A=")</f>
        <v>#REF!</v>
      </c>
      <c r="CT4" s="1">
        <f>IF('2016 Candidates'!35:35,"AAAAADfe/2E=",0)</f>
        <v>0</v>
      </c>
      <c r="CU4" s="1" t="e">
        <f>AND('2016 Candidates'!A35,"AAAAADfe/2I=")</f>
        <v>#VALUE!</v>
      </c>
      <c r="CV4" s="1" t="e">
        <f>AND('2016 Candidates'!B35,"AAAAADfe/2M=")</f>
        <v>#VALUE!</v>
      </c>
      <c r="CW4" s="1" t="e">
        <f>AND('2016 Candidates'!C35,"AAAAADfe/2Q=")</f>
        <v>#VALUE!</v>
      </c>
      <c r="CX4" s="1" t="b">
        <f>AND('2016 Candidates'!D35,"AAAAADfe/2U=")</f>
        <v>1</v>
      </c>
      <c r="CY4" s="1" t="b">
        <f>AND('2016 Candidates'!E35,"AAAAADfe/2Y=")</f>
        <v>1</v>
      </c>
      <c r="CZ4" s="1">
        <f>IF('2016 Candidates'!36:36,"AAAAADfe/2c=",0)</f>
        <v>0</v>
      </c>
      <c r="DA4" s="1" t="e">
        <f>AND('2016 Candidates'!A36,"AAAAADfe/2g=")</f>
        <v>#VALUE!</v>
      </c>
      <c r="DB4" s="1" t="e">
        <f>AND('2016 Candidates'!B36,"AAAAADfe/2k=")</f>
        <v>#VALUE!</v>
      </c>
      <c r="DC4" s="1" t="e">
        <f>AND('2016 Candidates'!C36,"AAAAADfe/2o=")</f>
        <v>#VALUE!</v>
      </c>
      <c r="DD4" s="1" t="b">
        <f>AND('2016 Candidates'!D36,"AAAAADfe/2s=")</f>
        <v>1</v>
      </c>
      <c r="DE4" s="1" t="b">
        <f>AND('2016 Candidates'!E36,"AAAAADfe/2w=")</f>
        <v>1</v>
      </c>
      <c r="DF4" s="1">
        <f>IF('2016 Candidates'!37:37,"AAAAADfe/20=",0)</f>
        <v>0</v>
      </c>
      <c r="DG4" s="1" t="e">
        <f>AND('2016 Candidates'!A37,"AAAAADfe/24=")</f>
        <v>#VALUE!</v>
      </c>
      <c r="DH4" s="1" t="e">
        <f>AND('2016 Candidates'!B37,"AAAAADfe/28=")</f>
        <v>#VALUE!</v>
      </c>
      <c r="DI4" s="1" t="e">
        <f>AND('2016 Candidates'!C37,"AAAAADfe/3A=")</f>
        <v>#VALUE!</v>
      </c>
      <c r="DJ4" s="1" t="b">
        <f>AND('2016 Candidates'!D37,"AAAAADfe/3E=")</f>
        <v>1</v>
      </c>
      <c r="DK4" s="1" t="b">
        <f>AND('2016 Candidates'!E37,"AAAAADfe/3I=")</f>
        <v>1</v>
      </c>
      <c r="DL4" s="1">
        <f>IF('2016 Candidates'!38:38,"AAAAADfe/3M=",0)</f>
        <v>0</v>
      </c>
      <c r="DM4" s="1" t="e">
        <f>AND('2016 Candidates'!A38,"AAAAADfe/3Q=")</f>
        <v>#VALUE!</v>
      </c>
      <c r="DN4" s="1" t="e">
        <f>AND('2016 Candidates'!B38,"AAAAADfe/3U=")</f>
        <v>#VALUE!</v>
      </c>
      <c r="DO4" s="1" t="b">
        <f>AND('2016 Candidates'!C38,"AAAAADfe/3Y=")</f>
        <v>1</v>
      </c>
      <c r="DP4" s="1" t="b">
        <f>AND('2016 Candidates'!D38,"AAAAADfe/3c=")</f>
        <v>1</v>
      </c>
      <c r="DQ4" s="1" t="b">
        <f>AND('2016 Candidates'!E38,"AAAAADfe/3g=")</f>
        <v>1</v>
      </c>
      <c r="DR4" s="1">
        <f>IF('2016 Candidates'!39:39,"AAAAADfe/3k=",0)</f>
        <v>0</v>
      </c>
      <c r="DS4" s="1" t="e">
        <f>AND('2016 Candidates'!A39,"AAAAADfe/3o=")</f>
        <v>#VALUE!</v>
      </c>
      <c r="DT4" s="1" t="e">
        <f>AND('2016 Candidates'!B39,"AAAAADfe/3s=")</f>
        <v>#VALUE!</v>
      </c>
      <c r="DU4" s="1" t="e">
        <f>AND('2016 Candidates'!C39,"AAAAADfe/3w=")</f>
        <v>#VALUE!</v>
      </c>
      <c r="DV4" s="1" t="b">
        <f>AND('2016 Candidates'!D39,"AAAAADfe/30=")</f>
        <v>1</v>
      </c>
      <c r="DW4" s="1" t="b">
        <f>AND('2016 Candidates'!E39,"AAAAADfe/34=")</f>
        <v>1</v>
      </c>
      <c r="DX4" s="1">
        <f>IF('2016 Candidates'!40:40,"AAAAADfe/38=",0)</f>
        <v>0</v>
      </c>
      <c r="DY4" s="1" t="e">
        <f>AND('2016 Candidates'!A40,"AAAAADfe/4A=")</f>
        <v>#VALUE!</v>
      </c>
      <c r="DZ4" s="1" t="e">
        <f>AND('2016 Candidates'!B40,"AAAAADfe/4E=")</f>
        <v>#VALUE!</v>
      </c>
      <c r="EA4" s="1" t="e">
        <f>AND('2016 Candidates'!C40,"AAAAADfe/4I=")</f>
        <v>#VALUE!</v>
      </c>
      <c r="EB4" s="1" t="b">
        <f>AND('2016 Candidates'!D40,"AAAAADfe/4M=")</f>
        <v>1</v>
      </c>
      <c r="EC4" s="1" t="b">
        <f>AND('2016 Candidates'!E40,"AAAAADfe/4Q=")</f>
        <v>1</v>
      </c>
      <c r="ED4" s="1">
        <f>IF('2016 Candidates'!41:41,"AAAAADfe/4U=",0)</f>
        <v>0</v>
      </c>
      <c r="EE4" s="1" t="e">
        <f>AND('2016 Candidates'!A41,"AAAAADfe/4Y=")</f>
        <v>#VALUE!</v>
      </c>
      <c r="EF4" s="1" t="e">
        <f>AND('2016 Candidates'!B41,"AAAAADfe/4c=")</f>
        <v>#VALUE!</v>
      </c>
      <c r="EG4" s="1" t="e">
        <f>AND('2016 Candidates'!C41,"AAAAADfe/4g=")</f>
        <v>#VALUE!</v>
      </c>
      <c r="EH4" s="1" t="b">
        <f>AND('2016 Candidates'!D41,"AAAAADfe/4k=")</f>
        <v>1</v>
      </c>
      <c r="EI4" s="1" t="b">
        <f>AND('2016 Candidates'!E41,"AAAAADfe/4o=")</f>
        <v>1</v>
      </c>
      <c r="EJ4" s="1">
        <f>IF('2016 Candidates'!42:42,"AAAAADfe/4s=",0)</f>
        <v>0</v>
      </c>
      <c r="EK4" s="1" t="e">
        <f>AND('2016 Candidates'!A42,"AAAAADfe/4w=")</f>
        <v>#VALUE!</v>
      </c>
      <c r="EL4" s="1" t="e">
        <f>AND('2016 Candidates'!B42,"AAAAADfe/40=")</f>
        <v>#VALUE!</v>
      </c>
      <c r="EM4" s="1" t="b">
        <f>AND('2016 Candidates'!C42,"AAAAADfe/44=")</f>
        <v>1</v>
      </c>
      <c r="EN4" s="1" t="b">
        <f>AND('2016 Candidates'!D42,"AAAAADfe/48=")</f>
        <v>1</v>
      </c>
      <c r="EO4" s="1" t="b">
        <f>AND('2016 Candidates'!E42,"AAAAADfe/5A=")</f>
        <v>1</v>
      </c>
      <c r="EP4" s="1">
        <f>IF('2016 Candidates'!43:43,"AAAAADfe/5E=",0)</f>
        <v>0</v>
      </c>
      <c r="EQ4" s="1" t="e">
        <f>AND('2016 Candidates'!A43,"AAAAADfe/5I=")</f>
        <v>#VALUE!</v>
      </c>
      <c r="ER4" s="1" t="e">
        <f>AND('2016 Candidates'!B43,"AAAAADfe/5M=")</f>
        <v>#VALUE!</v>
      </c>
      <c r="ES4" s="1" t="e">
        <f>AND('2016 Candidates'!C43,"AAAAADfe/5Q=")</f>
        <v>#VALUE!</v>
      </c>
      <c r="ET4" s="1" t="b">
        <f>AND('2016 Candidates'!D43,"AAAAADfe/5U=")</f>
        <v>1</v>
      </c>
      <c r="EU4" s="1" t="b">
        <f>AND('2016 Candidates'!E43,"AAAAADfe/5Y=")</f>
        <v>1</v>
      </c>
      <c r="EV4" s="1">
        <f>IF('2016 Candidates'!44:44,"AAAAADfe/5c=",0)</f>
        <v>0</v>
      </c>
      <c r="EW4" s="1" t="e">
        <f>AND('2016 Candidates'!A44,"AAAAADfe/5g=")</f>
        <v>#VALUE!</v>
      </c>
      <c r="EX4" s="1" t="e">
        <f>AND('2016 Candidates'!B44,"AAAAADfe/5k=")</f>
        <v>#VALUE!</v>
      </c>
      <c r="EY4" s="1" t="e">
        <f>AND('2016 Candidates'!C44,"AAAAADfe/5o=")</f>
        <v>#VALUE!</v>
      </c>
      <c r="EZ4" s="1" t="b">
        <f>AND('2016 Candidates'!D44,"AAAAADfe/5s=")</f>
        <v>1</v>
      </c>
      <c r="FA4" s="1" t="b">
        <f>AND('2016 Candidates'!E44,"AAAAADfe/5w=")</f>
        <v>1</v>
      </c>
      <c r="FB4" s="1">
        <f>IF('2016 Candidates'!45:45,"AAAAADfe/50=",0)</f>
        <v>0</v>
      </c>
      <c r="FC4" s="1" t="e">
        <f>AND('2016 Candidates'!A45,"AAAAADfe/54=")</f>
        <v>#VALUE!</v>
      </c>
      <c r="FD4" s="1" t="e">
        <f>AND('2016 Candidates'!B45,"AAAAADfe/58=")</f>
        <v>#VALUE!</v>
      </c>
      <c r="FE4" s="1" t="e">
        <f>AND('2016 Candidates'!C45,"AAAAADfe/6A=")</f>
        <v>#VALUE!</v>
      </c>
      <c r="FF4" s="1" t="b">
        <f>AND('2016 Candidates'!D45,"AAAAADfe/6E=")</f>
        <v>1</v>
      </c>
      <c r="FG4" s="1" t="b">
        <f>AND('2016 Candidates'!E45,"AAAAADfe/6I=")</f>
        <v>1</v>
      </c>
      <c r="FH4" s="1">
        <f>IF('2016 Candidates'!46:46,"AAAAADfe/6M=",0)</f>
        <v>0</v>
      </c>
      <c r="FI4" s="1" t="e">
        <f>AND('2016 Candidates'!A46,"AAAAADfe/6Q=")</f>
        <v>#VALUE!</v>
      </c>
      <c r="FJ4" s="1" t="e">
        <f>AND('2016 Candidates'!B46,"AAAAADfe/6U=")</f>
        <v>#VALUE!</v>
      </c>
      <c r="FK4" s="1" t="b">
        <f>AND('2016 Candidates'!C46,"AAAAADfe/6Y=")</f>
        <v>1</v>
      </c>
      <c r="FL4" s="1" t="b">
        <f>AND('2016 Candidates'!D46,"AAAAADfe/6c=")</f>
        <v>1</v>
      </c>
      <c r="FM4" s="1" t="b">
        <f>AND('2016 Candidates'!E46,"AAAAADfe/6g=")</f>
        <v>1</v>
      </c>
      <c r="FN4" s="1">
        <f>IF('2016 Candidates'!47:47,"AAAAADfe/6k=",0)</f>
        <v>0</v>
      </c>
      <c r="FO4" s="1" t="e">
        <f>AND('2016 Candidates'!A47,"AAAAADfe/6o=")</f>
        <v>#VALUE!</v>
      </c>
      <c r="FP4" s="1" t="e">
        <f>AND('2016 Candidates'!B47,"AAAAADfe/6s=")</f>
        <v>#VALUE!</v>
      </c>
      <c r="FQ4" s="1" t="e">
        <f>AND('2016 Candidates'!C47,"AAAAADfe/6w=")</f>
        <v>#VALUE!</v>
      </c>
      <c r="FR4" s="1" t="b">
        <f>AND('2016 Candidates'!D47,"AAAAADfe/60=")</f>
        <v>1</v>
      </c>
      <c r="FS4" s="1" t="b">
        <f>AND('2016 Candidates'!E47,"AAAAADfe/64=")</f>
        <v>1</v>
      </c>
      <c r="FT4" s="1">
        <f>IF('2016 Candidates'!48:48,"AAAAADfe/68=",0)</f>
        <v>0</v>
      </c>
      <c r="FU4" s="1" t="e">
        <f>AND('2016 Candidates'!A48,"AAAAADfe/7A=")</f>
        <v>#VALUE!</v>
      </c>
      <c r="FV4" s="1" t="e">
        <f>AND('2016 Candidates'!B48,"AAAAADfe/7E=")</f>
        <v>#VALUE!</v>
      </c>
      <c r="FW4" s="1" t="e">
        <f>AND('2016 Candidates'!C48,"AAAAADfe/7I=")</f>
        <v>#VALUE!</v>
      </c>
      <c r="FX4" s="1" t="b">
        <f>AND('2016 Candidates'!D48,"AAAAADfe/7M=")</f>
        <v>1</v>
      </c>
      <c r="FY4" s="1" t="b">
        <f>AND('2016 Candidates'!E48,"AAAAADfe/7Q=")</f>
        <v>1</v>
      </c>
      <c r="FZ4" s="1" t="e">
        <f>IF('2016 Candidates'!#REF!,"AAAAADfe/7U=",0)</f>
        <v>#REF!</v>
      </c>
      <c r="GA4" s="1" t="e">
        <f>AND('2016 Candidates'!#REF!,"AAAAADfe/7Y=")</f>
        <v>#REF!</v>
      </c>
      <c r="GB4" s="1" t="e">
        <f>AND('2016 Candidates'!#REF!,"AAAAADfe/7c=")</f>
        <v>#REF!</v>
      </c>
      <c r="GC4" s="1" t="e">
        <f>AND('2016 Candidates'!#REF!,"AAAAADfe/7g=")</f>
        <v>#REF!</v>
      </c>
      <c r="GD4" s="1" t="e">
        <f>AND('2016 Candidates'!#REF!,"AAAAADfe/7k=")</f>
        <v>#REF!</v>
      </c>
      <c r="GE4" s="1" t="e">
        <f>AND('2016 Candidates'!#REF!,"AAAAADfe/7o=")</f>
        <v>#REF!</v>
      </c>
      <c r="GF4" s="1">
        <f>IF('2016 Candidates'!49:49,"AAAAADfe/7s=",0)</f>
        <v>0</v>
      </c>
      <c r="GG4" s="1" t="e">
        <f>AND('2016 Candidates'!A49,"AAAAADfe/7w=")</f>
        <v>#VALUE!</v>
      </c>
      <c r="GH4" s="1" t="e">
        <f>AND('2016 Candidates'!B49,"AAAAADfe/70=")</f>
        <v>#VALUE!</v>
      </c>
      <c r="GI4" s="1" t="e">
        <f>AND('2016 Candidates'!C49,"AAAAADfe/74=")</f>
        <v>#VALUE!</v>
      </c>
      <c r="GJ4" s="1" t="b">
        <f>AND('2016 Candidates'!D49,"AAAAADfe/78=")</f>
        <v>1</v>
      </c>
      <c r="GK4" s="1" t="b">
        <f>AND('2016 Candidates'!E49,"AAAAADfe/8A=")</f>
        <v>1</v>
      </c>
      <c r="GL4" s="1">
        <f>IF('2016 Candidates'!50:50,"AAAAADfe/8E=",0)</f>
        <v>0</v>
      </c>
      <c r="GM4" s="1" t="e">
        <f>AND('2016 Candidates'!A50,"AAAAADfe/8I=")</f>
        <v>#VALUE!</v>
      </c>
      <c r="GN4" s="1" t="e">
        <f>AND('2016 Candidates'!B50,"AAAAADfe/8M=")</f>
        <v>#VALUE!</v>
      </c>
      <c r="GO4" s="1" t="b">
        <f>AND('2016 Candidates'!C50,"AAAAADfe/8Q=")</f>
        <v>1</v>
      </c>
      <c r="GP4" s="1" t="b">
        <f>AND('2016 Candidates'!D50,"AAAAADfe/8U=")</f>
        <v>1</v>
      </c>
      <c r="GQ4" s="1" t="b">
        <f>AND('2016 Candidates'!E50,"AAAAADfe/8Y=")</f>
        <v>1</v>
      </c>
      <c r="GR4" s="1">
        <f>IF('2016 Candidates'!51:51,"AAAAADfe/8c=",0)</f>
        <v>0</v>
      </c>
      <c r="GS4" s="1" t="e">
        <f>AND('2016 Candidates'!A51,"AAAAADfe/8g=")</f>
        <v>#VALUE!</v>
      </c>
      <c r="GT4" s="1" t="e">
        <f>AND('2016 Candidates'!B51,"AAAAADfe/8k=")</f>
        <v>#VALUE!</v>
      </c>
      <c r="GU4" s="1" t="e">
        <f>AND('2016 Candidates'!C51,"AAAAADfe/8o=")</f>
        <v>#VALUE!</v>
      </c>
      <c r="GV4" s="1" t="b">
        <f>AND('2016 Candidates'!D51,"AAAAADfe/8s=")</f>
        <v>1</v>
      </c>
      <c r="GW4" s="1" t="b">
        <f>AND('2016 Candidates'!E51,"AAAAADfe/8w=")</f>
        <v>1</v>
      </c>
      <c r="GX4" s="1">
        <f>IF('2016 Candidates'!52:52,"AAAAADfe/80=",0)</f>
        <v>0</v>
      </c>
      <c r="GY4" s="1" t="e">
        <f>AND('2016 Candidates'!A52,"AAAAADfe/84=")</f>
        <v>#VALUE!</v>
      </c>
      <c r="GZ4" s="1" t="e">
        <f>AND('2016 Candidates'!B52,"AAAAADfe/88=")</f>
        <v>#VALUE!</v>
      </c>
      <c r="HA4" s="1" t="e">
        <f>AND('2016 Candidates'!C52,"AAAAADfe/9A=")</f>
        <v>#VALUE!</v>
      </c>
      <c r="HB4" s="1" t="b">
        <f>AND('2016 Candidates'!D52,"AAAAADfe/9E=")</f>
        <v>1</v>
      </c>
      <c r="HC4" s="1" t="b">
        <f>AND('2016 Candidates'!E52,"AAAAADfe/9I=")</f>
        <v>1</v>
      </c>
      <c r="HD4" s="1">
        <f>IF('2016 Candidates'!53:53,"AAAAADfe/9M=",0)</f>
        <v>0</v>
      </c>
      <c r="HE4" s="1" t="e">
        <f>AND('2016 Candidates'!A53,"AAAAADfe/9Q=")</f>
        <v>#VALUE!</v>
      </c>
      <c r="HF4" s="1" t="e">
        <f>AND('2016 Candidates'!B53,"AAAAADfe/9U=")</f>
        <v>#VALUE!</v>
      </c>
      <c r="HG4" s="1" t="e">
        <f>AND('2016 Candidates'!C53,"AAAAADfe/9Y=")</f>
        <v>#VALUE!</v>
      </c>
      <c r="HH4" s="1" t="b">
        <f>AND('2016 Candidates'!D53,"AAAAADfe/9c=")</f>
        <v>1</v>
      </c>
      <c r="HI4" s="1" t="b">
        <f>AND('2016 Candidates'!E53,"AAAAADfe/9g=")</f>
        <v>1</v>
      </c>
      <c r="HJ4" s="1">
        <f>IF('2016 Candidates'!54:54,"AAAAADfe/9k=",0)</f>
        <v>0</v>
      </c>
      <c r="HK4" s="1" t="e">
        <f>AND('2016 Candidates'!A54,"AAAAADfe/9o=")</f>
        <v>#VALUE!</v>
      </c>
      <c r="HL4" s="1" t="e">
        <f>AND('2016 Candidates'!B54,"AAAAADfe/9s=")</f>
        <v>#VALUE!</v>
      </c>
      <c r="HM4" s="1" t="b">
        <f>AND('2016 Candidates'!C54,"AAAAADfe/9w=")</f>
        <v>1</v>
      </c>
      <c r="HN4" s="1" t="b">
        <f>AND('2016 Candidates'!D54,"AAAAADfe/90=")</f>
        <v>1</v>
      </c>
      <c r="HO4" s="1" t="b">
        <f>AND('2016 Candidates'!E54,"AAAAADfe/94=")</f>
        <v>1</v>
      </c>
      <c r="HP4" s="1">
        <f>IF('2016 Candidates'!55:55,"AAAAADfe/98=",0)</f>
        <v>0</v>
      </c>
      <c r="HQ4" s="1" t="e">
        <f>AND('2016 Candidates'!A55,"AAAAADfe/+A=")</f>
        <v>#VALUE!</v>
      </c>
      <c r="HR4" s="1" t="e">
        <f>AND('2016 Candidates'!B55,"AAAAADfe/+E=")</f>
        <v>#VALUE!</v>
      </c>
      <c r="HS4" s="1" t="e">
        <f>AND('2016 Candidates'!C55,"AAAAADfe/+I=")</f>
        <v>#VALUE!</v>
      </c>
      <c r="HT4" s="1" t="b">
        <f>AND('2016 Candidates'!D55,"AAAAADfe/+M=")</f>
        <v>1</v>
      </c>
      <c r="HU4" s="1" t="b">
        <f>AND('2016 Candidates'!E55,"AAAAADfe/+Q=")</f>
        <v>1</v>
      </c>
      <c r="HV4" s="1">
        <f>IF('2016 Candidates'!56:56,"AAAAADfe/+U=",0)</f>
        <v>0</v>
      </c>
      <c r="HW4" s="1" t="e">
        <f>AND('2016 Candidates'!A56,"AAAAADfe/+Y=")</f>
        <v>#VALUE!</v>
      </c>
      <c r="HX4" s="1" t="e">
        <f>AND('2016 Candidates'!B56,"AAAAADfe/+c=")</f>
        <v>#VALUE!</v>
      </c>
      <c r="HY4" s="1" t="e">
        <f>AND('2016 Candidates'!C56,"AAAAADfe/+g=")</f>
        <v>#VALUE!</v>
      </c>
      <c r="HZ4" s="1" t="b">
        <f>AND('2016 Candidates'!D56,"AAAAADfe/+k=")</f>
        <v>1</v>
      </c>
      <c r="IA4" s="1" t="b">
        <f>AND('2016 Candidates'!E56,"AAAAADfe/+o=")</f>
        <v>1</v>
      </c>
      <c r="IB4" s="1" t="e">
        <f>IF('2016 Candidates'!#REF!,"AAAAADfe/+s=",0)</f>
        <v>#REF!</v>
      </c>
      <c r="IC4" s="1" t="e">
        <f>AND('2016 Candidates'!#REF!,"AAAAADfe/+w=")</f>
        <v>#REF!</v>
      </c>
      <c r="ID4" s="1" t="e">
        <f>AND('2016 Candidates'!#REF!,"AAAAADfe/+0=")</f>
        <v>#REF!</v>
      </c>
      <c r="IE4" s="1" t="e">
        <f>AND('2016 Candidates'!#REF!,"AAAAADfe/+4=")</f>
        <v>#REF!</v>
      </c>
      <c r="IF4" s="1" t="e">
        <f>AND('2016 Candidates'!#REF!,"AAAAADfe/+8=")</f>
        <v>#REF!</v>
      </c>
      <c r="IG4" s="1" t="e">
        <f>AND('2016 Candidates'!#REF!,"AAAAADfe//A=")</f>
        <v>#REF!</v>
      </c>
      <c r="IH4" s="1">
        <f>IF('2016 Candidates'!57:57,"AAAAADfe//E=",0)</f>
        <v>0</v>
      </c>
      <c r="II4" s="1" t="e">
        <f>AND('2016 Candidates'!A57,"AAAAADfe//I=")</f>
        <v>#VALUE!</v>
      </c>
      <c r="IJ4" s="1" t="e">
        <f>AND('2016 Candidates'!B57,"AAAAADfe//M=")</f>
        <v>#VALUE!</v>
      </c>
      <c r="IK4" s="1" t="e">
        <f>AND('2016 Candidates'!C57,"AAAAADfe//Q=")</f>
        <v>#VALUE!</v>
      </c>
      <c r="IL4" s="1" t="b">
        <f>AND('2016 Candidates'!D57,"AAAAADfe//U=")</f>
        <v>1</v>
      </c>
      <c r="IM4" s="1" t="b">
        <f>AND('2016 Candidates'!E57,"AAAAADfe//Y=")</f>
        <v>1</v>
      </c>
      <c r="IN4" s="1">
        <f>IF('2016 Candidates'!58:58,"AAAAADfe//c=",0)</f>
        <v>0</v>
      </c>
      <c r="IO4" s="1" t="e">
        <f>AND('2016 Candidates'!A58,"AAAAADfe//g=")</f>
        <v>#VALUE!</v>
      </c>
      <c r="IP4" s="1" t="e">
        <f>AND('2016 Candidates'!B58,"AAAAADfe//k=")</f>
        <v>#VALUE!</v>
      </c>
      <c r="IQ4" s="1" t="b">
        <f>AND('2016 Candidates'!C58,"AAAAADfe//o=")</f>
        <v>1</v>
      </c>
      <c r="IR4" s="1" t="b">
        <f>AND('2016 Candidates'!D58,"AAAAADfe//s=")</f>
        <v>1</v>
      </c>
      <c r="IS4" s="1" t="b">
        <f>AND('2016 Candidates'!E58,"AAAAADfe//w=")</f>
        <v>1</v>
      </c>
      <c r="IT4" s="1">
        <f>IF('2016 Candidates'!59:59,"AAAAADfe//0=",0)</f>
        <v>0</v>
      </c>
      <c r="IU4" s="1" t="e">
        <f>AND('2016 Candidates'!A59,"AAAAADfe//4=")</f>
        <v>#VALUE!</v>
      </c>
      <c r="IV4" s="1" t="e">
        <f>AND('2016 Candidates'!B59,"AAAAADfe//8=")</f>
        <v>#VALUE!</v>
      </c>
    </row>
    <row r="5" spans="1:256" ht="12" customHeight="1" x14ac:dyDescent="0.2">
      <c r="A5" s="1" t="e">
        <f>AND('2016 Candidates'!C59,"AAAAAF38vwA=")</f>
        <v>#VALUE!</v>
      </c>
      <c r="B5" s="1" t="b">
        <f>AND('2016 Candidates'!D59,"AAAAAF38vwE=")</f>
        <v>1</v>
      </c>
      <c r="C5" s="1" t="b">
        <f>AND('2016 Candidates'!E59,"AAAAAF38vwI=")</f>
        <v>1</v>
      </c>
      <c r="D5" s="1" t="str">
        <f>IF('2016 Candidates'!60:60,"AAAAAF38vwM=",0)</f>
        <v>AAAAAF38vwM=</v>
      </c>
      <c r="E5" s="1" t="e">
        <f>AND('2016 Candidates'!A60,"AAAAAF38vwQ=")</f>
        <v>#VALUE!</v>
      </c>
      <c r="F5" s="1" t="e">
        <f>AND('2016 Candidates'!B60,"AAAAAF38vwU=")</f>
        <v>#VALUE!</v>
      </c>
      <c r="G5" s="1" t="e">
        <f>AND('2016 Candidates'!C60,"AAAAAF38vwY=")</f>
        <v>#VALUE!</v>
      </c>
      <c r="H5" s="1" t="b">
        <f>AND('2016 Candidates'!D60,"AAAAAF38vwc=")</f>
        <v>1</v>
      </c>
      <c r="I5" s="1" t="b">
        <f>AND('2016 Candidates'!E60,"AAAAAF38vwg=")</f>
        <v>1</v>
      </c>
      <c r="J5" s="1">
        <f>IF('2016 Candidates'!61:61,"AAAAAF38vwk=",0)</f>
        <v>0</v>
      </c>
      <c r="K5" s="1" t="e">
        <f>AND('2016 Candidates'!A61,"AAAAAF38vwo=")</f>
        <v>#VALUE!</v>
      </c>
      <c r="L5" s="1" t="e">
        <f>AND('2016 Candidates'!B61,"AAAAAF38vws=")</f>
        <v>#VALUE!</v>
      </c>
      <c r="M5" s="1" t="e">
        <f>AND('2016 Candidates'!C61,"AAAAAF38vww=")</f>
        <v>#VALUE!</v>
      </c>
      <c r="N5" s="1" t="b">
        <f>AND('2016 Candidates'!D61,"AAAAAF38vw0=")</f>
        <v>1</v>
      </c>
      <c r="O5" s="1" t="b">
        <f>AND('2016 Candidates'!E61,"AAAAAF38vw4=")</f>
        <v>1</v>
      </c>
      <c r="P5" s="1">
        <f>IF('2016 Candidates'!62:62,"AAAAAF38vw8=",0)</f>
        <v>0</v>
      </c>
      <c r="Q5" s="1" t="e">
        <f>AND('2016 Candidates'!A62,"AAAAAF38vxA=")</f>
        <v>#VALUE!</v>
      </c>
      <c r="R5" s="1" t="e">
        <f>AND('2016 Candidates'!B62,"AAAAAF38vxE=")</f>
        <v>#VALUE!</v>
      </c>
      <c r="S5" s="1" t="e">
        <f>AND('2016 Candidates'!C62,"AAAAAF38vxI=")</f>
        <v>#VALUE!</v>
      </c>
      <c r="T5" s="1" t="b">
        <f>AND('2016 Candidates'!D62,"AAAAAF38vxM=")</f>
        <v>1</v>
      </c>
      <c r="U5" s="1" t="b">
        <f>AND('2016 Candidates'!E62,"AAAAAF38vxQ=")</f>
        <v>1</v>
      </c>
      <c r="V5" s="1">
        <f>IF('2016 Candidates'!63:63,"AAAAAF38vxU=",0)</f>
        <v>0</v>
      </c>
      <c r="W5" s="1" t="e">
        <f>AND('2016 Candidates'!A63,"AAAAAF38vxY=")</f>
        <v>#VALUE!</v>
      </c>
      <c r="X5" s="1" t="e">
        <f>AND('2016 Candidates'!B63,"AAAAAF38vxc=")</f>
        <v>#VALUE!</v>
      </c>
      <c r="Y5" s="1" t="e">
        <f>AND('2016 Candidates'!C63,"AAAAAF38vxg=")</f>
        <v>#VALUE!</v>
      </c>
      <c r="Z5" s="1" t="b">
        <f>AND('2016 Candidates'!D63,"AAAAAF38vxk=")</f>
        <v>1</v>
      </c>
      <c r="AA5" s="1" t="b">
        <f>AND('2016 Candidates'!E63,"AAAAAF38vxo=")</f>
        <v>1</v>
      </c>
      <c r="AB5" s="1">
        <f>IF('2016 Candidates'!64:64,"AAAAAF38vxs=",0)</f>
        <v>0</v>
      </c>
      <c r="AC5" s="1" t="e">
        <f>AND('2016 Candidates'!A64,"AAAAAF38vxw=")</f>
        <v>#VALUE!</v>
      </c>
      <c r="AD5" s="1" t="e">
        <f>AND('2016 Candidates'!B64,"AAAAAF38vx0=")</f>
        <v>#VALUE!</v>
      </c>
      <c r="AE5" s="1" t="b">
        <f>AND('2016 Candidates'!C64,"AAAAAF38vx4=")</f>
        <v>1</v>
      </c>
      <c r="AF5" s="1" t="b">
        <f>AND('2016 Candidates'!D64,"AAAAAF38vx8=")</f>
        <v>1</v>
      </c>
      <c r="AG5" s="1" t="b">
        <f>AND('2016 Candidates'!E64,"AAAAAF38vyA=")</f>
        <v>1</v>
      </c>
      <c r="AH5" s="1">
        <f>IF('2016 Candidates'!65:65,"AAAAAF38vyE=",0)</f>
        <v>0</v>
      </c>
      <c r="AI5" s="1" t="e">
        <f>AND('2016 Candidates'!A65,"AAAAAF38vyI=")</f>
        <v>#VALUE!</v>
      </c>
      <c r="AJ5" s="1" t="e">
        <f>AND('2016 Candidates'!B65,"AAAAAF38vyM=")</f>
        <v>#VALUE!</v>
      </c>
      <c r="AK5" s="1" t="e">
        <f>AND('2016 Candidates'!C65,"AAAAAF38vyQ=")</f>
        <v>#VALUE!</v>
      </c>
      <c r="AL5" s="1" t="b">
        <f>AND('2016 Candidates'!D65,"AAAAAF38vyU=")</f>
        <v>1</v>
      </c>
      <c r="AM5" s="1" t="b">
        <f>AND('2016 Candidates'!E65,"AAAAAF38vyY=")</f>
        <v>1</v>
      </c>
      <c r="AN5" s="1">
        <f>IF('2016 Candidates'!66:66,"AAAAAF38vyc=",0)</f>
        <v>0</v>
      </c>
      <c r="AO5" s="1" t="e">
        <f>AND('2016 Candidates'!A66,"AAAAAF38vyg=")</f>
        <v>#VALUE!</v>
      </c>
      <c r="AP5" s="1" t="e">
        <f>AND('2016 Candidates'!B66,"AAAAAF38vyk=")</f>
        <v>#VALUE!</v>
      </c>
      <c r="AQ5" s="1" t="e">
        <f>AND('2016 Candidates'!C66,"AAAAAF38vyo=")</f>
        <v>#VALUE!</v>
      </c>
      <c r="AR5" s="1" t="b">
        <f>AND('2016 Candidates'!D66,"AAAAAF38vys=")</f>
        <v>1</v>
      </c>
      <c r="AS5" s="1" t="b">
        <f>AND('2016 Candidates'!E66,"AAAAAF38vyw=")</f>
        <v>1</v>
      </c>
      <c r="AT5" s="1">
        <f>IF('2016 Candidates'!67:67,"AAAAAF38vy0=",0)</f>
        <v>0</v>
      </c>
      <c r="AU5" s="1" t="e">
        <f>AND('2016 Candidates'!A67,"AAAAAF38vy4=")</f>
        <v>#VALUE!</v>
      </c>
      <c r="AV5" s="1" t="e">
        <f>AND('2016 Candidates'!B67,"AAAAAF38vy8=")</f>
        <v>#VALUE!</v>
      </c>
      <c r="AW5" s="1" t="e">
        <f>AND('2016 Candidates'!C67,"AAAAAF38vzA=")</f>
        <v>#VALUE!</v>
      </c>
      <c r="AX5" s="1" t="b">
        <f>AND('2016 Candidates'!D67,"AAAAAF38vzE=")</f>
        <v>1</v>
      </c>
      <c r="AY5" s="1" t="b">
        <f>AND('2016 Candidates'!E67,"AAAAAF38vzI=")</f>
        <v>1</v>
      </c>
      <c r="AZ5" s="1">
        <f>IF('2016 Candidates'!68:68,"AAAAAF38vzM=",0)</f>
        <v>0</v>
      </c>
      <c r="BA5" s="1" t="e">
        <f>AND('2016 Candidates'!A68,"AAAAAF38vzQ=")</f>
        <v>#VALUE!</v>
      </c>
      <c r="BB5" s="1" t="e">
        <f>AND('2016 Candidates'!B68,"AAAAAF38vzU=")</f>
        <v>#VALUE!</v>
      </c>
      <c r="BC5" s="1" t="e">
        <f>AND('2016 Candidates'!C68,"AAAAAF38vzY=")</f>
        <v>#VALUE!</v>
      </c>
      <c r="BD5" s="1" t="b">
        <f>AND('2016 Candidates'!D68,"AAAAAF38vzc=")</f>
        <v>1</v>
      </c>
      <c r="BE5" s="1" t="b">
        <f>AND('2016 Candidates'!E68,"AAAAAF38vzg=")</f>
        <v>1</v>
      </c>
      <c r="BF5" s="1">
        <f>IF('2016 Candidates'!69:69,"AAAAAF38vzk=",0)</f>
        <v>0</v>
      </c>
      <c r="BG5" s="1" t="e">
        <f>AND('2016 Candidates'!A69,"AAAAAF38vzo=")</f>
        <v>#VALUE!</v>
      </c>
      <c r="BH5" s="1" t="e">
        <f>AND('2016 Candidates'!B69,"AAAAAF38vzs=")</f>
        <v>#VALUE!</v>
      </c>
      <c r="BI5" s="1" t="b">
        <f>AND('2016 Candidates'!C69,"AAAAAF38vzw=")</f>
        <v>1</v>
      </c>
      <c r="BJ5" s="1" t="b">
        <f>AND('2016 Candidates'!D69,"AAAAAF38vz0=")</f>
        <v>1</v>
      </c>
      <c r="BK5" s="1" t="b">
        <f>AND('2016 Candidates'!E69,"AAAAAF38vz4=")</f>
        <v>1</v>
      </c>
      <c r="BL5" s="1" t="e">
        <f>IF('2016 Candidates'!#REF!,"AAAAAF38vz8=",0)</f>
        <v>#REF!</v>
      </c>
      <c r="BM5" s="1" t="e">
        <f>AND('2016 Candidates'!#REF!,"AAAAAF38v0A=")</f>
        <v>#REF!</v>
      </c>
      <c r="BN5" s="1" t="e">
        <f>AND('2016 Candidates'!#REF!,"AAAAAF38v0E=")</f>
        <v>#REF!</v>
      </c>
      <c r="BO5" s="1" t="e">
        <f>AND('2016 Candidates'!#REF!,"AAAAAF38v0I=")</f>
        <v>#REF!</v>
      </c>
      <c r="BP5" s="1" t="e">
        <f>AND('2016 Candidates'!#REF!,"AAAAAF38v0M=")</f>
        <v>#REF!</v>
      </c>
      <c r="BQ5" s="1" t="e">
        <f>AND('2016 Candidates'!#REF!,"AAAAAF38v0Q=")</f>
        <v>#REF!</v>
      </c>
      <c r="BR5" s="1">
        <f>IF('2016 Candidates'!70:70,"AAAAAF38v0U=",0)</f>
        <v>0</v>
      </c>
      <c r="BS5" s="1" t="e">
        <f>AND('2016 Candidates'!A70,"AAAAAF38v0Y=")</f>
        <v>#VALUE!</v>
      </c>
      <c r="BT5" s="1" t="e">
        <f>AND('2016 Candidates'!B70,"AAAAAF38v0c=")</f>
        <v>#VALUE!</v>
      </c>
      <c r="BU5" s="1" t="e">
        <f>AND('2016 Candidates'!C70,"AAAAAF38v0g=")</f>
        <v>#VALUE!</v>
      </c>
      <c r="BV5" s="1" t="b">
        <f>AND('2016 Candidates'!D70,"AAAAAF38v0k=")</f>
        <v>1</v>
      </c>
      <c r="BW5" s="1" t="b">
        <f>AND('2016 Candidates'!E70,"AAAAAF38v0o=")</f>
        <v>1</v>
      </c>
      <c r="BX5" s="1" t="e">
        <f>IF('2016 Candidates'!#REF!,"AAAAAF38v0s=",0)</f>
        <v>#REF!</v>
      </c>
      <c r="BY5" s="1" t="e">
        <f>AND('2016 Candidates'!#REF!,"AAAAAF38v0w=")</f>
        <v>#REF!</v>
      </c>
      <c r="BZ5" s="1" t="e">
        <f>AND('2016 Candidates'!#REF!,"AAAAAF38v00=")</f>
        <v>#REF!</v>
      </c>
      <c r="CA5" s="1" t="e">
        <f>AND('2016 Candidates'!#REF!,"AAAAAF38v04=")</f>
        <v>#REF!</v>
      </c>
      <c r="CB5" s="1" t="e">
        <f>AND('2016 Candidates'!#REF!,"AAAAAF38v08=")</f>
        <v>#REF!</v>
      </c>
      <c r="CC5" s="1" t="e">
        <f>AND('2016 Candidates'!#REF!,"AAAAAF38v1A=")</f>
        <v>#REF!</v>
      </c>
      <c r="CD5" s="1" t="e">
        <f>IF('2016 Candidates'!#REF!,"AAAAAF38v1E=",0)</f>
        <v>#REF!</v>
      </c>
      <c r="CE5" s="1" t="e">
        <f>AND('2016 Candidates'!#REF!,"AAAAAF38v1I=")</f>
        <v>#REF!</v>
      </c>
      <c r="CF5" s="1" t="e">
        <f>AND('2016 Candidates'!#REF!,"AAAAAF38v1M=")</f>
        <v>#REF!</v>
      </c>
      <c r="CG5" s="1" t="e">
        <f>AND('2016 Candidates'!#REF!,"AAAAAF38v1Q=")</f>
        <v>#REF!</v>
      </c>
      <c r="CH5" s="1" t="e">
        <f>AND('2016 Candidates'!#REF!,"AAAAAF38v1U=")</f>
        <v>#REF!</v>
      </c>
      <c r="CI5" s="1" t="e">
        <f>AND('2016 Candidates'!#REF!,"AAAAAF38v1Y=")</f>
        <v>#REF!</v>
      </c>
      <c r="CJ5" s="1">
        <f>IF('2016 Candidates'!71:71,"AAAAAF38v1c=",0)</f>
        <v>0</v>
      </c>
      <c r="CK5" s="1" t="e">
        <f>AND('2016 Candidates'!A71,"AAAAAF38v1g=")</f>
        <v>#VALUE!</v>
      </c>
      <c r="CL5" s="1" t="e">
        <f>AND('2016 Candidates'!B71,"AAAAAF38v1k=")</f>
        <v>#VALUE!</v>
      </c>
      <c r="CM5" s="1" t="e">
        <f>AND('2016 Candidates'!C71,"AAAAAF38v1o=")</f>
        <v>#VALUE!</v>
      </c>
      <c r="CN5" s="1" t="b">
        <f>AND('2016 Candidates'!D71,"AAAAAF38v1s=")</f>
        <v>1</v>
      </c>
      <c r="CO5" s="1" t="b">
        <f>AND('2016 Candidates'!E71,"AAAAAF38v1w=")</f>
        <v>1</v>
      </c>
      <c r="CP5" s="1">
        <f>IF('2016 Candidates'!72:72,"AAAAAF38v10=",0)</f>
        <v>0</v>
      </c>
      <c r="CQ5" s="1" t="e">
        <f>AND('2016 Candidates'!A72,"AAAAAF38v14=")</f>
        <v>#VALUE!</v>
      </c>
      <c r="CR5" s="1" t="e">
        <f>AND('2016 Candidates'!B72,"AAAAAF38v18=")</f>
        <v>#VALUE!</v>
      </c>
      <c r="CS5" s="1" t="e">
        <f>AND('2016 Candidates'!C72,"AAAAAF38v2A=")</f>
        <v>#VALUE!</v>
      </c>
      <c r="CT5" s="1" t="b">
        <f>AND('2016 Candidates'!D72,"AAAAAF38v2E=")</f>
        <v>1</v>
      </c>
      <c r="CU5" s="1" t="b">
        <f>AND('2016 Candidates'!E72,"AAAAAF38v2I=")</f>
        <v>1</v>
      </c>
      <c r="CV5" s="1">
        <f>IF('2016 Candidates'!73:73,"AAAAAF38v2M=",0)</f>
        <v>0</v>
      </c>
      <c r="CW5" s="1" t="e">
        <f>AND('2016 Candidates'!A73,"AAAAAF38v2Q=")</f>
        <v>#VALUE!</v>
      </c>
      <c r="CX5" s="1" t="e">
        <f>AND('2016 Candidates'!B73,"AAAAAF38v2U=")</f>
        <v>#VALUE!</v>
      </c>
      <c r="CY5" s="1" t="b">
        <f>AND('2016 Candidates'!C73,"AAAAAF38v2Y=")</f>
        <v>1</v>
      </c>
      <c r="CZ5" s="1" t="b">
        <f>AND('2016 Candidates'!D73,"AAAAAF38v2c=")</f>
        <v>1</v>
      </c>
      <c r="DA5" s="1" t="b">
        <f>AND('2016 Candidates'!E73,"AAAAAF38v2g=")</f>
        <v>1</v>
      </c>
      <c r="DB5" s="1">
        <f>IF('2016 Candidates'!74:74,"AAAAAF38v2k=",0)</f>
        <v>0</v>
      </c>
      <c r="DC5" s="1" t="e">
        <f>AND('2016 Candidates'!A74,"AAAAAF38v2o=")</f>
        <v>#VALUE!</v>
      </c>
      <c r="DD5" s="1" t="e">
        <f>AND('2016 Candidates'!B74,"AAAAAF38v2s=")</f>
        <v>#VALUE!</v>
      </c>
      <c r="DE5" s="1" t="e">
        <f>AND('2016 Candidates'!C74,"AAAAAF38v2w=")</f>
        <v>#VALUE!</v>
      </c>
      <c r="DF5" s="1" t="b">
        <f>AND('2016 Candidates'!D74,"AAAAAF38v20=")</f>
        <v>1</v>
      </c>
      <c r="DG5" s="1" t="b">
        <f>AND('2016 Candidates'!E74,"AAAAAF38v24=")</f>
        <v>1</v>
      </c>
      <c r="DH5" s="1">
        <f>IF('2016 Candidates'!75:75,"AAAAAF38v28=",0)</f>
        <v>0</v>
      </c>
      <c r="DI5" s="1" t="e">
        <f>AND('2016 Candidates'!A75,"AAAAAF38v3A=")</f>
        <v>#VALUE!</v>
      </c>
      <c r="DJ5" s="1" t="e">
        <f>AND('2016 Candidates'!B75,"AAAAAF38v3E=")</f>
        <v>#VALUE!</v>
      </c>
      <c r="DK5" s="1" t="e">
        <f>AND('2016 Candidates'!C75,"AAAAAF38v3I=")</f>
        <v>#VALUE!</v>
      </c>
      <c r="DL5" s="1" t="b">
        <f>AND('2016 Candidates'!D75,"AAAAAF38v3M=")</f>
        <v>1</v>
      </c>
      <c r="DM5" s="1" t="b">
        <f>AND('2016 Candidates'!E75,"AAAAAF38v3Q=")</f>
        <v>1</v>
      </c>
      <c r="DN5" s="1">
        <f>IF('2016 Candidates'!76:76,"AAAAAF38v3U=",0)</f>
        <v>0</v>
      </c>
      <c r="DO5" s="1" t="e">
        <f>AND('2016 Candidates'!A76,"AAAAAF38v3Y=")</f>
        <v>#VALUE!</v>
      </c>
      <c r="DP5" s="1" t="e">
        <f>AND('2016 Candidates'!B76,"AAAAAF38v3c=")</f>
        <v>#VALUE!</v>
      </c>
      <c r="DQ5" s="1" t="e">
        <f>AND('2016 Candidates'!C76,"AAAAAF38v3g=")</f>
        <v>#VALUE!</v>
      </c>
      <c r="DR5" s="1" t="b">
        <f>AND('2016 Candidates'!D76,"AAAAAF38v3k=")</f>
        <v>1</v>
      </c>
      <c r="DS5" s="1" t="b">
        <f>AND('2016 Candidates'!E76,"AAAAAF38v3o=")</f>
        <v>1</v>
      </c>
      <c r="DT5" s="1">
        <f>IF('2016 Candidates'!77:77,"AAAAAF38v3s=",0)</f>
        <v>0</v>
      </c>
      <c r="DU5" s="1" t="e">
        <f>AND('2016 Candidates'!A77,"AAAAAF38v3w=")</f>
        <v>#VALUE!</v>
      </c>
      <c r="DV5" s="1" t="e">
        <f>AND('2016 Candidates'!B77,"AAAAAF38v30=")</f>
        <v>#VALUE!</v>
      </c>
      <c r="DW5" s="1" t="b">
        <f>AND('2016 Candidates'!C77,"AAAAAF38v34=")</f>
        <v>1</v>
      </c>
      <c r="DX5" s="1" t="b">
        <f>AND('2016 Candidates'!D77,"AAAAAF38v38=")</f>
        <v>1</v>
      </c>
      <c r="DY5" s="1" t="b">
        <f>AND('2016 Candidates'!E77,"AAAAAF38v4A=")</f>
        <v>1</v>
      </c>
      <c r="DZ5" s="1" t="e">
        <f>IF('2016 Candidates'!A:A,"AAAAAF38v4E=",0)</f>
        <v>#VALUE!</v>
      </c>
      <c r="EA5" s="1" t="e">
        <f>IF('2016 Candidates'!B:B,"AAAAAF38v4I=",0)</f>
        <v>#VALUE!</v>
      </c>
      <c r="EB5" s="1" t="e">
        <f>IF('2016 Candidates'!C:C,"AAAAAF38v4M=",0)</f>
        <v>#VALUE!</v>
      </c>
      <c r="EC5" s="1" t="str">
        <f>IF('2016 Candidates'!D:D,"AAAAAF38v4Q=",0)</f>
        <v>AAAAAF38v4Q=</v>
      </c>
      <c r="ED5" s="1" t="str">
        <f>IF('2016 Candidates'!E:E,"AAAAAF38v4U=",0)</f>
        <v>AAAAAF38v4U=</v>
      </c>
      <c r="EE5" s="1">
        <f>IF(A_Gros_Islet!1:1,"AAAAAF38v4Y=",0)</f>
        <v>0</v>
      </c>
      <c r="EF5" s="1" t="e">
        <f>AND(A_Gros_Islet!A1,"AAAAAF38v4c=")</f>
        <v>#VALUE!</v>
      </c>
      <c r="EG5" s="1" t="e">
        <f>AND(A_Gros_Islet!B1,"AAAAAF38v4g=")</f>
        <v>#VALUE!</v>
      </c>
      <c r="EH5" s="1" t="e">
        <f>AND(A_Gros_Islet!C1,"AAAAAF38v4k=")</f>
        <v>#VALUE!</v>
      </c>
      <c r="EI5" s="1" t="e">
        <f>AND(A_Gros_Islet!D1,"AAAAAF38v4o=")</f>
        <v>#VALUE!</v>
      </c>
      <c r="EJ5" s="1" t="e">
        <f>AND(A_Gros_Islet!E1,"AAAAAF38v4s=")</f>
        <v>#VALUE!</v>
      </c>
      <c r="EK5" s="1" t="e">
        <f>AND(A_Gros_Islet!F1,"AAAAAF38v4w=")</f>
        <v>#VALUE!</v>
      </c>
      <c r="EL5" s="1" t="e">
        <f>AND(A_Gros_Islet!G1,"AAAAAF38v40=")</f>
        <v>#VALUE!</v>
      </c>
      <c r="EM5" s="1" t="e">
        <f>AND(A_Gros_Islet!H1,"AAAAAF38v44=")</f>
        <v>#VALUE!</v>
      </c>
      <c r="EN5" s="1" t="e">
        <f>AND(A_Gros_Islet!#REF!,"AAAAAF38v48=")</f>
        <v>#REF!</v>
      </c>
      <c r="EO5" s="1" t="e">
        <f>AND(A_Gros_Islet!#REF!,"AAAAAF38v5A=")</f>
        <v>#REF!</v>
      </c>
      <c r="EP5" s="1" t="e">
        <f>AND(A_Gros_Islet!#REF!,"AAAAAF38v5E=")</f>
        <v>#REF!</v>
      </c>
      <c r="EQ5" s="1" t="e">
        <f>AND(A_Gros_Islet!#REF!,"AAAAAF38v5I=")</f>
        <v>#REF!</v>
      </c>
      <c r="ER5" s="1" t="e">
        <f>AND(A_Gros_Islet!I1,"AAAAAF38v5M=")</f>
        <v>#VALUE!</v>
      </c>
      <c r="ES5" s="1" t="e">
        <f>AND(A_Gros_Islet!J1,"AAAAAF38v5Q=")</f>
        <v>#VALUE!</v>
      </c>
      <c r="ET5" s="1" t="e">
        <f>AND(A_Gros_Islet!K1,"AAAAAF38v5U=")</f>
        <v>#VALUE!</v>
      </c>
      <c r="EU5" s="1" t="e">
        <f>AND(A_Gros_Islet!L1,"AAAAAF38v5Y=")</f>
        <v>#VALUE!</v>
      </c>
      <c r="EV5" s="1">
        <f>IF(A_Gros_Islet!2:2,"AAAAAF38v5c=",0)</f>
        <v>0</v>
      </c>
      <c r="EW5" s="1" t="e">
        <f>AND(A_Gros_Islet!A2,"AAAAAF38v5g=")</f>
        <v>#VALUE!</v>
      </c>
      <c r="EX5" s="1" t="e">
        <f>AND(A_Gros_Islet!B2,"AAAAAF38v5k=")</f>
        <v>#VALUE!</v>
      </c>
      <c r="EY5" s="1" t="e">
        <f>AND(A_Gros_Islet!C2,"AAAAAF38v5o=")</f>
        <v>#VALUE!</v>
      </c>
      <c r="EZ5" s="1" t="e">
        <f>AND(A_Gros_Islet!D2,"AAAAAF38v5s=")</f>
        <v>#VALUE!</v>
      </c>
      <c r="FA5" s="1" t="e">
        <f>AND(A_Gros_Islet!E2,"AAAAAF38v5w=")</f>
        <v>#VALUE!</v>
      </c>
      <c r="FB5" s="1" t="e">
        <f>AND(A_Gros_Islet!F2,"AAAAAF38v50=")</f>
        <v>#VALUE!</v>
      </c>
      <c r="FC5" s="1" t="e">
        <f>AND(A_Gros_Islet!G2,"AAAAAF38v54=")</f>
        <v>#VALUE!</v>
      </c>
      <c r="FD5" s="1" t="e">
        <f>AND(A_Gros_Islet!H2,"AAAAAF38v58=")</f>
        <v>#VALUE!</v>
      </c>
      <c r="FE5" s="1" t="e">
        <f>AND(A_Gros_Islet!#REF!,"AAAAAF38v6A=")</f>
        <v>#REF!</v>
      </c>
      <c r="FF5" s="1" t="e">
        <f>AND(A_Gros_Islet!#REF!,"AAAAAF38v6E=")</f>
        <v>#REF!</v>
      </c>
      <c r="FG5" s="1" t="e">
        <f>AND(A_Gros_Islet!#REF!,"AAAAAF38v6I=")</f>
        <v>#REF!</v>
      </c>
      <c r="FH5" s="1" t="e">
        <f>AND(A_Gros_Islet!#REF!,"AAAAAF38v6M=")</f>
        <v>#REF!</v>
      </c>
      <c r="FI5" s="1" t="e">
        <f>AND(A_Gros_Islet!I2,"AAAAAF38v6Q=")</f>
        <v>#VALUE!</v>
      </c>
      <c r="FJ5" s="1" t="e">
        <f>AND(A_Gros_Islet!J2,"AAAAAF38v6U=")</f>
        <v>#VALUE!</v>
      </c>
      <c r="FK5" s="1" t="e">
        <f>AND(A_Gros_Islet!K2,"AAAAAF38v6Y=")</f>
        <v>#VALUE!</v>
      </c>
      <c r="FL5" s="1" t="e">
        <f>AND(A_Gros_Islet!L2,"AAAAAF38v6c=")</f>
        <v>#VALUE!</v>
      </c>
      <c r="FM5" s="1">
        <f>IF(A_Gros_Islet!3:3,"AAAAAF38v6g=",0)</f>
        <v>0</v>
      </c>
      <c r="FN5" s="1" t="e">
        <f>AND(A_Gros_Islet!A3,"AAAAAF38v6k=")</f>
        <v>#VALUE!</v>
      </c>
      <c r="FO5" s="1" t="e">
        <f>AND(A_Gros_Islet!B3,"AAAAAF38v6o=")</f>
        <v>#VALUE!</v>
      </c>
      <c r="FP5" s="1" t="e">
        <f>AND(A_Gros_Islet!C3,"AAAAAF38v6s=")</f>
        <v>#VALUE!</v>
      </c>
      <c r="FQ5" s="1" t="e">
        <f>AND(A_Gros_Islet!D3,"AAAAAF38v6w=")</f>
        <v>#VALUE!</v>
      </c>
      <c r="FR5" s="1" t="e">
        <f>AND(A_Gros_Islet!E3,"AAAAAF38v60=")</f>
        <v>#VALUE!</v>
      </c>
      <c r="FS5" s="1" t="e">
        <f>AND(A_Gros_Islet!F3,"AAAAAF38v64=")</f>
        <v>#VALUE!</v>
      </c>
      <c r="FT5" s="1" t="e">
        <f>AND(A_Gros_Islet!G3,"AAAAAF38v68=")</f>
        <v>#VALUE!</v>
      </c>
      <c r="FU5" s="1" t="e">
        <f>AND(A_Gros_Islet!H3,"AAAAAF38v7A=")</f>
        <v>#VALUE!</v>
      </c>
      <c r="FV5" s="1" t="e">
        <f>AND(A_Gros_Islet!#REF!,"AAAAAF38v7E=")</f>
        <v>#REF!</v>
      </c>
      <c r="FW5" s="1" t="e">
        <f>AND(A_Gros_Islet!#REF!,"AAAAAF38v7I=")</f>
        <v>#REF!</v>
      </c>
      <c r="FX5" s="1" t="e">
        <f>AND(A_Gros_Islet!#REF!,"AAAAAF38v7M=")</f>
        <v>#REF!</v>
      </c>
      <c r="FY5" s="1" t="e">
        <f>AND(A_Gros_Islet!#REF!,"AAAAAF38v7Q=")</f>
        <v>#REF!</v>
      </c>
      <c r="FZ5" s="1" t="e">
        <f>AND(A_Gros_Islet!I3,"AAAAAF38v7U=")</f>
        <v>#VALUE!</v>
      </c>
      <c r="GA5" s="1" t="e">
        <f>AND(A_Gros_Islet!J3,"AAAAAF38v7Y=")</f>
        <v>#VALUE!</v>
      </c>
      <c r="GB5" s="1" t="e">
        <f>AND(A_Gros_Islet!K3,"AAAAAF38v7c=")</f>
        <v>#VALUE!</v>
      </c>
      <c r="GC5" s="1" t="e">
        <f>AND(A_Gros_Islet!L3,"AAAAAF38v7g=")</f>
        <v>#VALUE!</v>
      </c>
      <c r="GD5" s="1">
        <f>IF(A_Gros_Islet!4:4,"AAAAAF38v7k=",0)</f>
        <v>0</v>
      </c>
      <c r="GE5" s="1" t="e">
        <f>AND(A_Gros_Islet!A4,"AAAAAF38v7o=")</f>
        <v>#VALUE!</v>
      </c>
      <c r="GF5" s="1" t="b">
        <f>AND(A_Gros_Islet!B4,"AAAAAF38v7s=")</f>
        <v>1</v>
      </c>
      <c r="GG5" s="1" t="b">
        <f>AND(A_Gros_Islet!C4,"AAAAAF38v7w=")</f>
        <v>1</v>
      </c>
      <c r="GH5" s="1" t="b">
        <f>AND(A_Gros_Islet!D4,"AAAAAF38v70=")</f>
        <v>1</v>
      </c>
      <c r="GI5" s="1" t="b">
        <f>AND(A_Gros_Islet!E4,"AAAAAF38v74=")</f>
        <v>1</v>
      </c>
      <c r="GJ5" s="1" t="b">
        <f>AND(A_Gros_Islet!F4,"AAAAAF38v78=")</f>
        <v>1</v>
      </c>
      <c r="GK5" s="1" t="b">
        <f>AND(A_Gros_Islet!G4,"AAAAAF38v8A=")</f>
        <v>1</v>
      </c>
      <c r="GL5" s="1" t="b">
        <f>AND(A_Gros_Islet!H4,"AAAAAF38v8E=")</f>
        <v>1</v>
      </c>
      <c r="GM5" s="1" t="e">
        <f>AND(A_Gros_Islet!#REF!,"AAAAAF38v8I=")</f>
        <v>#REF!</v>
      </c>
      <c r="GN5" s="1" t="e">
        <f>AND(A_Gros_Islet!#REF!,"AAAAAF38v8M=")</f>
        <v>#REF!</v>
      </c>
      <c r="GO5" s="1" t="e">
        <f>AND(A_Gros_Islet!#REF!,"AAAAAF38v8Q=")</f>
        <v>#REF!</v>
      </c>
      <c r="GP5" s="1" t="e">
        <f>AND(A_Gros_Islet!#REF!,"AAAAAF38v8U=")</f>
        <v>#REF!</v>
      </c>
      <c r="GQ5" s="1" t="b">
        <f>AND(A_Gros_Islet!I4,"AAAAAF38v8Y=")</f>
        <v>1</v>
      </c>
      <c r="GR5" s="1" t="b">
        <f>AND(A_Gros_Islet!J4,"AAAAAF38v8c=")</f>
        <v>1</v>
      </c>
      <c r="GS5" s="1" t="b">
        <f>AND(A_Gros_Islet!K4,"AAAAAF38v8g=")</f>
        <v>1</v>
      </c>
      <c r="GT5" s="1" t="b">
        <f>AND(A_Gros_Islet!L4,"AAAAAF38v8k=")</f>
        <v>1</v>
      </c>
      <c r="GU5" s="1">
        <f>IF(A_Gros_Islet!5:5,"AAAAAF38v8o=",0)</f>
        <v>0</v>
      </c>
      <c r="GV5" s="1" t="e">
        <f>AND(A_Gros_Islet!A5,"AAAAAF38v8s=")</f>
        <v>#VALUE!</v>
      </c>
      <c r="GW5" s="1" t="e">
        <f>AND(A_Gros_Islet!B5,"AAAAAF38v8w=")</f>
        <v>#VALUE!</v>
      </c>
      <c r="GX5" s="1" t="e">
        <f>AND(A_Gros_Islet!C5,"AAAAAF38v80=")</f>
        <v>#VALUE!</v>
      </c>
      <c r="GY5" s="1" t="e">
        <f>AND(A_Gros_Islet!D5,"AAAAAF38v84=")</f>
        <v>#VALUE!</v>
      </c>
      <c r="GZ5" s="1" t="e">
        <f>AND(A_Gros_Islet!E5,"AAAAAF38v88=")</f>
        <v>#VALUE!</v>
      </c>
      <c r="HA5" s="1" t="e">
        <f>AND(A_Gros_Islet!F5,"AAAAAF38v9A=")</f>
        <v>#VALUE!</v>
      </c>
      <c r="HB5" s="1" t="e">
        <f>AND(A_Gros_Islet!G5,"AAAAAF38v9E=")</f>
        <v>#VALUE!</v>
      </c>
      <c r="HC5" s="1" t="e">
        <f>AND(A_Gros_Islet!H5,"AAAAAF38v9I=")</f>
        <v>#VALUE!</v>
      </c>
      <c r="HD5" s="1" t="e">
        <f>AND(A_Gros_Islet!#REF!,"AAAAAF38v9M=")</f>
        <v>#REF!</v>
      </c>
      <c r="HE5" s="1" t="e">
        <f>AND(A_Gros_Islet!#REF!,"AAAAAF38v9Q=")</f>
        <v>#REF!</v>
      </c>
      <c r="HF5" s="1" t="e">
        <f>AND(A_Gros_Islet!#REF!,"AAAAAF38v9U=")</f>
        <v>#REF!</v>
      </c>
      <c r="HG5" s="1" t="e">
        <f>AND(A_Gros_Islet!#REF!,"AAAAAF38v9Y=")</f>
        <v>#REF!</v>
      </c>
      <c r="HH5" s="1" t="e">
        <f>AND(A_Gros_Islet!I5,"AAAAAF38v9c=")</f>
        <v>#VALUE!</v>
      </c>
      <c r="HI5" s="1" t="e">
        <f>AND(A_Gros_Islet!J5,"AAAAAF38v9g=")</f>
        <v>#VALUE!</v>
      </c>
      <c r="HJ5" s="1" t="e">
        <f>AND(A_Gros_Islet!K5,"AAAAAF38v9k=")</f>
        <v>#VALUE!</v>
      </c>
      <c r="HK5" s="1" t="e">
        <f>AND(A_Gros_Islet!L5,"AAAAAF38v9o=")</f>
        <v>#VALUE!</v>
      </c>
      <c r="HL5" s="1">
        <f>IF(A_Gros_Islet!6:6,"AAAAAF38v9s=",0)</f>
        <v>0</v>
      </c>
      <c r="HM5" s="1" t="e">
        <f>AND(A_Gros_Islet!A6,"AAAAAF38v9w=")</f>
        <v>#VALUE!</v>
      </c>
      <c r="HN5" s="1" t="b">
        <f>AND(A_Gros_Islet!B6,"AAAAAF38v90=")</f>
        <v>1</v>
      </c>
      <c r="HO5" s="1" t="b">
        <f>AND(A_Gros_Islet!C6,"AAAAAF38v94=")</f>
        <v>1</v>
      </c>
      <c r="HP5" s="1" t="b">
        <f>AND(A_Gros_Islet!D6,"AAAAAF38v98=")</f>
        <v>1</v>
      </c>
      <c r="HQ5" s="1" t="b">
        <f>AND(A_Gros_Islet!E6,"AAAAAF38v+A=")</f>
        <v>1</v>
      </c>
      <c r="HR5" s="1" t="b">
        <f>AND(A_Gros_Islet!F6,"AAAAAF38v+E=")</f>
        <v>1</v>
      </c>
      <c r="HS5" s="1" t="b">
        <f>AND(A_Gros_Islet!G6,"AAAAAF38v+I=")</f>
        <v>1</v>
      </c>
      <c r="HT5" s="1" t="b">
        <f>AND(A_Gros_Islet!H6,"AAAAAF38v+M=")</f>
        <v>1</v>
      </c>
      <c r="HU5" s="1" t="e">
        <f>AND(A_Gros_Islet!#REF!,"AAAAAF38v+Q=")</f>
        <v>#REF!</v>
      </c>
      <c r="HV5" s="1" t="e">
        <f>AND(A_Gros_Islet!#REF!,"AAAAAF38v+U=")</f>
        <v>#REF!</v>
      </c>
      <c r="HW5" s="1" t="e">
        <f>AND(A_Gros_Islet!#REF!,"AAAAAF38v+Y=")</f>
        <v>#REF!</v>
      </c>
      <c r="HX5" s="1" t="e">
        <f>AND(A_Gros_Islet!#REF!,"AAAAAF38v+c=")</f>
        <v>#REF!</v>
      </c>
      <c r="HY5" s="1" t="b">
        <f>AND(A_Gros_Islet!I6,"AAAAAF38v+g=")</f>
        <v>1</v>
      </c>
      <c r="HZ5" s="1" t="b">
        <f>AND(A_Gros_Islet!J6,"AAAAAF38v+k=")</f>
        <v>1</v>
      </c>
      <c r="IA5" s="1" t="b">
        <f>AND(A_Gros_Islet!K6,"AAAAAF38v+o=")</f>
        <v>1</v>
      </c>
      <c r="IB5" s="1" t="b">
        <f>AND(A_Gros_Islet!L6,"AAAAAF38v+s=")</f>
        <v>1</v>
      </c>
      <c r="IC5" s="1">
        <f>IF(A_Gros_Islet!7:7,"AAAAAF38v+w=",0)</f>
        <v>0</v>
      </c>
      <c r="ID5" s="1" t="e">
        <f>AND(A_Gros_Islet!A7,"AAAAAF38v+0=")</f>
        <v>#VALUE!</v>
      </c>
      <c r="IE5" s="1" t="b">
        <f>AND(A_Gros_Islet!B7,"AAAAAF38v+4=")</f>
        <v>1</v>
      </c>
      <c r="IF5" s="1" t="b">
        <f>AND(A_Gros_Islet!C7,"AAAAAF38v+8=")</f>
        <v>1</v>
      </c>
      <c r="IG5" s="1" t="b">
        <f>AND(A_Gros_Islet!D7,"AAAAAF38v/A=")</f>
        <v>1</v>
      </c>
      <c r="IH5" s="1" t="b">
        <f>AND(A_Gros_Islet!E7,"AAAAAF38v/E=")</f>
        <v>1</v>
      </c>
      <c r="II5" s="1" t="b">
        <f>AND(A_Gros_Islet!F7,"AAAAAF38v/I=")</f>
        <v>1</v>
      </c>
      <c r="IJ5" s="1" t="b">
        <f>AND(A_Gros_Islet!G7,"AAAAAF38v/M=")</f>
        <v>1</v>
      </c>
      <c r="IK5" s="1" t="b">
        <f>AND(A_Gros_Islet!H7,"AAAAAF38v/Q=")</f>
        <v>1</v>
      </c>
      <c r="IL5" s="1" t="e">
        <f>AND(A_Gros_Islet!#REF!,"AAAAAF38v/U=")</f>
        <v>#REF!</v>
      </c>
      <c r="IM5" s="1" t="e">
        <f>AND(A_Gros_Islet!#REF!,"AAAAAF38v/Y=")</f>
        <v>#REF!</v>
      </c>
      <c r="IN5" s="1" t="e">
        <f>AND(A_Gros_Islet!#REF!,"AAAAAF38v/c=")</f>
        <v>#REF!</v>
      </c>
      <c r="IO5" s="1" t="e">
        <f>AND(A_Gros_Islet!#REF!,"AAAAAF38v/g=")</f>
        <v>#REF!</v>
      </c>
      <c r="IP5" s="1" t="b">
        <f>AND(A_Gros_Islet!I7,"AAAAAF38v/k=")</f>
        <v>1</v>
      </c>
      <c r="IQ5" s="1" t="b">
        <f>AND(A_Gros_Islet!J7,"AAAAAF38v/o=")</f>
        <v>1</v>
      </c>
      <c r="IR5" s="1" t="b">
        <f>AND(A_Gros_Islet!K7,"AAAAAF38v/s=")</f>
        <v>1</v>
      </c>
      <c r="IS5" s="1" t="b">
        <f>AND(A_Gros_Islet!L7,"AAAAAF38v/w=")</f>
        <v>1</v>
      </c>
      <c r="IT5" s="1">
        <f>IF(A_Gros_Islet!8:8,"AAAAAF38v/0=",0)</f>
        <v>0</v>
      </c>
      <c r="IU5" s="1" t="e">
        <f>AND(A_Gros_Islet!A8,"AAAAAF38v/4=")</f>
        <v>#VALUE!</v>
      </c>
      <c r="IV5" s="1" t="b">
        <f>AND(A_Gros_Islet!B8,"AAAAAF38v/8=")</f>
        <v>1</v>
      </c>
    </row>
    <row r="6" spans="1:256" ht="12" customHeight="1" x14ac:dyDescent="0.2">
      <c r="A6" s="1" t="b">
        <f>AND(A_Gros_Islet!C8,"AAAAAF//vwA=")</f>
        <v>1</v>
      </c>
      <c r="B6" s="1" t="b">
        <f>AND(A_Gros_Islet!D8,"AAAAAF//vwE=")</f>
        <v>1</v>
      </c>
      <c r="C6" s="1" t="b">
        <f>AND(A_Gros_Islet!E8,"AAAAAF//vwI=")</f>
        <v>1</v>
      </c>
      <c r="D6" s="1" t="b">
        <f>AND(A_Gros_Islet!F8,"AAAAAF//vwM=")</f>
        <v>1</v>
      </c>
      <c r="E6" s="1" t="b">
        <f>AND(A_Gros_Islet!G8,"AAAAAF//vwQ=")</f>
        <v>1</v>
      </c>
      <c r="F6" s="1" t="b">
        <f>AND(A_Gros_Islet!H8,"AAAAAF//vwU=")</f>
        <v>1</v>
      </c>
      <c r="G6" s="1" t="e">
        <f>AND(A_Gros_Islet!#REF!,"AAAAAF//vwY=")</f>
        <v>#REF!</v>
      </c>
      <c r="H6" s="1" t="e">
        <f>AND(A_Gros_Islet!#REF!,"AAAAAF//vwc=")</f>
        <v>#REF!</v>
      </c>
      <c r="I6" s="1" t="e">
        <f>AND(A_Gros_Islet!#REF!,"AAAAAF//vwg=")</f>
        <v>#REF!</v>
      </c>
      <c r="J6" s="1" t="e">
        <f>AND(A_Gros_Islet!#REF!,"AAAAAF//vwk=")</f>
        <v>#REF!</v>
      </c>
      <c r="K6" s="1" t="b">
        <f>AND(A_Gros_Islet!I8,"AAAAAF//vwo=")</f>
        <v>1</v>
      </c>
      <c r="L6" s="1" t="b">
        <f>AND(A_Gros_Islet!J8,"AAAAAF//vws=")</f>
        <v>1</v>
      </c>
      <c r="M6" s="1" t="b">
        <f>AND(A_Gros_Islet!K8,"AAAAAF//vww=")</f>
        <v>1</v>
      </c>
      <c r="N6" s="1" t="b">
        <f>AND(A_Gros_Islet!L8,"AAAAAF//vw0=")</f>
        <v>1</v>
      </c>
      <c r="O6" s="1">
        <f>IF(A_Gros_Islet!9:9,"AAAAAF//vw4=",0)</f>
        <v>0</v>
      </c>
      <c r="P6" s="1" t="e">
        <f>AND(A_Gros_Islet!A9,"AAAAAF//vw8=")</f>
        <v>#VALUE!</v>
      </c>
      <c r="Q6" s="1" t="b">
        <f>AND(A_Gros_Islet!B9,"AAAAAF//vxA=")</f>
        <v>1</v>
      </c>
      <c r="R6" s="1" t="b">
        <f>AND(A_Gros_Islet!C9,"AAAAAF//vxE=")</f>
        <v>1</v>
      </c>
      <c r="S6" s="1" t="b">
        <f>AND(A_Gros_Islet!D9,"AAAAAF//vxI=")</f>
        <v>1</v>
      </c>
      <c r="T6" s="1" t="b">
        <f>AND(A_Gros_Islet!E9,"AAAAAF//vxM=")</f>
        <v>1</v>
      </c>
      <c r="U6" s="1" t="b">
        <f>AND(A_Gros_Islet!F9,"AAAAAF//vxQ=")</f>
        <v>1</v>
      </c>
      <c r="V6" s="1" t="b">
        <f>AND(A_Gros_Islet!G9,"AAAAAF//vxU=")</f>
        <v>1</v>
      </c>
      <c r="W6" s="1" t="b">
        <f>AND(A_Gros_Islet!H9,"AAAAAF//vxY=")</f>
        <v>1</v>
      </c>
      <c r="X6" s="1" t="e">
        <f>AND(A_Gros_Islet!#REF!,"AAAAAF//vxc=")</f>
        <v>#REF!</v>
      </c>
      <c r="Y6" s="1" t="e">
        <f>AND(A_Gros_Islet!#REF!,"AAAAAF//vxg=")</f>
        <v>#REF!</v>
      </c>
      <c r="Z6" s="1" t="e">
        <f>AND(A_Gros_Islet!#REF!,"AAAAAF//vxk=")</f>
        <v>#REF!</v>
      </c>
      <c r="AA6" s="1" t="e">
        <f>AND(A_Gros_Islet!#REF!,"AAAAAF//vxo=")</f>
        <v>#REF!</v>
      </c>
      <c r="AB6" s="1" t="b">
        <f>AND(A_Gros_Islet!I9,"AAAAAF//vxs=")</f>
        <v>1</v>
      </c>
      <c r="AC6" s="1" t="b">
        <f>AND(A_Gros_Islet!J9,"AAAAAF//vxw=")</f>
        <v>1</v>
      </c>
      <c r="AD6" s="1" t="b">
        <f>AND(A_Gros_Islet!K9,"AAAAAF//vx0=")</f>
        <v>1</v>
      </c>
      <c r="AE6" s="1" t="b">
        <f>AND(A_Gros_Islet!L9,"AAAAAF//vx4=")</f>
        <v>1</v>
      </c>
      <c r="AF6" s="1">
        <f>IF(A_Gros_Islet!10:10,"AAAAAF//vx8=",0)</f>
        <v>0</v>
      </c>
      <c r="AG6" s="1" t="e">
        <f>AND(A_Gros_Islet!A10,"AAAAAF//vyA=")</f>
        <v>#VALUE!</v>
      </c>
      <c r="AH6" s="1" t="b">
        <f>AND(A_Gros_Islet!B10,"AAAAAF//vyE=")</f>
        <v>1</v>
      </c>
      <c r="AI6" s="1" t="b">
        <f>AND(A_Gros_Islet!C10,"AAAAAF//vyI=")</f>
        <v>1</v>
      </c>
      <c r="AJ6" s="1" t="b">
        <f>AND(A_Gros_Islet!D10,"AAAAAF//vyM=")</f>
        <v>1</v>
      </c>
      <c r="AK6" s="1" t="b">
        <f>AND(A_Gros_Islet!E10,"AAAAAF//vyQ=")</f>
        <v>1</v>
      </c>
      <c r="AL6" s="1" t="b">
        <f>AND(A_Gros_Islet!F10,"AAAAAF//vyU=")</f>
        <v>1</v>
      </c>
      <c r="AM6" s="1" t="b">
        <f>AND(A_Gros_Islet!G10,"AAAAAF//vyY=")</f>
        <v>1</v>
      </c>
      <c r="AN6" s="1" t="b">
        <f>AND(A_Gros_Islet!H10,"AAAAAF//vyc=")</f>
        <v>1</v>
      </c>
      <c r="AO6" s="1" t="e">
        <f>AND(A_Gros_Islet!#REF!,"AAAAAF//vyg=")</f>
        <v>#REF!</v>
      </c>
      <c r="AP6" s="1" t="e">
        <f>AND(A_Gros_Islet!#REF!,"AAAAAF//vyk=")</f>
        <v>#REF!</v>
      </c>
      <c r="AQ6" s="1" t="e">
        <f>AND(A_Gros_Islet!#REF!,"AAAAAF//vyo=")</f>
        <v>#REF!</v>
      </c>
      <c r="AR6" s="1" t="e">
        <f>AND(A_Gros_Islet!#REF!,"AAAAAF//vys=")</f>
        <v>#REF!</v>
      </c>
      <c r="AS6" s="1" t="b">
        <f>AND(A_Gros_Islet!I10,"AAAAAF//vyw=")</f>
        <v>1</v>
      </c>
      <c r="AT6" s="1" t="b">
        <f>AND(A_Gros_Islet!J10,"AAAAAF//vy0=")</f>
        <v>1</v>
      </c>
      <c r="AU6" s="1" t="b">
        <f>AND(A_Gros_Islet!K10,"AAAAAF//vy4=")</f>
        <v>1</v>
      </c>
      <c r="AV6" s="1" t="b">
        <f>AND(A_Gros_Islet!L10,"AAAAAF//vy8=")</f>
        <v>1</v>
      </c>
      <c r="AW6" s="1">
        <f>IF(A_Gros_Islet!11:11,"AAAAAF//vzA=",0)</f>
        <v>0</v>
      </c>
      <c r="AX6" s="1" t="e">
        <f>AND(A_Gros_Islet!A11,"AAAAAF//vzE=")</f>
        <v>#VALUE!</v>
      </c>
      <c r="AY6" s="1" t="b">
        <f>AND(A_Gros_Islet!B11,"AAAAAF//vzI=")</f>
        <v>1</v>
      </c>
      <c r="AZ6" s="1" t="b">
        <f>AND(A_Gros_Islet!C11,"AAAAAF//vzM=")</f>
        <v>1</v>
      </c>
      <c r="BA6" s="1" t="b">
        <f>AND(A_Gros_Islet!D11,"AAAAAF//vzQ=")</f>
        <v>1</v>
      </c>
      <c r="BB6" s="1" t="b">
        <f>AND(A_Gros_Islet!E11,"AAAAAF//vzU=")</f>
        <v>1</v>
      </c>
      <c r="BC6" s="1" t="b">
        <f>AND(A_Gros_Islet!F11,"AAAAAF//vzY=")</f>
        <v>1</v>
      </c>
      <c r="BD6" s="1" t="b">
        <f>AND(A_Gros_Islet!G11,"AAAAAF//vzc=")</f>
        <v>1</v>
      </c>
      <c r="BE6" s="1" t="b">
        <f>AND(A_Gros_Islet!H11,"AAAAAF//vzg=")</f>
        <v>1</v>
      </c>
      <c r="BF6" s="1" t="e">
        <f>AND(A_Gros_Islet!#REF!,"AAAAAF//vzk=")</f>
        <v>#REF!</v>
      </c>
      <c r="BG6" s="1" t="e">
        <f>AND(A_Gros_Islet!#REF!,"AAAAAF//vzo=")</f>
        <v>#REF!</v>
      </c>
      <c r="BH6" s="1" t="e">
        <f>AND(A_Gros_Islet!#REF!,"AAAAAF//vzs=")</f>
        <v>#REF!</v>
      </c>
      <c r="BI6" s="1" t="e">
        <f>AND(A_Gros_Islet!#REF!,"AAAAAF//vzw=")</f>
        <v>#REF!</v>
      </c>
      <c r="BJ6" s="1" t="b">
        <f>AND(A_Gros_Islet!I11,"AAAAAF//vz0=")</f>
        <v>1</v>
      </c>
      <c r="BK6" s="1" t="b">
        <f>AND(A_Gros_Islet!J11,"AAAAAF//vz4=")</f>
        <v>1</v>
      </c>
      <c r="BL6" s="1" t="b">
        <f>AND(A_Gros_Islet!K11,"AAAAAF//vz8=")</f>
        <v>1</v>
      </c>
      <c r="BM6" s="1" t="b">
        <f>AND(A_Gros_Islet!L11,"AAAAAF//v0A=")</f>
        <v>1</v>
      </c>
      <c r="BN6" s="1" t="e">
        <f>IF(A_Gros_Islet!#REF!,"AAAAAF//v0E=",0)</f>
        <v>#REF!</v>
      </c>
      <c r="BO6" s="1" t="e">
        <f>AND(A_Gros_Islet!#REF!,"AAAAAF//v0I=")</f>
        <v>#REF!</v>
      </c>
      <c r="BP6" s="1" t="e">
        <f>AND(A_Gros_Islet!#REF!,"AAAAAF//v0M=")</f>
        <v>#REF!</v>
      </c>
      <c r="BQ6" s="1" t="e">
        <f>AND(A_Gros_Islet!#REF!,"AAAAAF//v0Q=")</f>
        <v>#REF!</v>
      </c>
      <c r="BR6" s="1" t="e">
        <f>AND(A_Gros_Islet!#REF!,"AAAAAF//v0U=")</f>
        <v>#REF!</v>
      </c>
      <c r="BS6" s="1" t="e">
        <f>AND(A_Gros_Islet!#REF!,"AAAAAF//v0Y=")</f>
        <v>#REF!</v>
      </c>
      <c r="BT6" s="1" t="e">
        <f>AND(A_Gros_Islet!#REF!,"AAAAAF//v0c=")</f>
        <v>#REF!</v>
      </c>
      <c r="BU6" s="1" t="e">
        <f>AND(A_Gros_Islet!#REF!,"AAAAAF//v0g=")</f>
        <v>#REF!</v>
      </c>
      <c r="BV6" s="1" t="e">
        <f>AND(A_Gros_Islet!#REF!,"AAAAAF//v0k=")</f>
        <v>#REF!</v>
      </c>
      <c r="BW6" s="1" t="e">
        <f>AND(A_Gros_Islet!#REF!,"AAAAAF//v0o=")</f>
        <v>#REF!</v>
      </c>
      <c r="BX6" s="1" t="e">
        <f>AND(A_Gros_Islet!#REF!,"AAAAAF//v0s=")</f>
        <v>#REF!</v>
      </c>
      <c r="BY6" s="1" t="e">
        <f>AND(A_Gros_Islet!#REF!,"AAAAAF//v0w=")</f>
        <v>#REF!</v>
      </c>
      <c r="BZ6" s="1" t="e">
        <f>AND(A_Gros_Islet!#REF!,"AAAAAF//v00=")</f>
        <v>#REF!</v>
      </c>
      <c r="CA6" s="1" t="e">
        <f>AND(A_Gros_Islet!#REF!,"AAAAAF//v04=")</f>
        <v>#REF!</v>
      </c>
      <c r="CB6" s="1" t="e">
        <f>AND(A_Gros_Islet!#REF!,"AAAAAF//v08=")</f>
        <v>#REF!</v>
      </c>
      <c r="CC6" s="1" t="e">
        <f>AND(A_Gros_Islet!#REF!,"AAAAAF//v1A=")</f>
        <v>#REF!</v>
      </c>
      <c r="CD6" s="1" t="e">
        <f>AND(A_Gros_Islet!#REF!,"AAAAAF//v1E=")</f>
        <v>#REF!</v>
      </c>
      <c r="CE6" s="1" t="e">
        <f>IF(A_Gros_Islet!#REF!,"AAAAAF//v1I=",0)</f>
        <v>#REF!</v>
      </c>
      <c r="CF6" s="1" t="e">
        <f>AND(A_Gros_Islet!#REF!,"AAAAAF//v1M=")</f>
        <v>#REF!</v>
      </c>
      <c r="CG6" s="1" t="e">
        <f>AND(A_Gros_Islet!#REF!,"AAAAAF//v1Q=")</f>
        <v>#REF!</v>
      </c>
      <c r="CH6" s="1" t="e">
        <f>AND(A_Gros_Islet!#REF!,"AAAAAF//v1U=")</f>
        <v>#REF!</v>
      </c>
      <c r="CI6" s="1" t="e">
        <f>AND(A_Gros_Islet!#REF!,"AAAAAF//v1Y=")</f>
        <v>#REF!</v>
      </c>
      <c r="CJ6" s="1" t="e">
        <f>AND(A_Gros_Islet!#REF!,"AAAAAF//v1c=")</f>
        <v>#REF!</v>
      </c>
      <c r="CK6" s="1" t="e">
        <f>AND(A_Gros_Islet!#REF!,"AAAAAF//v1g=")</f>
        <v>#REF!</v>
      </c>
      <c r="CL6" s="1" t="e">
        <f>AND(A_Gros_Islet!#REF!,"AAAAAF//v1k=")</f>
        <v>#REF!</v>
      </c>
      <c r="CM6" s="1" t="e">
        <f>AND(A_Gros_Islet!#REF!,"AAAAAF//v1o=")</f>
        <v>#REF!</v>
      </c>
      <c r="CN6" s="1" t="e">
        <f>AND(A_Gros_Islet!#REF!,"AAAAAF//v1s=")</f>
        <v>#REF!</v>
      </c>
      <c r="CO6" s="1" t="e">
        <f>AND(A_Gros_Islet!#REF!,"AAAAAF//v1w=")</f>
        <v>#REF!</v>
      </c>
      <c r="CP6" s="1" t="e">
        <f>AND(A_Gros_Islet!#REF!,"AAAAAF//v10=")</f>
        <v>#REF!</v>
      </c>
      <c r="CQ6" s="1" t="e">
        <f>AND(A_Gros_Islet!#REF!,"AAAAAF//v14=")</f>
        <v>#REF!</v>
      </c>
      <c r="CR6" s="1" t="e">
        <f>AND(A_Gros_Islet!#REF!,"AAAAAF//v18=")</f>
        <v>#REF!</v>
      </c>
      <c r="CS6" s="1" t="e">
        <f>AND(A_Gros_Islet!#REF!,"AAAAAF//v2A=")</f>
        <v>#REF!</v>
      </c>
      <c r="CT6" s="1" t="e">
        <f>AND(A_Gros_Islet!#REF!,"AAAAAF//v2E=")</f>
        <v>#REF!</v>
      </c>
      <c r="CU6" s="1" t="e">
        <f>AND(A_Gros_Islet!#REF!,"AAAAAF//v2I=")</f>
        <v>#REF!</v>
      </c>
      <c r="CV6" s="1" t="e">
        <f>IF(A_Gros_Islet!#REF!,"AAAAAF//v2M=",0)</f>
        <v>#REF!</v>
      </c>
      <c r="CW6" s="1" t="e">
        <f>AND(A_Gros_Islet!#REF!,"AAAAAF//v2Q=")</f>
        <v>#REF!</v>
      </c>
      <c r="CX6" s="1" t="e">
        <f>AND(A_Gros_Islet!#REF!,"AAAAAF//v2U=")</f>
        <v>#REF!</v>
      </c>
      <c r="CY6" s="1" t="e">
        <f>AND(A_Gros_Islet!#REF!,"AAAAAF//v2Y=")</f>
        <v>#REF!</v>
      </c>
      <c r="CZ6" s="1" t="e">
        <f>AND(A_Gros_Islet!#REF!,"AAAAAF//v2c=")</f>
        <v>#REF!</v>
      </c>
      <c r="DA6" s="1" t="e">
        <f>AND(A_Gros_Islet!#REF!,"AAAAAF//v2g=")</f>
        <v>#REF!</v>
      </c>
      <c r="DB6" s="1" t="e">
        <f>AND(A_Gros_Islet!#REF!,"AAAAAF//v2k=")</f>
        <v>#REF!</v>
      </c>
      <c r="DC6" s="1" t="e">
        <f>AND(A_Gros_Islet!#REF!,"AAAAAF//v2o=")</f>
        <v>#REF!</v>
      </c>
      <c r="DD6" s="1" t="e">
        <f>AND(A_Gros_Islet!#REF!,"AAAAAF//v2s=")</f>
        <v>#REF!</v>
      </c>
      <c r="DE6" s="1" t="e">
        <f>AND(A_Gros_Islet!#REF!,"AAAAAF//v2w=")</f>
        <v>#REF!</v>
      </c>
      <c r="DF6" s="1" t="e">
        <f>AND(A_Gros_Islet!#REF!,"AAAAAF//v20=")</f>
        <v>#REF!</v>
      </c>
      <c r="DG6" s="1" t="e">
        <f>AND(A_Gros_Islet!#REF!,"AAAAAF//v24=")</f>
        <v>#REF!</v>
      </c>
      <c r="DH6" s="1" t="e">
        <f>AND(A_Gros_Islet!#REF!,"AAAAAF//v28=")</f>
        <v>#REF!</v>
      </c>
      <c r="DI6" s="1" t="e">
        <f>AND(A_Gros_Islet!#REF!,"AAAAAF//v3A=")</f>
        <v>#REF!</v>
      </c>
      <c r="DJ6" s="1" t="e">
        <f>AND(A_Gros_Islet!#REF!,"AAAAAF//v3E=")</f>
        <v>#REF!</v>
      </c>
      <c r="DK6" s="1" t="e">
        <f>AND(A_Gros_Islet!#REF!,"AAAAAF//v3I=")</f>
        <v>#REF!</v>
      </c>
      <c r="DL6" s="1" t="e">
        <f>AND(A_Gros_Islet!#REF!,"AAAAAF//v3M=")</f>
        <v>#REF!</v>
      </c>
      <c r="DM6" s="1" t="e">
        <f>IF(A_Gros_Islet!#REF!,"AAAAAF//v3Q=",0)</f>
        <v>#REF!</v>
      </c>
      <c r="DN6" s="1" t="e">
        <f>AND(A_Gros_Islet!#REF!,"AAAAAF//v3U=")</f>
        <v>#REF!</v>
      </c>
      <c r="DO6" s="1" t="e">
        <f>AND(A_Gros_Islet!#REF!,"AAAAAF//v3Y=")</f>
        <v>#REF!</v>
      </c>
      <c r="DP6" s="1" t="e">
        <f>AND(A_Gros_Islet!#REF!,"AAAAAF//v3c=")</f>
        <v>#REF!</v>
      </c>
      <c r="DQ6" s="1" t="e">
        <f>AND(A_Gros_Islet!#REF!,"AAAAAF//v3g=")</f>
        <v>#REF!</v>
      </c>
      <c r="DR6" s="1" t="e">
        <f>AND(A_Gros_Islet!#REF!,"AAAAAF//v3k=")</f>
        <v>#REF!</v>
      </c>
      <c r="DS6" s="1" t="e">
        <f>AND(A_Gros_Islet!#REF!,"AAAAAF//v3o=")</f>
        <v>#REF!</v>
      </c>
      <c r="DT6" s="1" t="e">
        <f>AND(A_Gros_Islet!#REF!,"AAAAAF//v3s=")</f>
        <v>#REF!</v>
      </c>
      <c r="DU6" s="1" t="e">
        <f>AND(A_Gros_Islet!#REF!,"AAAAAF//v3w=")</f>
        <v>#REF!</v>
      </c>
      <c r="DV6" s="1" t="e">
        <f>AND(A_Gros_Islet!#REF!,"AAAAAF//v30=")</f>
        <v>#REF!</v>
      </c>
      <c r="DW6" s="1" t="e">
        <f>AND(A_Gros_Islet!#REF!,"AAAAAF//v34=")</f>
        <v>#REF!</v>
      </c>
      <c r="DX6" s="1" t="e">
        <f>AND(A_Gros_Islet!#REF!,"AAAAAF//v38=")</f>
        <v>#REF!</v>
      </c>
      <c r="DY6" s="1" t="e">
        <f>AND(A_Gros_Islet!#REF!,"AAAAAF//v4A=")</f>
        <v>#REF!</v>
      </c>
      <c r="DZ6" s="1" t="e">
        <f>AND(A_Gros_Islet!#REF!,"AAAAAF//v4E=")</f>
        <v>#REF!</v>
      </c>
      <c r="EA6" s="1" t="e">
        <f>AND(A_Gros_Islet!#REF!,"AAAAAF//v4I=")</f>
        <v>#REF!</v>
      </c>
      <c r="EB6" s="1" t="e">
        <f>AND(A_Gros_Islet!#REF!,"AAAAAF//v4M=")</f>
        <v>#REF!</v>
      </c>
      <c r="EC6" s="1" t="e">
        <f>AND(A_Gros_Islet!#REF!,"AAAAAF//v4Q=")</f>
        <v>#REF!</v>
      </c>
      <c r="ED6" s="1">
        <f>IF(A_Gros_Islet!12:12,"AAAAAF//v4U=",0)</f>
        <v>0</v>
      </c>
      <c r="EE6" s="1" t="e">
        <f>AND(A_Gros_Islet!A12,"AAAAAF//v4Y=")</f>
        <v>#VALUE!</v>
      </c>
      <c r="EF6" s="1" t="b">
        <f>AND(A_Gros_Islet!B12,"AAAAAF//v4c=")</f>
        <v>1</v>
      </c>
      <c r="EG6" s="1" t="b">
        <f>AND(A_Gros_Islet!C12,"AAAAAF//v4g=")</f>
        <v>1</v>
      </c>
      <c r="EH6" s="1" t="b">
        <f>AND(A_Gros_Islet!D12,"AAAAAF//v4k=")</f>
        <v>1</v>
      </c>
      <c r="EI6" s="1" t="b">
        <f>AND(A_Gros_Islet!E12,"AAAAAF//v4o=")</f>
        <v>1</v>
      </c>
      <c r="EJ6" s="1" t="b">
        <f>AND(A_Gros_Islet!F12,"AAAAAF//v4s=")</f>
        <v>1</v>
      </c>
      <c r="EK6" s="1" t="b">
        <f>AND(A_Gros_Islet!G12,"AAAAAF//v4w=")</f>
        <v>1</v>
      </c>
      <c r="EL6" s="1" t="b">
        <f>AND(A_Gros_Islet!H12,"AAAAAF//v40=")</f>
        <v>1</v>
      </c>
      <c r="EM6" s="1" t="e">
        <f>AND(A_Gros_Islet!#REF!,"AAAAAF//v44=")</f>
        <v>#REF!</v>
      </c>
      <c r="EN6" s="1" t="e">
        <f>AND(A_Gros_Islet!#REF!,"AAAAAF//v48=")</f>
        <v>#REF!</v>
      </c>
      <c r="EO6" s="1" t="e">
        <f>AND(A_Gros_Islet!#REF!,"AAAAAF//v5A=")</f>
        <v>#REF!</v>
      </c>
      <c r="EP6" s="1" t="e">
        <f>AND(A_Gros_Islet!#REF!,"AAAAAF//v5E=")</f>
        <v>#REF!</v>
      </c>
      <c r="EQ6" s="1" t="b">
        <f>AND(A_Gros_Islet!I12,"AAAAAF//v5I=")</f>
        <v>1</v>
      </c>
      <c r="ER6" s="1" t="b">
        <f>AND(A_Gros_Islet!J12,"AAAAAF//v5M=")</f>
        <v>1</v>
      </c>
      <c r="ES6" s="1" t="b">
        <f>AND(A_Gros_Islet!K12,"AAAAAF//v5Q=")</f>
        <v>1</v>
      </c>
      <c r="ET6" s="1" t="b">
        <f>AND(A_Gros_Islet!L12,"AAAAAF//v5U=")</f>
        <v>1</v>
      </c>
      <c r="EU6" s="1">
        <f>IF(A_Gros_Islet!13:13,"AAAAAF//v5Y=",0)</f>
        <v>0</v>
      </c>
      <c r="EV6" s="1" t="e">
        <f>AND(A_Gros_Islet!A13,"AAAAAF//v5c=")</f>
        <v>#VALUE!</v>
      </c>
      <c r="EW6" s="1" t="b">
        <f>AND(A_Gros_Islet!B13,"AAAAAF//v5g=")</f>
        <v>1</v>
      </c>
      <c r="EX6" s="1" t="b">
        <f>AND(A_Gros_Islet!C13,"AAAAAF//v5k=")</f>
        <v>1</v>
      </c>
      <c r="EY6" s="1" t="b">
        <f>AND(A_Gros_Islet!D13,"AAAAAF//v5o=")</f>
        <v>1</v>
      </c>
      <c r="EZ6" s="1" t="b">
        <f>AND(A_Gros_Islet!E13,"AAAAAF//v5s=")</f>
        <v>1</v>
      </c>
      <c r="FA6" s="1" t="b">
        <f>AND(A_Gros_Islet!F13,"AAAAAF//v5w=")</f>
        <v>1</v>
      </c>
      <c r="FB6" s="1" t="b">
        <f>AND(A_Gros_Islet!G13,"AAAAAF//v50=")</f>
        <v>1</v>
      </c>
      <c r="FC6" s="1" t="b">
        <f>AND(A_Gros_Islet!H13,"AAAAAF//v54=")</f>
        <v>1</v>
      </c>
      <c r="FD6" s="1" t="e">
        <f>AND(A_Gros_Islet!#REF!,"AAAAAF//v58=")</f>
        <v>#REF!</v>
      </c>
      <c r="FE6" s="1" t="e">
        <f>AND(A_Gros_Islet!#REF!,"AAAAAF//v6A=")</f>
        <v>#REF!</v>
      </c>
      <c r="FF6" s="1" t="e">
        <f>AND(A_Gros_Islet!#REF!,"AAAAAF//v6E=")</f>
        <v>#REF!</v>
      </c>
      <c r="FG6" s="1" t="e">
        <f>AND(A_Gros_Islet!#REF!,"AAAAAF//v6I=")</f>
        <v>#REF!</v>
      </c>
      <c r="FH6" s="1" t="b">
        <f>AND(A_Gros_Islet!I13,"AAAAAF//v6M=")</f>
        <v>1</v>
      </c>
      <c r="FI6" s="1" t="b">
        <f>AND(A_Gros_Islet!J13,"AAAAAF//v6Q=")</f>
        <v>1</v>
      </c>
      <c r="FJ6" s="1" t="b">
        <f>AND(A_Gros_Islet!K13,"AAAAAF//v6U=")</f>
        <v>1</v>
      </c>
      <c r="FK6" s="1" t="b">
        <f>AND(A_Gros_Islet!L13,"AAAAAF//v6Y=")</f>
        <v>1</v>
      </c>
      <c r="FL6" s="1">
        <f>IF(A_Gros_Islet!15:15,"AAAAAF//v6c=",0)</f>
        <v>0</v>
      </c>
      <c r="FM6" s="1" t="e">
        <f>AND(A_Gros_Islet!A15,"AAAAAF//v6g=")</f>
        <v>#VALUE!</v>
      </c>
      <c r="FN6" s="1" t="e">
        <f>AND(A_Gros_Islet!B15,"AAAAAF//v6k=")</f>
        <v>#VALUE!</v>
      </c>
      <c r="FO6" s="1" t="e">
        <f>AND(A_Gros_Islet!C15,"AAAAAF//v6o=")</f>
        <v>#VALUE!</v>
      </c>
      <c r="FP6" s="1" t="e">
        <f>AND(A_Gros_Islet!D15,"AAAAAF//v6s=")</f>
        <v>#VALUE!</v>
      </c>
      <c r="FQ6" s="1" t="e">
        <f>AND(A_Gros_Islet!E15,"AAAAAF//v6w=")</f>
        <v>#VALUE!</v>
      </c>
      <c r="FR6" s="1" t="e">
        <f>AND(A_Gros_Islet!F15,"AAAAAF//v60=")</f>
        <v>#VALUE!</v>
      </c>
      <c r="FS6" s="1" t="e">
        <f>AND(A_Gros_Islet!G15,"AAAAAF//v64=")</f>
        <v>#VALUE!</v>
      </c>
      <c r="FT6" s="1" t="e">
        <f>AND(A_Gros_Islet!H15,"AAAAAF//v68=")</f>
        <v>#VALUE!</v>
      </c>
      <c r="FU6" s="1" t="e">
        <f>AND(A_Gros_Islet!#REF!,"AAAAAF//v7A=")</f>
        <v>#REF!</v>
      </c>
      <c r="FV6" s="1" t="e">
        <f>AND(A_Gros_Islet!#REF!,"AAAAAF//v7E=")</f>
        <v>#REF!</v>
      </c>
      <c r="FW6" s="1" t="e">
        <f>AND(A_Gros_Islet!#REF!,"AAAAAF//v7I=")</f>
        <v>#REF!</v>
      </c>
      <c r="FX6" s="1" t="e">
        <f>AND(A_Gros_Islet!#REF!,"AAAAAF//v7M=")</f>
        <v>#REF!</v>
      </c>
      <c r="FY6" s="1" t="e">
        <f>AND(A_Gros_Islet!I15,"AAAAAF//v7Q=")</f>
        <v>#VALUE!</v>
      </c>
      <c r="FZ6" s="1" t="e">
        <f>AND(A_Gros_Islet!J15,"AAAAAF//v7U=")</f>
        <v>#VALUE!</v>
      </c>
      <c r="GA6" s="1" t="e">
        <f>AND(A_Gros_Islet!K15,"AAAAAF//v7Y=")</f>
        <v>#VALUE!</v>
      </c>
      <c r="GB6" s="1" t="e">
        <f>AND(A_Gros_Islet!L15,"AAAAAF//v7c=")</f>
        <v>#VALUE!</v>
      </c>
      <c r="GC6" s="1">
        <f>IF(A_Gros_Islet!16:16,"AAAAAF//v7g=",0)</f>
        <v>0</v>
      </c>
      <c r="GD6" s="1" t="e">
        <f>AND(A_Gros_Islet!A16,"AAAAAF//v7k=")</f>
        <v>#VALUE!</v>
      </c>
      <c r="GE6" s="1" t="b">
        <f>AND(A_Gros_Islet!B16,"AAAAAF//v7o=")</f>
        <v>1</v>
      </c>
      <c r="GF6" s="1" t="b">
        <f>AND(A_Gros_Islet!C16,"AAAAAF//v7s=")</f>
        <v>1</v>
      </c>
      <c r="GG6" s="1" t="b">
        <f>AND(A_Gros_Islet!D16,"AAAAAF//v7w=")</f>
        <v>1</v>
      </c>
      <c r="GH6" s="1" t="b">
        <f>AND(A_Gros_Islet!E16,"AAAAAF//v70=")</f>
        <v>1</v>
      </c>
      <c r="GI6" s="1" t="b">
        <f>AND(A_Gros_Islet!F16,"AAAAAF//v74=")</f>
        <v>1</v>
      </c>
      <c r="GJ6" s="1" t="b">
        <f>AND(A_Gros_Islet!G16,"AAAAAF//v78=")</f>
        <v>1</v>
      </c>
      <c r="GK6" s="1" t="b">
        <f>AND(A_Gros_Islet!H16,"AAAAAF//v8A=")</f>
        <v>1</v>
      </c>
      <c r="GL6" s="1" t="e">
        <f>AND(A_Gros_Islet!#REF!,"AAAAAF//v8E=")</f>
        <v>#REF!</v>
      </c>
      <c r="GM6" s="1" t="e">
        <f>AND(A_Gros_Islet!#REF!,"AAAAAF//v8I=")</f>
        <v>#REF!</v>
      </c>
      <c r="GN6" s="1" t="e">
        <f>AND(A_Gros_Islet!#REF!,"AAAAAF//v8M=")</f>
        <v>#REF!</v>
      </c>
      <c r="GO6" s="1" t="e">
        <f>AND(A_Gros_Islet!#REF!,"AAAAAF//v8Q=")</f>
        <v>#REF!</v>
      </c>
      <c r="GP6" s="1" t="b">
        <f>AND(A_Gros_Islet!I16,"AAAAAF//v8U=")</f>
        <v>1</v>
      </c>
      <c r="GQ6" s="1" t="b">
        <f>AND(A_Gros_Islet!J16,"AAAAAF//v8Y=")</f>
        <v>1</v>
      </c>
      <c r="GR6" s="1" t="b">
        <f>AND(A_Gros_Islet!K16,"AAAAAF//v8c=")</f>
        <v>1</v>
      </c>
      <c r="GS6" s="1" t="b">
        <f>AND(A_Gros_Islet!L16,"AAAAAF//v8g=")</f>
        <v>1</v>
      </c>
      <c r="GT6" s="1">
        <f>IF(A_Gros_Islet!17:17,"AAAAAF//v8k=",0)</f>
        <v>0</v>
      </c>
      <c r="GU6" s="1" t="e">
        <f>AND(A_Gros_Islet!A17,"AAAAAF//v8o=")</f>
        <v>#VALUE!</v>
      </c>
      <c r="GV6" s="1" t="b">
        <f>AND(A_Gros_Islet!B17,"AAAAAF//v8s=")</f>
        <v>1</v>
      </c>
      <c r="GW6" s="1" t="b">
        <f>AND(A_Gros_Islet!C17,"AAAAAF//v8w=")</f>
        <v>1</v>
      </c>
      <c r="GX6" s="1" t="b">
        <f>AND(A_Gros_Islet!D17,"AAAAAF//v80=")</f>
        <v>1</v>
      </c>
      <c r="GY6" s="1" t="b">
        <f>AND(A_Gros_Islet!E17,"AAAAAF//v84=")</f>
        <v>1</v>
      </c>
      <c r="GZ6" s="1" t="b">
        <f>AND(A_Gros_Islet!F17,"AAAAAF//v88=")</f>
        <v>1</v>
      </c>
      <c r="HA6" s="1" t="b">
        <f>AND(A_Gros_Islet!G17,"AAAAAF//v9A=")</f>
        <v>1</v>
      </c>
      <c r="HB6" s="1" t="b">
        <f>AND(A_Gros_Islet!H17,"AAAAAF//v9E=")</f>
        <v>1</v>
      </c>
      <c r="HC6" s="1" t="e">
        <f>AND(A_Gros_Islet!#REF!,"AAAAAF//v9I=")</f>
        <v>#REF!</v>
      </c>
      <c r="HD6" s="1" t="e">
        <f>AND(A_Gros_Islet!#REF!,"AAAAAF//v9M=")</f>
        <v>#REF!</v>
      </c>
      <c r="HE6" s="1" t="e">
        <f>AND(A_Gros_Islet!#REF!,"AAAAAF//v9Q=")</f>
        <v>#REF!</v>
      </c>
      <c r="HF6" s="1" t="e">
        <f>AND(A_Gros_Islet!#REF!,"AAAAAF//v9U=")</f>
        <v>#REF!</v>
      </c>
      <c r="HG6" s="1" t="b">
        <f>AND(A_Gros_Islet!I17,"AAAAAF//v9Y=")</f>
        <v>1</v>
      </c>
      <c r="HH6" s="1" t="b">
        <f>AND(A_Gros_Islet!J17,"AAAAAF//v9c=")</f>
        <v>1</v>
      </c>
      <c r="HI6" s="1" t="b">
        <f>AND(A_Gros_Islet!K17,"AAAAAF//v9g=")</f>
        <v>1</v>
      </c>
      <c r="HJ6" s="1" t="b">
        <f>AND(A_Gros_Islet!L17,"AAAAAF//v9k=")</f>
        <v>1</v>
      </c>
      <c r="HK6" s="1">
        <f>IF(A_Gros_Islet!18:18,"AAAAAF//v9o=",0)</f>
        <v>0</v>
      </c>
      <c r="HL6" s="1" t="e">
        <f>AND(A_Gros_Islet!A18,"AAAAAF//v9s=")</f>
        <v>#VALUE!</v>
      </c>
      <c r="HM6" s="1" t="b">
        <f>AND(A_Gros_Islet!B18,"AAAAAF//v9w=")</f>
        <v>1</v>
      </c>
      <c r="HN6" s="1" t="b">
        <f>AND(A_Gros_Islet!C18,"AAAAAF//v90=")</f>
        <v>1</v>
      </c>
      <c r="HO6" s="1" t="b">
        <f>AND(A_Gros_Islet!D18,"AAAAAF//v94=")</f>
        <v>1</v>
      </c>
      <c r="HP6" s="1" t="b">
        <f>AND(A_Gros_Islet!E18,"AAAAAF//v98=")</f>
        <v>1</v>
      </c>
      <c r="HQ6" s="1" t="b">
        <f>AND(A_Gros_Islet!F18,"AAAAAF//v+A=")</f>
        <v>1</v>
      </c>
      <c r="HR6" s="1" t="b">
        <f>AND(A_Gros_Islet!G18,"AAAAAF//v+E=")</f>
        <v>1</v>
      </c>
      <c r="HS6" s="1" t="b">
        <f>AND(A_Gros_Islet!H18,"AAAAAF//v+I=")</f>
        <v>1</v>
      </c>
      <c r="HT6" s="1" t="e">
        <f>AND(A_Gros_Islet!#REF!,"AAAAAF//v+M=")</f>
        <v>#REF!</v>
      </c>
      <c r="HU6" s="1" t="e">
        <f>AND(A_Gros_Islet!#REF!,"AAAAAF//v+Q=")</f>
        <v>#REF!</v>
      </c>
      <c r="HV6" s="1" t="e">
        <f>AND(A_Gros_Islet!#REF!,"AAAAAF//v+U=")</f>
        <v>#REF!</v>
      </c>
      <c r="HW6" s="1" t="e">
        <f>AND(A_Gros_Islet!#REF!,"AAAAAF//v+Y=")</f>
        <v>#REF!</v>
      </c>
      <c r="HX6" s="1" t="b">
        <f>AND(A_Gros_Islet!I18,"AAAAAF//v+c=")</f>
        <v>0</v>
      </c>
      <c r="HY6" s="1" t="b">
        <f>AND(A_Gros_Islet!J18,"AAAAAF//v+g=")</f>
        <v>0</v>
      </c>
      <c r="HZ6" s="1" t="b">
        <f>AND(A_Gros_Islet!K18,"AAAAAF//v+k=")</f>
        <v>1</v>
      </c>
      <c r="IA6" s="1" t="b">
        <f>AND(A_Gros_Islet!L18,"AAAAAF//v+o=")</f>
        <v>1</v>
      </c>
      <c r="IB6" s="1">
        <f>IF(A_Gros_Islet!19:19,"AAAAAF//v+s=",0)</f>
        <v>0</v>
      </c>
      <c r="IC6" s="1" t="e">
        <f>AND(A_Gros_Islet!A19,"AAAAAF//v+w=")</f>
        <v>#VALUE!</v>
      </c>
      <c r="ID6" s="1" t="b">
        <f>AND(A_Gros_Islet!B19,"AAAAAF//v+0=")</f>
        <v>1</v>
      </c>
      <c r="IE6" s="1" t="b">
        <f>AND(A_Gros_Islet!C19,"AAAAAF//v+4=")</f>
        <v>1</v>
      </c>
      <c r="IF6" s="1" t="b">
        <f>AND(A_Gros_Islet!D19,"AAAAAF//v+8=")</f>
        <v>1</v>
      </c>
      <c r="IG6" s="1" t="b">
        <f>AND(A_Gros_Islet!E19,"AAAAAF//v/A=")</f>
        <v>1</v>
      </c>
      <c r="IH6" s="1" t="b">
        <f>AND(A_Gros_Islet!F19,"AAAAAF//v/E=")</f>
        <v>1</v>
      </c>
      <c r="II6" s="1" t="b">
        <f>AND(A_Gros_Islet!G19,"AAAAAF//v/I=")</f>
        <v>1</v>
      </c>
      <c r="IJ6" s="1" t="b">
        <f>AND(A_Gros_Islet!H19,"AAAAAF//v/M=")</f>
        <v>1</v>
      </c>
      <c r="IK6" s="1" t="e">
        <f>AND(A_Gros_Islet!#REF!,"AAAAAF//v/Q=")</f>
        <v>#REF!</v>
      </c>
      <c r="IL6" s="1" t="e">
        <f>AND(A_Gros_Islet!#REF!,"AAAAAF//v/U=")</f>
        <v>#REF!</v>
      </c>
      <c r="IM6" s="1" t="e">
        <f>AND(A_Gros_Islet!#REF!,"AAAAAF//v/Y=")</f>
        <v>#REF!</v>
      </c>
      <c r="IN6" s="1" t="e">
        <f>AND(A_Gros_Islet!#REF!,"AAAAAF//v/c=")</f>
        <v>#REF!</v>
      </c>
      <c r="IO6" s="1" t="b">
        <f>AND(A_Gros_Islet!I19,"AAAAAF//v/g=")</f>
        <v>1</v>
      </c>
      <c r="IP6" s="1" t="b">
        <f>AND(A_Gros_Islet!J19,"AAAAAF//v/k=")</f>
        <v>1</v>
      </c>
      <c r="IQ6" s="1" t="b">
        <f>AND(A_Gros_Islet!K19,"AAAAAF//v/o=")</f>
        <v>1</v>
      </c>
      <c r="IR6" s="1" t="b">
        <f>AND(A_Gros_Islet!L19,"AAAAAF//v/s=")</f>
        <v>1</v>
      </c>
      <c r="IS6" s="1">
        <f>IF(A_Gros_Islet!20:20,"AAAAAF//v/w=",0)</f>
        <v>0</v>
      </c>
      <c r="IT6" s="1" t="e">
        <f>AND(A_Gros_Islet!A20,"AAAAAF//v/0=")</f>
        <v>#VALUE!</v>
      </c>
      <c r="IU6" s="1" t="b">
        <f>AND(A_Gros_Islet!B20,"AAAAAF//v/4=")</f>
        <v>1</v>
      </c>
      <c r="IV6" s="1" t="b">
        <f>AND(A_Gros_Islet!C20,"AAAAAF//v/8=")</f>
        <v>1</v>
      </c>
    </row>
    <row r="7" spans="1:256" ht="12" customHeight="1" x14ac:dyDescent="0.2">
      <c r="A7" s="1" t="b">
        <f>AND(A_Gros_Islet!D20,"AAAAADyW/QA=")</f>
        <v>1</v>
      </c>
      <c r="B7" s="1" t="b">
        <f>AND(A_Gros_Islet!E20,"AAAAADyW/QE=")</f>
        <v>1</v>
      </c>
      <c r="C7" s="1" t="b">
        <f>AND(A_Gros_Islet!F20,"AAAAADyW/QI=")</f>
        <v>1</v>
      </c>
      <c r="D7" s="1" t="b">
        <f>AND(A_Gros_Islet!G20,"AAAAADyW/QM=")</f>
        <v>1</v>
      </c>
      <c r="E7" s="1" t="b">
        <f>AND(A_Gros_Islet!H20,"AAAAADyW/QQ=")</f>
        <v>1</v>
      </c>
      <c r="F7" s="1" t="e">
        <f>AND(A_Gros_Islet!#REF!,"AAAAADyW/QU=")</f>
        <v>#REF!</v>
      </c>
      <c r="G7" s="1" t="e">
        <f>AND(A_Gros_Islet!#REF!,"AAAAADyW/QY=")</f>
        <v>#REF!</v>
      </c>
      <c r="H7" s="1" t="e">
        <f>AND(A_Gros_Islet!#REF!,"AAAAADyW/Qc=")</f>
        <v>#REF!</v>
      </c>
      <c r="I7" s="1" t="e">
        <f>AND(A_Gros_Islet!#REF!,"AAAAADyW/Qg=")</f>
        <v>#REF!</v>
      </c>
      <c r="J7" s="1" t="b">
        <f>AND(A_Gros_Islet!I20,"AAAAADyW/Qk=")</f>
        <v>1</v>
      </c>
      <c r="K7" s="1" t="b">
        <f>AND(A_Gros_Islet!J20,"AAAAADyW/Qo=")</f>
        <v>1</v>
      </c>
      <c r="L7" s="1" t="b">
        <f>AND(A_Gros_Islet!K20,"AAAAADyW/Qs=")</f>
        <v>1</v>
      </c>
      <c r="M7" s="1" t="b">
        <f>AND(A_Gros_Islet!L20,"AAAAADyW/Qw=")</f>
        <v>1</v>
      </c>
      <c r="N7" s="1" t="str">
        <f>IF(A_Gros_Islet!21:21,"AAAAADyW/Q0=",0)</f>
        <v>AAAAADyW/Q0=</v>
      </c>
      <c r="O7" s="1" t="e">
        <f>AND(A_Gros_Islet!A21,"AAAAADyW/Q4=")</f>
        <v>#VALUE!</v>
      </c>
      <c r="P7" s="1" t="b">
        <f>AND(A_Gros_Islet!B21,"AAAAADyW/Q8=")</f>
        <v>1</v>
      </c>
      <c r="Q7" s="1" t="b">
        <f>AND(A_Gros_Islet!C21,"AAAAADyW/RA=")</f>
        <v>1</v>
      </c>
      <c r="R7" s="1" t="b">
        <f>AND(A_Gros_Islet!D21,"AAAAADyW/RE=")</f>
        <v>1</v>
      </c>
      <c r="S7" s="1" t="b">
        <f>AND(A_Gros_Islet!E21,"AAAAADyW/RI=")</f>
        <v>1</v>
      </c>
      <c r="T7" s="1" t="b">
        <f>AND(A_Gros_Islet!F21,"AAAAADyW/RM=")</f>
        <v>1</v>
      </c>
      <c r="U7" s="1" t="b">
        <f>AND(A_Gros_Islet!G21,"AAAAADyW/RQ=")</f>
        <v>1</v>
      </c>
      <c r="V7" s="1" t="b">
        <f>AND(A_Gros_Islet!H21,"AAAAADyW/RU=")</f>
        <v>1</v>
      </c>
      <c r="W7" s="1" t="e">
        <f>AND(A_Gros_Islet!#REF!,"AAAAADyW/RY=")</f>
        <v>#REF!</v>
      </c>
      <c r="X7" s="1" t="e">
        <f>AND(A_Gros_Islet!#REF!,"AAAAADyW/Rc=")</f>
        <v>#REF!</v>
      </c>
      <c r="Y7" s="1" t="e">
        <f>AND(A_Gros_Islet!#REF!,"AAAAADyW/Rg=")</f>
        <v>#REF!</v>
      </c>
      <c r="Z7" s="1" t="e">
        <f>AND(A_Gros_Islet!#REF!,"AAAAADyW/Rk=")</f>
        <v>#REF!</v>
      </c>
      <c r="AA7" s="1" t="b">
        <f>AND(A_Gros_Islet!I21,"AAAAADyW/Ro=")</f>
        <v>1</v>
      </c>
      <c r="AB7" s="1" t="b">
        <f>AND(A_Gros_Islet!J21,"AAAAADyW/Rs=")</f>
        <v>1</v>
      </c>
      <c r="AC7" s="1" t="b">
        <f>AND(A_Gros_Islet!K21,"AAAAADyW/Rw=")</f>
        <v>1</v>
      </c>
      <c r="AD7" s="1" t="b">
        <f>AND(A_Gros_Islet!L21,"AAAAADyW/R0=")</f>
        <v>1</v>
      </c>
      <c r="AE7" s="1">
        <f>IF(A_Gros_Islet!22:22,"AAAAADyW/R4=",0)</f>
        <v>0</v>
      </c>
      <c r="AF7" s="1" t="e">
        <f>AND(A_Gros_Islet!A22,"AAAAADyW/R8=")</f>
        <v>#VALUE!</v>
      </c>
      <c r="AG7" s="1" t="b">
        <f>AND(A_Gros_Islet!B22,"AAAAADyW/SA=")</f>
        <v>1</v>
      </c>
      <c r="AH7" s="1" t="b">
        <f>AND(A_Gros_Islet!C22,"AAAAADyW/SE=")</f>
        <v>1</v>
      </c>
      <c r="AI7" s="1" t="b">
        <f>AND(A_Gros_Islet!D22,"AAAAADyW/SI=")</f>
        <v>1</v>
      </c>
      <c r="AJ7" s="1" t="b">
        <f>AND(A_Gros_Islet!E22,"AAAAADyW/SM=")</f>
        <v>1</v>
      </c>
      <c r="AK7" s="1" t="b">
        <f>AND(A_Gros_Islet!F22,"AAAAADyW/SQ=")</f>
        <v>1</v>
      </c>
      <c r="AL7" s="1" t="b">
        <f>AND(A_Gros_Islet!G22,"AAAAADyW/SU=")</f>
        <v>1</v>
      </c>
      <c r="AM7" s="1" t="b">
        <f>AND(A_Gros_Islet!H22,"AAAAADyW/SY=")</f>
        <v>1</v>
      </c>
      <c r="AN7" s="1" t="e">
        <f>AND(A_Gros_Islet!#REF!,"AAAAADyW/Sc=")</f>
        <v>#REF!</v>
      </c>
      <c r="AO7" s="1" t="e">
        <f>AND(A_Gros_Islet!#REF!,"AAAAADyW/Sg=")</f>
        <v>#REF!</v>
      </c>
      <c r="AP7" s="1" t="e">
        <f>AND(A_Gros_Islet!#REF!,"AAAAADyW/Sk=")</f>
        <v>#REF!</v>
      </c>
      <c r="AQ7" s="1" t="e">
        <f>AND(A_Gros_Islet!#REF!,"AAAAADyW/So=")</f>
        <v>#REF!</v>
      </c>
      <c r="AR7" s="1" t="b">
        <f>AND(A_Gros_Islet!I22,"AAAAADyW/Ss=")</f>
        <v>1</v>
      </c>
      <c r="AS7" s="1" t="b">
        <f>AND(A_Gros_Islet!J22,"AAAAADyW/Sw=")</f>
        <v>1</v>
      </c>
      <c r="AT7" s="1" t="b">
        <f>AND(A_Gros_Islet!K22,"AAAAADyW/S0=")</f>
        <v>1</v>
      </c>
      <c r="AU7" s="1" t="b">
        <f>AND(A_Gros_Islet!L22,"AAAAADyW/S4=")</f>
        <v>1</v>
      </c>
      <c r="AV7" s="1">
        <f>IF(A_Gros_Islet!23:23,"AAAAADyW/S8=",0)</f>
        <v>0</v>
      </c>
      <c r="AW7" s="1" t="e">
        <f>AND(A_Gros_Islet!A23,"AAAAADyW/TA=")</f>
        <v>#VALUE!</v>
      </c>
      <c r="AX7" s="1" t="b">
        <f>AND(A_Gros_Islet!B23,"AAAAADyW/TE=")</f>
        <v>1</v>
      </c>
      <c r="AY7" s="1" t="b">
        <f>AND(A_Gros_Islet!C23,"AAAAADyW/TI=")</f>
        <v>1</v>
      </c>
      <c r="AZ7" s="1" t="b">
        <f>AND(A_Gros_Islet!D23,"AAAAADyW/TM=")</f>
        <v>1</v>
      </c>
      <c r="BA7" s="1" t="b">
        <f>AND(A_Gros_Islet!E23,"AAAAADyW/TQ=")</f>
        <v>1</v>
      </c>
      <c r="BB7" s="1" t="b">
        <f>AND(A_Gros_Islet!F23,"AAAAADyW/TU=")</f>
        <v>1</v>
      </c>
      <c r="BC7" s="1" t="b">
        <f>AND(A_Gros_Islet!G23,"AAAAADyW/TY=")</f>
        <v>1</v>
      </c>
      <c r="BD7" s="1" t="b">
        <f>AND(A_Gros_Islet!H23,"AAAAADyW/Tc=")</f>
        <v>1</v>
      </c>
      <c r="BE7" s="1" t="e">
        <f>AND(A_Gros_Islet!#REF!,"AAAAADyW/Tg=")</f>
        <v>#REF!</v>
      </c>
      <c r="BF7" s="1" t="e">
        <f>AND(A_Gros_Islet!#REF!,"AAAAADyW/Tk=")</f>
        <v>#REF!</v>
      </c>
      <c r="BG7" s="1" t="e">
        <f>AND(A_Gros_Islet!#REF!,"AAAAADyW/To=")</f>
        <v>#REF!</v>
      </c>
      <c r="BH7" s="1" t="e">
        <f>AND(A_Gros_Islet!#REF!,"AAAAADyW/Ts=")</f>
        <v>#REF!</v>
      </c>
      <c r="BI7" s="1" t="b">
        <f>AND(A_Gros_Islet!I23,"AAAAADyW/Tw=")</f>
        <v>1</v>
      </c>
      <c r="BJ7" s="1" t="b">
        <f>AND(A_Gros_Islet!J23,"AAAAADyW/T0=")</f>
        <v>1</v>
      </c>
      <c r="BK7" s="1" t="b">
        <f>AND(A_Gros_Islet!K23,"AAAAADyW/T4=")</f>
        <v>1</v>
      </c>
      <c r="BL7" s="1" t="b">
        <f>AND(A_Gros_Islet!L23,"AAAAADyW/T8=")</f>
        <v>1</v>
      </c>
      <c r="BM7" s="1">
        <f>IF(A_Gros_Islet!24:24,"AAAAADyW/UA=",0)</f>
        <v>0</v>
      </c>
      <c r="BN7" s="1" t="e">
        <f>AND(A_Gros_Islet!A24,"AAAAADyW/UE=")</f>
        <v>#VALUE!</v>
      </c>
      <c r="BO7" s="1" t="b">
        <f>AND(A_Gros_Islet!B24,"AAAAADyW/UI=")</f>
        <v>1</v>
      </c>
      <c r="BP7" s="1" t="b">
        <f>AND(A_Gros_Islet!C24,"AAAAADyW/UM=")</f>
        <v>1</v>
      </c>
      <c r="BQ7" s="1" t="b">
        <f>AND(A_Gros_Islet!D24,"AAAAADyW/UQ=")</f>
        <v>1</v>
      </c>
      <c r="BR7" s="1" t="b">
        <f>AND(A_Gros_Islet!E24,"AAAAADyW/UU=")</f>
        <v>1</v>
      </c>
      <c r="BS7" s="1" t="b">
        <f>AND(A_Gros_Islet!F24,"AAAAADyW/UY=")</f>
        <v>1</v>
      </c>
      <c r="BT7" s="1" t="b">
        <f>AND(A_Gros_Islet!G24,"AAAAADyW/Uc=")</f>
        <v>1</v>
      </c>
      <c r="BU7" s="1" t="b">
        <f>AND(A_Gros_Islet!H24,"AAAAADyW/Ug=")</f>
        <v>1</v>
      </c>
      <c r="BV7" s="1" t="e">
        <f>AND(A_Gros_Islet!#REF!,"AAAAADyW/Uk=")</f>
        <v>#REF!</v>
      </c>
      <c r="BW7" s="1" t="e">
        <f>AND(A_Gros_Islet!#REF!,"AAAAADyW/Uo=")</f>
        <v>#REF!</v>
      </c>
      <c r="BX7" s="1" t="e">
        <f>AND(A_Gros_Islet!#REF!,"AAAAADyW/Us=")</f>
        <v>#REF!</v>
      </c>
      <c r="BY7" s="1" t="e">
        <f>AND(A_Gros_Islet!#REF!,"AAAAADyW/Uw=")</f>
        <v>#REF!</v>
      </c>
      <c r="BZ7" s="1" t="b">
        <f>AND(A_Gros_Islet!I24,"AAAAADyW/U0=")</f>
        <v>1</v>
      </c>
      <c r="CA7" s="1" t="b">
        <f>AND(A_Gros_Islet!J24,"AAAAADyW/U4=")</f>
        <v>1</v>
      </c>
      <c r="CB7" s="1" t="b">
        <f>AND(A_Gros_Islet!K24,"AAAAADyW/U8=")</f>
        <v>1</v>
      </c>
      <c r="CC7" s="1" t="b">
        <f>AND(A_Gros_Islet!L24,"AAAAADyW/VA=")</f>
        <v>1</v>
      </c>
      <c r="CD7" s="1">
        <f>IF(A_Gros_Islet!26:26,"AAAAADyW/VE=",0)</f>
        <v>0</v>
      </c>
      <c r="CE7" s="1" t="e">
        <f>AND(A_Gros_Islet!A26,"AAAAADyW/VI=")</f>
        <v>#VALUE!</v>
      </c>
      <c r="CF7" s="1" t="e">
        <f>AND(A_Gros_Islet!B26,"AAAAADyW/VM=")</f>
        <v>#VALUE!</v>
      </c>
      <c r="CG7" s="1" t="e">
        <f>AND(A_Gros_Islet!C26,"AAAAADyW/VQ=")</f>
        <v>#VALUE!</v>
      </c>
      <c r="CH7" s="1" t="e">
        <f>AND(A_Gros_Islet!D26,"AAAAADyW/VU=")</f>
        <v>#VALUE!</v>
      </c>
      <c r="CI7" s="1" t="e">
        <f>AND(A_Gros_Islet!E26,"AAAAADyW/VY=")</f>
        <v>#VALUE!</v>
      </c>
      <c r="CJ7" s="1" t="e">
        <f>AND(A_Gros_Islet!F26,"AAAAADyW/Vc=")</f>
        <v>#VALUE!</v>
      </c>
      <c r="CK7" s="1" t="e">
        <f>AND(A_Gros_Islet!G26,"AAAAADyW/Vg=")</f>
        <v>#VALUE!</v>
      </c>
      <c r="CL7" s="1" t="e">
        <f>AND(A_Gros_Islet!H26,"AAAAADyW/Vk=")</f>
        <v>#VALUE!</v>
      </c>
      <c r="CM7" s="1" t="e">
        <f>AND(A_Gros_Islet!#REF!,"AAAAADyW/Vo=")</f>
        <v>#REF!</v>
      </c>
      <c r="CN7" s="1" t="e">
        <f>AND(A_Gros_Islet!#REF!,"AAAAADyW/Vs=")</f>
        <v>#REF!</v>
      </c>
      <c r="CO7" s="1" t="e">
        <f>AND(A_Gros_Islet!#REF!,"AAAAADyW/Vw=")</f>
        <v>#REF!</v>
      </c>
      <c r="CP7" s="1" t="e">
        <f>AND(A_Gros_Islet!#REF!,"AAAAADyW/V0=")</f>
        <v>#REF!</v>
      </c>
      <c r="CQ7" s="1" t="e">
        <f>AND(A_Gros_Islet!I26,"AAAAADyW/V4=")</f>
        <v>#VALUE!</v>
      </c>
      <c r="CR7" s="1" t="e">
        <f>AND(A_Gros_Islet!J26,"AAAAADyW/V8=")</f>
        <v>#VALUE!</v>
      </c>
      <c r="CS7" s="1" t="e">
        <f>AND(A_Gros_Islet!K26,"AAAAADyW/WA=")</f>
        <v>#VALUE!</v>
      </c>
      <c r="CT7" s="1" t="e">
        <f>AND(A_Gros_Islet!L26,"AAAAADyW/WE=")</f>
        <v>#VALUE!</v>
      </c>
      <c r="CU7" s="1">
        <f>IF(A_Gros_Islet!27:27,"AAAAADyW/WI=",0)</f>
        <v>0</v>
      </c>
      <c r="CV7" s="1" t="e">
        <f>AND(A_Gros_Islet!A27,"AAAAADyW/WM=")</f>
        <v>#VALUE!</v>
      </c>
      <c r="CW7" s="1" t="b">
        <f>AND(A_Gros_Islet!B27,"AAAAADyW/WQ=")</f>
        <v>1</v>
      </c>
      <c r="CX7" s="1" t="b">
        <f>AND(A_Gros_Islet!C27,"AAAAADyW/WU=")</f>
        <v>1</v>
      </c>
      <c r="CY7" s="1" t="b">
        <f>AND(A_Gros_Islet!D27,"AAAAADyW/WY=")</f>
        <v>1</v>
      </c>
      <c r="CZ7" s="1" t="b">
        <f>AND(A_Gros_Islet!E27,"AAAAADyW/Wc=")</f>
        <v>1</v>
      </c>
      <c r="DA7" s="1" t="b">
        <f>AND(A_Gros_Islet!F27,"AAAAADyW/Wg=")</f>
        <v>1</v>
      </c>
      <c r="DB7" s="1" t="b">
        <f>AND(A_Gros_Islet!G27,"AAAAADyW/Wk=")</f>
        <v>1</v>
      </c>
      <c r="DC7" s="1" t="b">
        <f>AND(A_Gros_Islet!H27,"AAAAADyW/Wo=")</f>
        <v>1</v>
      </c>
      <c r="DD7" s="1" t="e">
        <f>AND(A_Gros_Islet!#REF!,"AAAAADyW/Ws=")</f>
        <v>#REF!</v>
      </c>
      <c r="DE7" s="1" t="e">
        <f>AND(A_Gros_Islet!#REF!,"AAAAADyW/Ww=")</f>
        <v>#REF!</v>
      </c>
      <c r="DF7" s="1" t="e">
        <f>AND(A_Gros_Islet!#REF!,"AAAAADyW/W0=")</f>
        <v>#REF!</v>
      </c>
      <c r="DG7" s="1" t="e">
        <f>AND(A_Gros_Islet!#REF!,"AAAAADyW/W4=")</f>
        <v>#REF!</v>
      </c>
      <c r="DH7" s="1" t="b">
        <f>AND(A_Gros_Islet!I27,"AAAAADyW/W8=")</f>
        <v>1</v>
      </c>
      <c r="DI7" s="1" t="b">
        <f>AND(A_Gros_Islet!J27,"AAAAADyW/XA=")</f>
        <v>1</v>
      </c>
      <c r="DJ7" s="1" t="b">
        <f>AND(A_Gros_Islet!K27,"AAAAADyW/XE=")</f>
        <v>1</v>
      </c>
      <c r="DK7" s="1" t="b">
        <f>AND(A_Gros_Islet!L27,"AAAAADyW/XI=")</f>
        <v>1</v>
      </c>
      <c r="DL7" s="1">
        <f>IF(A_Gros_Islet!28:28,"AAAAADyW/XM=",0)</f>
        <v>0</v>
      </c>
      <c r="DM7" s="1" t="e">
        <f>AND(A_Gros_Islet!A28,"AAAAADyW/XQ=")</f>
        <v>#VALUE!</v>
      </c>
      <c r="DN7" s="1" t="b">
        <f>AND(A_Gros_Islet!B28,"AAAAADyW/XU=")</f>
        <v>1</v>
      </c>
      <c r="DO7" s="1" t="b">
        <f>AND(A_Gros_Islet!C28,"AAAAADyW/XY=")</f>
        <v>1</v>
      </c>
      <c r="DP7" s="1" t="b">
        <f>AND(A_Gros_Islet!D28,"AAAAADyW/Xc=")</f>
        <v>1</v>
      </c>
      <c r="DQ7" s="1" t="b">
        <f>AND(A_Gros_Islet!E28,"AAAAADyW/Xg=")</f>
        <v>1</v>
      </c>
      <c r="DR7" s="1" t="b">
        <f>AND(A_Gros_Islet!F28,"AAAAADyW/Xk=")</f>
        <v>1</v>
      </c>
      <c r="DS7" s="1" t="b">
        <f>AND(A_Gros_Islet!G28,"AAAAADyW/Xo=")</f>
        <v>0</v>
      </c>
      <c r="DT7" s="1" t="b">
        <f>AND(A_Gros_Islet!H28,"AAAAADyW/Xs=")</f>
        <v>0</v>
      </c>
      <c r="DU7" s="1" t="e">
        <f>AND(A_Gros_Islet!#REF!,"AAAAADyW/Xw=")</f>
        <v>#REF!</v>
      </c>
      <c r="DV7" s="1" t="e">
        <f>AND(A_Gros_Islet!#REF!,"AAAAADyW/X0=")</f>
        <v>#REF!</v>
      </c>
      <c r="DW7" s="1" t="e">
        <f>AND(A_Gros_Islet!#REF!,"AAAAADyW/X4=")</f>
        <v>#REF!</v>
      </c>
      <c r="DX7" s="1" t="e">
        <f>AND(A_Gros_Islet!#REF!,"AAAAADyW/X8=")</f>
        <v>#REF!</v>
      </c>
      <c r="DY7" s="1" t="b">
        <f>AND(A_Gros_Islet!I28,"AAAAADyW/YA=")</f>
        <v>0</v>
      </c>
      <c r="DZ7" s="1" t="b">
        <f>AND(A_Gros_Islet!J28,"AAAAADyW/YE=")</f>
        <v>0</v>
      </c>
      <c r="EA7" s="1" t="b">
        <f>AND(A_Gros_Islet!K28,"AAAAADyW/YI=")</f>
        <v>1</v>
      </c>
      <c r="EB7" s="1" t="b">
        <f>AND(A_Gros_Islet!L28,"AAAAADyW/YM=")</f>
        <v>1</v>
      </c>
      <c r="EC7" s="1" t="e">
        <f>IF(A_Gros_Islet!#REF!,"AAAAADyW/YQ=",0)</f>
        <v>#REF!</v>
      </c>
      <c r="ED7" s="1" t="e">
        <f>AND(A_Gros_Islet!#REF!,"AAAAADyW/YU=")</f>
        <v>#REF!</v>
      </c>
      <c r="EE7" s="1" t="e">
        <f>AND(A_Gros_Islet!#REF!,"AAAAADyW/YY=")</f>
        <v>#REF!</v>
      </c>
      <c r="EF7" s="1" t="e">
        <f>AND(A_Gros_Islet!#REF!,"AAAAADyW/Yc=")</f>
        <v>#REF!</v>
      </c>
      <c r="EG7" s="1" t="e">
        <f>AND(A_Gros_Islet!#REF!,"AAAAADyW/Yg=")</f>
        <v>#REF!</v>
      </c>
      <c r="EH7" s="1" t="e">
        <f>AND(A_Gros_Islet!#REF!,"AAAAADyW/Yk=")</f>
        <v>#REF!</v>
      </c>
      <c r="EI7" s="1" t="e">
        <f>AND(A_Gros_Islet!#REF!,"AAAAADyW/Yo=")</f>
        <v>#REF!</v>
      </c>
      <c r="EJ7" s="1" t="e">
        <f>AND(A_Gros_Islet!#REF!,"AAAAADyW/Ys=")</f>
        <v>#REF!</v>
      </c>
      <c r="EK7" s="1" t="e">
        <f>AND(A_Gros_Islet!#REF!,"AAAAADyW/Yw=")</f>
        <v>#REF!</v>
      </c>
      <c r="EL7" s="1" t="e">
        <f>AND(A_Gros_Islet!#REF!,"AAAAADyW/Y0=")</f>
        <v>#REF!</v>
      </c>
      <c r="EM7" s="1" t="e">
        <f>AND(A_Gros_Islet!#REF!,"AAAAADyW/Y4=")</f>
        <v>#REF!</v>
      </c>
      <c r="EN7" s="1" t="e">
        <f>AND(A_Gros_Islet!#REF!,"AAAAADyW/Y8=")</f>
        <v>#REF!</v>
      </c>
      <c r="EO7" s="1" t="e">
        <f>AND(A_Gros_Islet!#REF!,"AAAAADyW/ZA=")</f>
        <v>#REF!</v>
      </c>
      <c r="EP7" s="1" t="e">
        <f>AND(A_Gros_Islet!#REF!,"AAAAADyW/ZE=")</f>
        <v>#REF!</v>
      </c>
      <c r="EQ7" s="1" t="e">
        <f>AND(A_Gros_Islet!#REF!,"AAAAADyW/ZI=")</f>
        <v>#REF!</v>
      </c>
      <c r="ER7" s="1" t="e">
        <f>AND(A_Gros_Islet!#REF!,"AAAAADyW/ZM=")</f>
        <v>#REF!</v>
      </c>
      <c r="ES7" s="1" t="e">
        <f>AND(A_Gros_Islet!#REF!,"AAAAADyW/ZQ=")</f>
        <v>#REF!</v>
      </c>
      <c r="ET7" s="1">
        <f>IF(A_Gros_Islet!29:29,"AAAAADyW/ZU=",0)</f>
        <v>0</v>
      </c>
      <c r="EU7" s="1" t="e">
        <f>AND(A_Gros_Islet!A29,"AAAAADyW/ZY=")</f>
        <v>#VALUE!</v>
      </c>
      <c r="EV7" s="1" t="b">
        <f>AND(A_Gros_Islet!B29,"AAAAADyW/Zc=")</f>
        <v>1</v>
      </c>
      <c r="EW7" s="1" t="b">
        <f>AND(A_Gros_Islet!C29,"AAAAADyW/Zg=")</f>
        <v>1</v>
      </c>
      <c r="EX7" s="1" t="b">
        <f>AND(A_Gros_Islet!D29,"AAAAADyW/Zk=")</f>
        <v>1</v>
      </c>
      <c r="EY7" s="1" t="b">
        <f>AND(A_Gros_Islet!E29,"AAAAADyW/Zo=")</f>
        <v>1</v>
      </c>
      <c r="EZ7" s="1" t="b">
        <f>AND(A_Gros_Islet!F29,"AAAAADyW/Zs=")</f>
        <v>1</v>
      </c>
      <c r="FA7" s="1" t="b">
        <f>AND(A_Gros_Islet!G29,"AAAAADyW/Zw=")</f>
        <v>1</v>
      </c>
      <c r="FB7" s="1" t="b">
        <f>AND(A_Gros_Islet!H29,"AAAAADyW/Z0=")</f>
        <v>1</v>
      </c>
      <c r="FC7" s="1" t="e">
        <f>AND(A_Gros_Islet!#REF!,"AAAAADyW/Z4=")</f>
        <v>#REF!</v>
      </c>
      <c r="FD7" s="1" t="e">
        <f>AND(A_Gros_Islet!#REF!,"AAAAADyW/Z8=")</f>
        <v>#REF!</v>
      </c>
      <c r="FE7" s="1" t="e">
        <f>AND(A_Gros_Islet!#REF!,"AAAAADyW/aA=")</f>
        <v>#REF!</v>
      </c>
      <c r="FF7" s="1" t="e">
        <f>AND(A_Gros_Islet!#REF!,"AAAAADyW/aE=")</f>
        <v>#REF!</v>
      </c>
      <c r="FG7" s="1" t="b">
        <f>AND(A_Gros_Islet!I29,"AAAAADyW/aI=")</f>
        <v>1</v>
      </c>
      <c r="FH7" s="1" t="b">
        <f>AND(A_Gros_Islet!J29,"AAAAADyW/aM=")</f>
        <v>1</v>
      </c>
      <c r="FI7" s="1" t="b">
        <f>AND(A_Gros_Islet!K29,"AAAAADyW/aQ=")</f>
        <v>1</v>
      </c>
      <c r="FJ7" s="1" t="b">
        <f>AND(A_Gros_Islet!L29,"AAAAADyW/aU=")</f>
        <v>1</v>
      </c>
      <c r="FK7" s="1">
        <f>IF(A_Gros_Islet!30:30,"AAAAADyW/aY=",0)</f>
        <v>0</v>
      </c>
      <c r="FL7" s="1" t="e">
        <f>AND(A_Gros_Islet!A30,"AAAAADyW/ac=")</f>
        <v>#VALUE!</v>
      </c>
      <c r="FM7" s="1" t="b">
        <f>AND(A_Gros_Islet!B30,"AAAAADyW/ag=")</f>
        <v>1</v>
      </c>
      <c r="FN7" s="1" t="b">
        <f>AND(A_Gros_Islet!C30,"AAAAADyW/ak=")</f>
        <v>1</v>
      </c>
      <c r="FO7" s="1" t="b">
        <f>AND(A_Gros_Islet!D30,"AAAAADyW/ao=")</f>
        <v>1</v>
      </c>
      <c r="FP7" s="1" t="b">
        <f>AND(A_Gros_Islet!E30,"AAAAADyW/as=")</f>
        <v>1</v>
      </c>
      <c r="FQ7" s="1" t="b">
        <f>AND(A_Gros_Islet!F30,"AAAAADyW/aw=")</f>
        <v>1</v>
      </c>
      <c r="FR7" s="1" t="b">
        <f>AND(A_Gros_Islet!G30,"AAAAADyW/a0=")</f>
        <v>1</v>
      </c>
      <c r="FS7" s="1" t="b">
        <f>AND(A_Gros_Islet!H30,"AAAAADyW/a4=")</f>
        <v>1</v>
      </c>
      <c r="FT7" s="1" t="e">
        <f>AND(A_Gros_Islet!#REF!,"AAAAADyW/a8=")</f>
        <v>#REF!</v>
      </c>
      <c r="FU7" s="1" t="e">
        <f>AND(A_Gros_Islet!#REF!,"AAAAADyW/bA=")</f>
        <v>#REF!</v>
      </c>
      <c r="FV7" s="1" t="e">
        <f>AND(A_Gros_Islet!#REF!,"AAAAADyW/bE=")</f>
        <v>#REF!</v>
      </c>
      <c r="FW7" s="1" t="e">
        <f>AND(A_Gros_Islet!#REF!,"AAAAADyW/bI=")</f>
        <v>#REF!</v>
      </c>
      <c r="FX7" s="1" t="b">
        <f>AND(A_Gros_Islet!I30,"AAAAADyW/bM=")</f>
        <v>1</v>
      </c>
      <c r="FY7" s="1" t="b">
        <f>AND(A_Gros_Islet!J30,"AAAAADyW/bQ=")</f>
        <v>1</v>
      </c>
      <c r="FZ7" s="1" t="b">
        <f>AND(A_Gros_Islet!K30,"AAAAADyW/bU=")</f>
        <v>1</v>
      </c>
      <c r="GA7" s="1" t="b">
        <f>AND(A_Gros_Islet!L30,"AAAAADyW/bY=")</f>
        <v>1</v>
      </c>
      <c r="GB7" s="1" t="e">
        <f>IF(A_Gros_Islet!#REF!,"AAAAADyW/bc=",0)</f>
        <v>#REF!</v>
      </c>
      <c r="GC7" s="1" t="e">
        <f>AND(A_Gros_Islet!#REF!,"AAAAADyW/bg=")</f>
        <v>#REF!</v>
      </c>
      <c r="GD7" s="1" t="e">
        <f>AND(A_Gros_Islet!#REF!,"AAAAADyW/bk=")</f>
        <v>#REF!</v>
      </c>
      <c r="GE7" s="1" t="e">
        <f>AND(A_Gros_Islet!#REF!,"AAAAADyW/bo=")</f>
        <v>#REF!</v>
      </c>
      <c r="GF7" s="1" t="e">
        <f>AND(A_Gros_Islet!#REF!,"AAAAADyW/bs=")</f>
        <v>#REF!</v>
      </c>
      <c r="GG7" s="1" t="e">
        <f>AND(A_Gros_Islet!#REF!,"AAAAADyW/bw=")</f>
        <v>#REF!</v>
      </c>
      <c r="GH7" s="1" t="e">
        <f>AND(A_Gros_Islet!#REF!,"AAAAADyW/b0=")</f>
        <v>#REF!</v>
      </c>
      <c r="GI7" s="1" t="e">
        <f>AND(A_Gros_Islet!#REF!,"AAAAADyW/b4=")</f>
        <v>#REF!</v>
      </c>
      <c r="GJ7" s="1" t="e">
        <f>AND(A_Gros_Islet!#REF!,"AAAAADyW/b8=")</f>
        <v>#REF!</v>
      </c>
      <c r="GK7" s="1" t="e">
        <f>AND(A_Gros_Islet!#REF!,"AAAAADyW/cA=")</f>
        <v>#REF!</v>
      </c>
      <c r="GL7" s="1" t="e">
        <f>AND(A_Gros_Islet!#REF!,"AAAAADyW/cE=")</f>
        <v>#REF!</v>
      </c>
      <c r="GM7" s="1" t="e">
        <f>AND(A_Gros_Islet!#REF!,"AAAAADyW/cI=")</f>
        <v>#REF!</v>
      </c>
      <c r="GN7" s="1" t="e">
        <f>AND(A_Gros_Islet!#REF!,"AAAAADyW/cM=")</f>
        <v>#REF!</v>
      </c>
      <c r="GO7" s="1" t="e">
        <f>AND(A_Gros_Islet!#REF!,"AAAAADyW/cQ=")</f>
        <v>#REF!</v>
      </c>
      <c r="GP7" s="1" t="e">
        <f>AND(A_Gros_Islet!#REF!,"AAAAADyW/cU=")</f>
        <v>#REF!</v>
      </c>
      <c r="GQ7" s="1" t="e">
        <f>AND(A_Gros_Islet!#REF!,"AAAAADyW/cY=")</f>
        <v>#REF!</v>
      </c>
      <c r="GR7" s="1" t="e">
        <f>AND(A_Gros_Islet!#REF!,"AAAAADyW/cc=")</f>
        <v>#REF!</v>
      </c>
      <c r="GS7" s="1">
        <f>IF(A_Gros_Islet!31:31,"AAAAADyW/cg=",0)</f>
        <v>0</v>
      </c>
      <c r="GT7" s="1" t="e">
        <f>AND(A_Gros_Islet!A31,"AAAAADyW/ck=")</f>
        <v>#VALUE!</v>
      </c>
      <c r="GU7" s="1" t="b">
        <f>AND(A_Gros_Islet!B31,"AAAAADyW/co=")</f>
        <v>1</v>
      </c>
      <c r="GV7" s="1" t="b">
        <f>AND(A_Gros_Islet!C31,"AAAAADyW/cs=")</f>
        <v>1</v>
      </c>
      <c r="GW7" s="1" t="b">
        <f>AND(A_Gros_Islet!D31,"AAAAADyW/cw=")</f>
        <v>1</v>
      </c>
      <c r="GX7" s="1" t="b">
        <f>AND(A_Gros_Islet!E31,"AAAAADyW/c0=")</f>
        <v>1</v>
      </c>
      <c r="GY7" s="1" t="b">
        <f>AND(A_Gros_Islet!F31,"AAAAADyW/c4=")</f>
        <v>1</v>
      </c>
      <c r="GZ7" s="1" t="b">
        <f>AND(A_Gros_Islet!G31,"AAAAADyW/c8=")</f>
        <v>1</v>
      </c>
      <c r="HA7" s="1" t="b">
        <f>AND(A_Gros_Islet!H31,"AAAAADyW/dA=")</f>
        <v>1</v>
      </c>
      <c r="HB7" s="1" t="e">
        <f>AND(A_Gros_Islet!#REF!,"AAAAADyW/dE=")</f>
        <v>#REF!</v>
      </c>
      <c r="HC7" s="1" t="e">
        <f>AND(A_Gros_Islet!#REF!,"AAAAADyW/dI=")</f>
        <v>#REF!</v>
      </c>
      <c r="HD7" s="1" t="e">
        <f>AND(A_Gros_Islet!#REF!,"AAAAADyW/dM=")</f>
        <v>#REF!</v>
      </c>
      <c r="HE7" s="1" t="e">
        <f>AND(A_Gros_Islet!#REF!,"AAAAADyW/dQ=")</f>
        <v>#REF!</v>
      </c>
      <c r="HF7" s="1" t="b">
        <f>AND(A_Gros_Islet!I31,"AAAAADyW/dU=")</f>
        <v>1</v>
      </c>
      <c r="HG7" s="1" t="b">
        <f>AND(A_Gros_Islet!J31,"AAAAADyW/dY=")</f>
        <v>1</v>
      </c>
      <c r="HH7" s="1" t="b">
        <f>AND(A_Gros_Islet!K31,"AAAAADyW/dc=")</f>
        <v>1</v>
      </c>
      <c r="HI7" s="1" t="b">
        <f>AND(A_Gros_Islet!L31,"AAAAADyW/dg=")</f>
        <v>1</v>
      </c>
      <c r="HJ7" s="1">
        <f>IF(A_Gros_Islet!33:33,"AAAAADyW/dk=",0)</f>
        <v>0</v>
      </c>
      <c r="HK7" s="1" t="e">
        <f>AND(A_Gros_Islet!A33,"AAAAADyW/do=")</f>
        <v>#VALUE!</v>
      </c>
      <c r="HL7" s="1" t="e">
        <f>AND(A_Gros_Islet!B33,"AAAAADyW/ds=")</f>
        <v>#VALUE!</v>
      </c>
      <c r="HM7" s="1" t="e">
        <f>AND(A_Gros_Islet!C33,"AAAAADyW/dw=")</f>
        <v>#VALUE!</v>
      </c>
      <c r="HN7" s="1" t="e">
        <f>AND(A_Gros_Islet!D33,"AAAAADyW/d0=")</f>
        <v>#VALUE!</v>
      </c>
      <c r="HO7" s="1" t="e">
        <f>AND(A_Gros_Islet!E33,"AAAAADyW/d4=")</f>
        <v>#VALUE!</v>
      </c>
      <c r="HP7" s="1" t="e">
        <f>AND(A_Gros_Islet!F33,"AAAAADyW/d8=")</f>
        <v>#VALUE!</v>
      </c>
      <c r="HQ7" s="1" t="e">
        <f>AND(A_Gros_Islet!G33,"AAAAADyW/eA=")</f>
        <v>#VALUE!</v>
      </c>
      <c r="HR7" s="1" t="e">
        <f>AND(A_Gros_Islet!H33,"AAAAADyW/eE=")</f>
        <v>#VALUE!</v>
      </c>
      <c r="HS7" s="1" t="e">
        <f>AND(A_Gros_Islet!#REF!,"AAAAADyW/eI=")</f>
        <v>#REF!</v>
      </c>
      <c r="HT7" s="1" t="e">
        <f>AND(A_Gros_Islet!#REF!,"AAAAADyW/eM=")</f>
        <v>#REF!</v>
      </c>
      <c r="HU7" s="1" t="e">
        <f>AND(A_Gros_Islet!#REF!,"AAAAADyW/eQ=")</f>
        <v>#REF!</v>
      </c>
      <c r="HV7" s="1" t="e">
        <f>AND(A_Gros_Islet!#REF!,"AAAAADyW/eU=")</f>
        <v>#REF!</v>
      </c>
      <c r="HW7" s="1" t="e">
        <f>AND(A_Gros_Islet!I33,"AAAAADyW/eY=")</f>
        <v>#VALUE!</v>
      </c>
      <c r="HX7" s="1" t="e">
        <f>AND(A_Gros_Islet!J33,"AAAAADyW/ec=")</f>
        <v>#VALUE!</v>
      </c>
      <c r="HY7" s="1" t="e">
        <f>AND(A_Gros_Islet!K33,"AAAAADyW/eg=")</f>
        <v>#VALUE!</v>
      </c>
      <c r="HZ7" s="1" t="e">
        <f>AND(A_Gros_Islet!L33,"AAAAADyW/ek=")</f>
        <v>#VALUE!</v>
      </c>
      <c r="IA7" s="1">
        <f>IF(A_Gros_Islet!34:34,"AAAAADyW/eo=",0)</f>
        <v>0</v>
      </c>
      <c r="IB7" s="1" t="e">
        <f>AND(A_Gros_Islet!A34,"AAAAADyW/es=")</f>
        <v>#VALUE!</v>
      </c>
      <c r="IC7" s="1" t="b">
        <f>AND(A_Gros_Islet!B34,"AAAAADyW/ew=")</f>
        <v>1</v>
      </c>
      <c r="ID7" s="1" t="b">
        <f>AND(A_Gros_Islet!C34,"AAAAADyW/e0=")</f>
        <v>1</v>
      </c>
      <c r="IE7" s="1" t="b">
        <f>AND(A_Gros_Islet!D34,"AAAAADyW/e4=")</f>
        <v>1</v>
      </c>
      <c r="IF7" s="1" t="b">
        <f>AND(A_Gros_Islet!E34,"AAAAADyW/e8=")</f>
        <v>1</v>
      </c>
      <c r="IG7" s="1" t="b">
        <f>AND(A_Gros_Islet!F34,"AAAAADyW/fA=")</f>
        <v>1</v>
      </c>
      <c r="IH7" s="1" t="b">
        <f>AND(A_Gros_Islet!G34,"AAAAADyW/fE=")</f>
        <v>1</v>
      </c>
      <c r="II7" s="1" t="b">
        <f>AND(A_Gros_Islet!H34,"AAAAADyW/fI=")</f>
        <v>1</v>
      </c>
      <c r="IJ7" s="1" t="e">
        <f>AND(A_Gros_Islet!#REF!,"AAAAADyW/fM=")</f>
        <v>#REF!</v>
      </c>
      <c r="IK7" s="1" t="e">
        <f>AND(A_Gros_Islet!#REF!,"AAAAADyW/fQ=")</f>
        <v>#REF!</v>
      </c>
      <c r="IL7" s="1" t="e">
        <f>AND(A_Gros_Islet!#REF!,"AAAAADyW/fU=")</f>
        <v>#REF!</v>
      </c>
      <c r="IM7" s="1" t="e">
        <f>AND(A_Gros_Islet!#REF!,"AAAAADyW/fY=")</f>
        <v>#REF!</v>
      </c>
      <c r="IN7" s="1" t="b">
        <f>AND(A_Gros_Islet!I34,"AAAAADyW/fc=")</f>
        <v>1</v>
      </c>
      <c r="IO7" s="1" t="b">
        <f>AND(A_Gros_Islet!J34,"AAAAADyW/fg=")</f>
        <v>1</v>
      </c>
      <c r="IP7" s="1" t="b">
        <f>AND(A_Gros_Islet!K34,"AAAAADyW/fk=")</f>
        <v>1</v>
      </c>
      <c r="IQ7" s="1" t="b">
        <f>AND(A_Gros_Islet!L34,"AAAAADyW/fo=")</f>
        <v>1</v>
      </c>
      <c r="IR7" s="1">
        <f>IF(A_Gros_Islet!36:36,"AAAAADyW/fs=",0)</f>
        <v>0</v>
      </c>
      <c r="IS7" s="1" t="e">
        <f>AND(A_Gros_Islet!A36,"AAAAADyW/fw=")</f>
        <v>#VALUE!</v>
      </c>
      <c r="IT7" s="1" t="e">
        <f>AND(A_Gros_Islet!B36,"AAAAADyW/f0=")</f>
        <v>#VALUE!</v>
      </c>
      <c r="IU7" s="1" t="e">
        <f>AND(A_Gros_Islet!C36,"AAAAADyW/f4=")</f>
        <v>#VALUE!</v>
      </c>
      <c r="IV7" s="1" t="e">
        <f>AND(A_Gros_Islet!D36,"AAAAADyW/f8=")</f>
        <v>#VALUE!</v>
      </c>
    </row>
    <row r="8" spans="1:256" ht="12" customHeight="1" x14ac:dyDescent="0.2">
      <c r="A8" s="1" t="e">
        <f>AND(A_Gros_Islet!E36,"AAAAAG9+9wA=")</f>
        <v>#VALUE!</v>
      </c>
      <c r="B8" s="1" t="e">
        <f>AND(A_Gros_Islet!F36,"AAAAAG9+9wE=")</f>
        <v>#VALUE!</v>
      </c>
      <c r="C8" s="1" t="e">
        <f>AND(A_Gros_Islet!G36,"AAAAAG9+9wI=")</f>
        <v>#VALUE!</v>
      </c>
      <c r="D8" s="1" t="e">
        <f>AND(A_Gros_Islet!H36,"AAAAAG9+9wM=")</f>
        <v>#VALUE!</v>
      </c>
      <c r="E8" s="1" t="e">
        <f>AND(A_Gros_Islet!#REF!,"AAAAAG9+9wQ=")</f>
        <v>#REF!</v>
      </c>
      <c r="F8" s="1" t="e">
        <f>AND(A_Gros_Islet!#REF!,"AAAAAG9+9wU=")</f>
        <v>#REF!</v>
      </c>
      <c r="G8" s="1" t="e">
        <f>AND(A_Gros_Islet!#REF!,"AAAAAG9+9wY=")</f>
        <v>#REF!</v>
      </c>
      <c r="H8" s="1" t="e">
        <f>AND(A_Gros_Islet!#REF!,"AAAAAG9+9wc=")</f>
        <v>#REF!</v>
      </c>
      <c r="I8" s="1" t="e">
        <f>AND(A_Gros_Islet!I36,"AAAAAG9+9wg=")</f>
        <v>#VALUE!</v>
      </c>
      <c r="J8" s="1" t="e">
        <f>AND(A_Gros_Islet!J36,"AAAAAG9+9wk=")</f>
        <v>#VALUE!</v>
      </c>
      <c r="K8" s="1" t="e">
        <f>AND(A_Gros_Islet!K36,"AAAAAG9+9wo=")</f>
        <v>#VALUE!</v>
      </c>
      <c r="L8" s="1" t="e">
        <f>AND(A_Gros_Islet!L36,"AAAAAG9+9ws=")</f>
        <v>#VALUE!</v>
      </c>
      <c r="M8" s="1" t="str">
        <f>IF(A_Gros_Islet!37:37,"AAAAAG9+9ww=",0)</f>
        <v>AAAAAG9+9ww=</v>
      </c>
      <c r="N8" s="1" t="e">
        <f>AND(A_Gros_Islet!A37,"AAAAAG9+9w0=")</f>
        <v>#VALUE!</v>
      </c>
      <c r="O8" s="1" t="b">
        <f>AND(A_Gros_Islet!B37,"AAAAAG9+9w4=")</f>
        <v>1</v>
      </c>
      <c r="P8" s="1" t="b">
        <f>AND(A_Gros_Islet!C37,"AAAAAG9+9w8=")</f>
        <v>1</v>
      </c>
      <c r="Q8" s="1" t="b">
        <f>AND(A_Gros_Islet!D37,"AAAAAG9+9xA=")</f>
        <v>1</v>
      </c>
      <c r="R8" s="1" t="b">
        <f>AND(A_Gros_Islet!E37,"AAAAAG9+9xE=")</f>
        <v>1</v>
      </c>
      <c r="S8" s="1" t="b">
        <f>AND(A_Gros_Islet!F37,"AAAAAG9+9xI=")</f>
        <v>1</v>
      </c>
      <c r="T8" s="1" t="b">
        <f>AND(A_Gros_Islet!G37,"AAAAAG9+9xM=")</f>
        <v>1</v>
      </c>
      <c r="U8" s="1" t="b">
        <f>AND(A_Gros_Islet!H37,"AAAAAG9+9xQ=")</f>
        <v>1</v>
      </c>
      <c r="V8" s="1" t="e">
        <f>AND(A_Gros_Islet!#REF!,"AAAAAG9+9xU=")</f>
        <v>#REF!</v>
      </c>
      <c r="W8" s="1" t="e">
        <f>AND(A_Gros_Islet!#REF!,"AAAAAG9+9xY=")</f>
        <v>#REF!</v>
      </c>
      <c r="X8" s="1" t="e">
        <f>AND(A_Gros_Islet!#REF!,"AAAAAG9+9xc=")</f>
        <v>#REF!</v>
      </c>
      <c r="Y8" s="1" t="e">
        <f>AND(A_Gros_Islet!#REF!,"AAAAAG9+9xg=")</f>
        <v>#REF!</v>
      </c>
      <c r="Z8" s="1" t="b">
        <f>AND(A_Gros_Islet!I37,"AAAAAG9+9xk=")</f>
        <v>1</v>
      </c>
      <c r="AA8" s="1" t="b">
        <f>AND(A_Gros_Islet!J37,"AAAAAG9+9xo=")</f>
        <v>1</v>
      </c>
      <c r="AB8" s="1" t="b">
        <f>AND(A_Gros_Islet!K37,"AAAAAG9+9xs=")</f>
        <v>1</v>
      </c>
      <c r="AC8" s="1" t="b">
        <f>AND(A_Gros_Islet!L37,"AAAAAG9+9xw=")</f>
        <v>1</v>
      </c>
      <c r="AD8" s="1">
        <f>IF(A_Gros_Islet!38:38,"AAAAAG9+9x0=",0)</f>
        <v>0</v>
      </c>
      <c r="AE8" s="1" t="e">
        <f>AND(A_Gros_Islet!A38,"AAAAAG9+9x4=")</f>
        <v>#VALUE!</v>
      </c>
      <c r="AF8" s="1" t="b">
        <f>AND(A_Gros_Islet!B38,"AAAAAG9+9x8=")</f>
        <v>1</v>
      </c>
      <c r="AG8" s="1" t="b">
        <f>AND(A_Gros_Islet!C38,"AAAAAG9+9yA=")</f>
        <v>1</v>
      </c>
      <c r="AH8" s="1" t="b">
        <f>AND(A_Gros_Islet!D38,"AAAAAG9+9yE=")</f>
        <v>1</v>
      </c>
      <c r="AI8" s="1" t="b">
        <f>AND(A_Gros_Islet!E38,"AAAAAG9+9yI=")</f>
        <v>1</v>
      </c>
      <c r="AJ8" s="1" t="b">
        <f>AND(A_Gros_Islet!F38,"AAAAAG9+9yM=")</f>
        <v>1</v>
      </c>
      <c r="AK8" s="1" t="b">
        <f>AND(A_Gros_Islet!G38,"AAAAAG9+9yQ=")</f>
        <v>1</v>
      </c>
      <c r="AL8" s="1" t="b">
        <f>AND(A_Gros_Islet!H38,"AAAAAG9+9yU=")</f>
        <v>1</v>
      </c>
      <c r="AM8" s="1" t="e">
        <f>AND(A_Gros_Islet!#REF!,"AAAAAG9+9yY=")</f>
        <v>#REF!</v>
      </c>
      <c r="AN8" s="1" t="e">
        <f>AND(A_Gros_Islet!#REF!,"AAAAAG9+9yc=")</f>
        <v>#REF!</v>
      </c>
      <c r="AO8" s="1" t="e">
        <f>AND(A_Gros_Islet!#REF!,"AAAAAG9+9yg=")</f>
        <v>#REF!</v>
      </c>
      <c r="AP8" s="1" t="e">
        <f>AND(A_Gros_Islet!#REF!,"AAAAAG9+9yk=")</f>
        <v>#REF!</v>
      </c>
      <c r="AQ8" s="1" t="b">
        <f>AND(A_Gros_Islet!I38,"AAAAAG9+9yo=")</f>
        <v>1</v>
      </c>
      <c r="AR8" s="1" t="b">
        <f>AND(A_Gros_Islet!J38,"AAAAAG9+9ys=")</f>
        <v>1</v>
      </c>
      <c r="AS8" s="1" t="b">
        <f>AND(A_Gros_Islet!K38,"AAAAAG9+9yw=")</f>
        <v>1</v>
      </c>
      <c r="AT8" s="1" t="b">
        <f>AND(A_Gros_Islet!L38,"AAAAAG9+9y0=")</f>
        <v>1</v>
      </c>
      <c r="AU8" s="1">
        <f>IF(A_Gros_Islet!40:40,"AAAAAG9+9y4=",0)</f>
        <v>0</v>
      </c>
      <c r="AV8" s="1" t="e">
        <f>AND(A_Gros_Islet!A40,"AAAAAG9+9y8=")</f>
        <v>#VALUE!</v>
      </c>
      <c r="AW8" s="1" t="b">
        <f>AND(A_Gros_Islet!B40,"AAAAAG9+9zA=")</f>
        <v>1</v>
      </c>
      <c r="AX8" s="1" t="b">
        <f>AND(A_Gros_Islet!C40,"AAAAAG9+9zE=")</f>
        <v>1</v>
      </c>
      <c r="AY8" s="1" t="b">
        <f>AND(A_Gros_Islet!D40,"AAAAAG9+9zI=")</f>
        <v>1</v>
      </c>
      <c r="AZ8" s="1" t="b">
        <f>AND(A_Gros_Islet!E40,"AAAAAG9+9zM=")</f>
        <v>1</v>
      </c>
      <c r="BA8" s="1" t="b">
        <f>AND(A_Gros_Islet!F40,"AAAAAG9+9zQ=")</f>
        <v>1</v>
      </c>
      <c r="BB8" s="1" t="b">
        <f>AND(A_Gros_Islet!G40,"AAAAAG9+9zU=")</f>
        <v>0</v>
      </c>
      <c r="BC8" s="1" t="b">
        <f>AND(A_Gros_Islet!H40,"AAAAAG9+9zY=")</f>
        <v>0</v>
      </c>
      <c r="BD8" s="1" t="e">
        <f>AND(A_Gros_Islet!#REF!,"AAAAAG9+9zc=")</f>
        <v>#REF!</v>
      </c>
      <c r="BE8" s="1" t="e">
        <f>AND(A_Gros_Islet!#REF!,"AAAAAG9+9zg=")</f>
        <v>#REF!</v>
      </c>
      <c r="BF8" s="1" t="e">
        <f>AND(A_Gros_Islet!#REF!,"AAAAAG9+9zk=")</f>
        <v>#REF!</v>
      </c>
      <c r="BG8" s="1" t="e">
        <f>AND(A_Gros_Islet!#REF!,"AAAAAG9+9zo=")</f>
        <v>#REF!</v>
      </c>
      <c r="BH8" s="1" t="b">
        <f>AND(A_Gros_Islet!I40,"AAAAAG9+9zs=")</f>
        <v>1</v>
      </c>
      <c r="BI8" s="1" t="b">
        <f>AND(A_Gros_Islet!J40,"AAAAAG9+9zw=")</f>
        <v>1</v>
      </c>
      <c r="BJ8" s="1" t="b">
        <f>AND(A_Gros_Islet!K40,"AAAAAG9+9z0=")</f>
        <v>1</v>
      </c>
      <c r="BK8" s="1" t="b">
        <f>AND(A_Gros_Islet!L40,"AAAAAG9+9z4=")</f>
        <v>1</v>
      </c>
      <c r="BL8" s="1">
        <f>IF(A_Gros_Islet!41:41,"AAAAAG9+9z8=",0)</f>
        <v>0</v>
      </c>
      <c r="BM8" s="1" t="e">
        <f>AND(A_Gros_Islet!A41,"AAAAAG9+90A=")</f>
        <v>#VALUE!</v>
      </c>
      <c r="BN8" s="1" t="b">
        <f>AND(A_Gros_Islet!B41,"AAAAAG9+90E=")</f>
        <v>1</v>
      </c>
      <c r="BO8" s="1" t="b">
        <f>AND(A_Gros_Islet!C41,"AAAAAG9+90I=")</f>
        <v>1</v>
      </c>
      <c r="BP8" s="1" t="b">
        <f>AND(A_Gros_Islet!D41,"AAAAAG9+90M=")</f>
        <v>1</v>
      </c>
      <c r="BQ8" s="1" t="b">
        <f>AND(A_Gros_Islet!E41,"AAAAAG9+90Q=")</f>
        <v>1</v>
      </c>
      <c r="BR8" s="1" t="b">
        <f>AND(A_Gros_Islet!F41,"AAAAAG9+90U=")</f>
        <v>1</v>
      </c>
      <c r="BS8" s="1" t="b">
        <f>AND(A_Gros_Islet!G41,"AAAAAG9+90Y=")</f>
        <v>1</v>
      </c>
      <c r="BT8" s="1" t="b">
        <f>AND(A_Gros_Islet!H41,"AAAAAG9+90c=")</f>
        <v>1</v>
      </c>
      <c r="BU8" s="1" t="e">
        <f>AND(A_Gros_Islet!#REF!,"AAAAAG9+90g=")</f>
        <v>#REF!</v>
      </c>
      <c r="BV8" s="1" t="e">
        <f>AND(A_Gros_Islet!#REF!,"AAAAAG9+90k=")</f>
        <v>#REF!</v>
      </c>
      <c r="BW8" s="1" t="e">
        <f>AND(A_Gros_Islet!#REF!,"AAAAAG9+90o=")</f>
        <v>#REF!</v>
      </c>
      <c r="BX8" s="1" t="e">
        <f>AND(A_Gros_Islet!#REF!,"AAAAAG9+90s=")</f>
        <v>#REF!</v>
      </c>
      <c r="BY8" s="1" t="b">
        <f>AND(A_Gros_Islet!I41,"AAAAAG9+90w=")</f>
        <v>1</v>
      </c>
      <c r="BZ8" s="1" t="b">
        <f>AND(A_Gros_Islet!J41,"AAAAAG9+900=")</f>
        <v>1</v>
      </c>
      <c r="CA8" s="1" t="b">
        <f>AND(A_Gros_Islet!K41,"AAAAAG9+904=")</f>
        <v>1</v>
      </c>
      <c r="CB8" s="1" t="b">
        <f>AND(A_Gros_Islet!L41,"AAAAAG9+908=")</f>
        <v>1</v>
      </c>
      <c r="CC8" s="1">
        <f>IF(A_Gros_Islet!43:43,"AAAAAG9+91A=",0)</f>
        <v>0</v>
      </c>
      <c r="CD8" s="1" t="e">
        <f>AND(A_Gros_Islet!A43,"AAAAAG9+91E=")</f>
        <v>#VALUE!</v>
      </c>
      <c r="CE8" s="1" t="b">
        <f>AND(A_Gros_Islet!B43,"AAAAAG9+91I=")</f>
        <v>1</v>
      </c>
      <c r="CF8" s="1" t="b">
        <f>AND(A_Gros_Islet!C43,"AAAAAG9+91M=")</f>
        <v>1</v>
      </c>
      <c r="CG8" s="1" t="b">
        <f>AND(A_Gros_Islet!D43,"AAAAAG9+91Q=")</f>
        <v>1</v>
      </c>
      <c r="CH8" s="1" t="b">
        <f>AND(A_Gros_Islet!E43,"AAAAAG9+91U=")</f>
        <v>1</v>
      </c>
      <c r="CI8" s="1" t="b">
        <f>AND(A_Gros_Islet!F43,"AAAAAG9+91Y=")</f>
        <v>1</v>
      </c>
      <c r="CJ8" s="1" t="b">
        <f>AND(A_Gros_Islet!G43,"AAAAAG9+91c=")</f>
        <v>1</v>
      </c>
      <c r="CK8" s="1" t="b">
        <f>AND(A_Gros_Islet!H43,"AAAAAG9+91g=")</f>
        <v>1</v>
      </c>
      <c r="CL8" s="1" t="e">
        <f>AND(A_Gros_Islet!#REF!,"AAAAAG9+91k=")</f>
        <v>#REF!</v>
      </c>
      <c r="CM8" s="1" t="e">
        <f>AND(A_Gros_Islet!#REF!,"AAAAAG9+91o=")</f>
        <v>#REF!</v>
      </c>
      <c r="CN8" s="1" t="e">
        <f>AND(A_Gros_Islet!#REF!,"AAAAAG9+91s=")</f>
        <v>#REF!</v>
      </c>
      <c r="CO8" s="1" t="e">
        <f>AND(A_Gros_Islet!#REF!,"AAAAAG9+91w=")</f>
        <v>#REF!</v>
      </c>
      <c r="CP8" s="1" t="b">
        <f>AND(A_Gros_Islet!I43,"AAAAAG9+910=")</f>
        <v>1</v>
      </c>
      <c r="CQ8" s="1" t="b">
        <f>AND(A_Gros_Islet!J43,"AAAAAG9+914=")</f>
        <v>1</v>
      </c>
      <c r="CR8" s="1" t="b">
        <f>AND(A_Gros_Islet!K43,"AAAAAG9+918=")</f>
        <v>1</v>
      </c>
      <c r="CS8" s="1" t="b">
        <f>AND(A_Gros_Islet!L43,"AAAAAG9+92A=")</f>
        <v>1</v>
      </c>
      <c r="CT8" s="1">
        <f>IF(A_Gros_Islet!45:45,"AAAAAG9+92E=",0)</f>
        <v>0</v>
      </c>
      <c r="CU8" s="1" t="e">
        <f>AND(A_Gros_Islet!A45,"AAAAAG9+92I=")</f>
        <v>#VALUE!</v>
      </c>
      <c r="CV8" s="1" t="e">
        <f>AND(A_Gros_Islet!B45,"AAAAAG9+92M=")</f>
        <v>#VALUE!</v>
      </c>
      <c r="CW8" s="1" t="e">
        <f>AND(A_Gros_Islet!C45,"AAAAAG9+92Q=")</f>
        <v>#VALUE!</v>
      </c>
      <c r="CX8" s="1" t="e">
        <f>AND(A_Gros_Islet!D45,"AAAAAG9+92U=")</f>
        <v>#VALUE!</v>
      </c>
      <c r="CY8" s="1" t="e">
        <f>AND(A_Gros_Islet!E45,"AAAAAG9+92Y=")</f>
        <v>#VALUE!</v>
      </c>
      <c r="CZ8" s="1" t="e">
        <f>AND(A_Gros_Islet!F45,"AAAAAG9+92c=")</f>
        <v>#VALUE!</v>
      </c>
      <c r="DA8" s="1" t="e">
        <f>AND(A_Gros_Islet!G45,"AAAAAG9+92g=")</f>
        <v>#VALUE!</v>
      </c>
      <c r="DB8" s="1" t="e">
        <f>AND(A_Gros_Islet!H45,"AAAAAG9+92k=")</f>
        <v>#VALUE!</v>
      </c>
      <c r="DC8" s="1" t="e">
        <f>AND(A_Gros_Islet!#REF!,"AAAAAG9+92o=")</f>
        <v>#REF!</v>
      </c>
      <c r="DD8" s="1" t="e">
        <f>AND(A_Gros_Islet!#REF!,"AAAAAG9+92s=")</f>
        <v>#REF!</v>
      </c>
      <c r="DE8" s="1" t="e">
        <f>AND(A_Gros_Islet!#REF!,"AAAAAG9+92w=")</f>
        <v>#REF!</v>
      </c>
      <c r="DF8" s="1" t="e">
        <f>AND(A_Gros_Islet!#REF!,"AAAAAG9+920=")</f>
        <v>#REF!</v>
      </c>
      <c r="DG8" s="1" t="e">
        <f>AND(A_Gros_Islet!I45,"AAAAAG9+924=")</f>
        <v>#VALUE!</v>
      </c>
      <c r="DH8" s="1" t="e">
        <f>AND(A_Gros_Islet!J45,"AAAAAG9+928=")</f>
        <v>#VALUE!</v>
      </c>
      <c r="DI8" s="1" t="e">
        <f>AND(A_Gros_Islet!K45,"AAAAAG9+93A=")</f>
        <v>#VALUE!</v>
      </c>
      <c r="DJ8" s="1" t="e">
        <f>AND(A_Gros_Islet!L45,"AAAAAG9+93E=")</f>
        <v>#VALUE!</v>
      </c>
      <c r="DK8" s="1">
        <f>IF(A_Gros_Islet!46:46,"AAAAAG9+93I=",0)</f>
        <v>0</v>
      </c>
      <c r="DL8" s="1" t="e">
        <f>AND(A_Gros_Islet!A46,"AAAAAG9+93M=")</f>
        <v>#VALUE!</v>
      </c>
      <c r="DM8" s="1" t="b">
        <f>AND(A_Gros_Islet!B46,"AAAAAG9+93Q=")</f>
        <v>1</v>
      </c>
      <c r="DN8" s="1" t="b">
        <f>AND(A_Gros_Islet!C46,"AAAAAG9+93U=")</f>
        <v>1</v>
      </c>
      <c r="DO8" s="1" t="b">
        <f>AND(A_Gros_Islet!D46,"AAAAAG9+93Y=")</f>
        <v>1</v>
      </c>
      <c r="DP8" s="1" t="b">
        <f>AND(A_Gros_Islet!E46,"AAAAAG9+93c=")</f>
        <v>1</v>
      </c>
      <c r="DQ8" s="1" t="b">
        <f>AND(A_Gros_Islet!F46,"AAAAAG9+93g=")</f>
        <v>1</v>
      </c>
      <c r="DR8" s="1" t="b">
        <f>AND(A_Gros_Islet!G46,"AAAAAG9+93k=")</f>
        <v>1</v>
      </c>
      <c r="DS8" s="1" t="b">
        <f>AND(A_Gros_Islet!H46,"AAAAAG9+93o=")</f>
        <v>1</v>
      </c>
      <c r="DT8" s="1" t="e">
        <f>AND(A_Gros_Islet!#REF!,"AAAAAG9+93s=")</f>
        <v>#REF!</v>
      </c>
      <c r="DU8" s="1" t="e">
        <f>AND(A_Gros_Islet!#REF!,"AAAAAG9+93w=")</f>
        <v>#REF!</v>
      </c>
      <c r="DV8" s="1" t="e">
        <f>AND(A_Gros_Islet!#REF!,"AAAAAG9+930=")</f>
        <v>#REF!</v>
      </c>
      <c r="DW8" s="1" t="e">
        <f>AND(A_Gros_Islet!#REF!,"AAAAAG9+934=")</f>
        <v>#REF!</v>
      </c>
      <c r="DX8" s="1" t="b">
        <f>AND(A_Gros_Islet!I46,"AAAAAG9+938=")</f>
        <v>1</v>
      </c>
      <c r="DY8" s="1" t="b">
        <f>AND(A_Gros_Islet!J46,"AAAAAG9+94A=")</f>
        <v>1</v>
      </c>
      <c r="DZ8" s="1" t="b">
        <f>AND(A_Gros_Islet!K46,"AAAAAG9+94E=")</f>
        <v>1</v>
      </c>
      <c r="EA8" s="1" t="b">
        <f>AND(A_Gros_Islet!L46,"AAAAAG9+94I=")</f>
        <v>1</v>
      </c>
      <c r="EB8" s="1">
        <f>IF(A_Gros_Islet!47:47,"AAAAAG9+94M=",0)</f>
        <v>0</v>
      </c>
      <c r="EC8" s="1" t="e">
        <f>AND(A_Gros_Islet!A47,"AAAAAG9+94Q=")</f>
        <v>#VALUE!</v>
      </c>
      <c r="ED8" s="1" t="b">
        <f>AND(A_Gros_Islet!B47,"AAAAAG9+94U=")</f>
        <v>1</v>
      </c>
      <c r="EE8" s="1" t="b">
        <f>AND(A_Gros_Islet!C47,"AAAAAG9+94Y=")</f>
        <v>1</v>
      </c>
      <c r="EF8" s="1" t="b">
        <f>AND(A_Gros_Islet!D47,"AAAAAG9+94c=")</f>
        <v>1</v>
      </c>
      <c r="EG8" s="1" t="b">
        <f>AND(A_Gros_Islet!E47,"AAAAAG9+94g=")</f>
        <v>1</v>
      </c>
      <c r="EH8" s="1" t="b">
        <f>AND(A_Gros_Islet!F47,"AAAAAG9+94k=")</f>
        <v>1</v>
      </c>
      <c r="EI8" s="1" t="b">
        <f>AND(A_Gros_Islet!G47,"AAAAAG9+94o=")</f>
        <v>1</v>
      </c>
      <c r="EJ8" s="1" t="b">
        <f>AND(A_Gros_Islet!H47,"AAAAAG9+94s=")</f>
        <v>1</v>
      </c>
      <c r="EK8" s="1" t="e">
        <f>AND(A_Gros_Islet!#REF!,"AAAAAG9+94w=")</f>
        <v>#REF!</v>
      </c>
      <c r="EL8" s="1" t="e">
        <f>AND(A_Gros_Islet!#REF!,"AAAAAG9+940=")</f>
        <v>#REF!</v>
      </c>
      <c r="EM8" s="1" t="e">
        <f>AND(A_Gros_Islet!#REF!,"AAAAAG9+944=")</f>
        <v>#REF!</v>
      </c>
      <c r="EN8" s="1" t="e">
        <f>AND(A_Gros_Islet!#REF!,"AAAAAG9+948=")</f>
        <v>#REF!</v>
      </c>
      <c r="EO8" s="1" t="b">
        <f>AND(A_Gros_Islet!I47,"AAAAAG9+95A=")</f>
        <v>1</v>
      </c>
      <c r="EP8" s="1" t="b">
        <f>AND(A_Gros_Islet!J47,"AAAAAG9+95E=")</f>
        <v>1</v>
      </c>
      <c r="EQ8" s="1" t="b">
        <f>AND(A_Gros_Islet!K47,"AAAAAG9+95I=")</f>
        <v>1</v>
      </c>
      <c r="ER8" s="1" t="b">
        <f>AND(A_Gros_Islet!L47,"AAAAAG9+95M=")</f>
        <v>1</v>
      </c>
      <c r="ES8" s="1">
        <f>IF(A_Gros_Islet!48:48,"AAAAAG9+95Q=",0)</f>
        <v>0</v>
      </c>
      <c r="ET8" s="1" t="e">
        <f>AND(A_Gros_Islet!A48,"AAAAAG9+95U=")</f>
        <v>#VALUE!</v>
      </c>
      <c r="EU8" s="1" t="b">
        <f>AND(A_Gros_Islet!B48,"AAAAAG9+95Y=")</f>
        <v>1</v>
      </c>
      <c r="EV8" s="1" t="b">
        <f>AND(A_Gros_Islet!C48,"AAAAAG9+95c=")</f>
        <v>1</v>
      </c>
      <c r="EW8" s="1" t="b">
        <f>AND(A_Gros_Islet!D48,"AAAAAG9+95g=")</f>
        <v>1</v>
      </c>
      <c r="EX8" s="1" t="b">
        <f>AND(A_Gros_Islet!E48,"AAAAAG9+95k=")</f>
        <v>1</v>
      </c>
      <c r="EY8" s="1" t="b">
        <f>AND(A_Gros_Islet!F48,"AAAAAG9+95o=")</f>
        <v>1</v>
      </c>
      <c r="EZ8" s="1" t="b">
        <f>AND(A_Gros_Islet!G48,"AAAAAG9+95s=")</f>
        <v>0</v>
      </c>
      <c r="FA8" s="1" t="b">
        <f>AND(A_Gros_Islet!H48,"AAAAAG9+95w=")</f>
        <v>0</v>
      </c>
      <c r="FB8" s="1" t="e">
        <f>AND(A_Gros_Islet!#REF!,"AAAAAG9+950=")</f>
        <v>#REF!</v>
      </c>
      <c r="FC8" s="1" t="e">
        <f>AND(A_Gros_Islet!#REF!,"AAAAAG9+954=")</f>
        <v>#REF!</v>
      </c>
      <c r="FD8" s="1" t="e">
        <f>AND(A_Gros_Islet!#REF!,"AAAAAG9+958=")</f>
        <v>#REF!</v>
      </c>
      <c r="FE8" s="1" t="e">
        <f>AND(A_Gros_Islet!#REF!,"AAAAAG9+96A=")</f>
        <v>#REF!</v>
      </c>
      <c r="FF8" s="1" t="b">
        <f>AND(A_Gros_Islet!I48,"AAAAAG9+96E=")</f>
        <v>1</v>
      </c>
      <c r="FG8" s="1" t="b">
        <f>AND(A_Gros_Islet!J48,"AAAAAG9+96I=")</f>
        <v>1</v>
      </c>
      <c r="FH8" s="1" t="b">
        <f>AND(A_Gros_Islet!K48,"AAAAAG9+96M=")</f>
        <v>1</v>
      </c>
      <c r="FI8" s="1" t="b">
        <f>AND(A_Gros_Islet!L48,"AAAAAG9+96Q=")</f>
        <v>1</v>
      </c>
      <c r="FJ8" s="1">
        <f>IF(A_Gros_Islet!49:49,"AAAAAG9+96U=",0)</f>
        <v>0</v>
      </c>
      <c r="FK8" s="1" t="e">
        <f>AND(A_Gros_Islet!A49,"AAAAAG9+96Y=")</f>
        <v>#VALUE!</v>
      </c>
      <c r="FL8" s="1" t="b">
        <f>AND(A_Gros_Islet!B49,"AAAAAG9+96c=")</f>
        <v>1</v>
      </c>
      <c r="FM8" s="1" t="b">
        <f>AND(A_Gros_Islet!C49,"AAAAAG9+96g=")</f>
        <v>1</v>
      </c>
      <c r="FN8" s="1" t="b">
        <f>AND(A_Gros_Islet!D49,"AAAAAG9+96k=")</f>
        <v>1</v>
      </c>
      <c r="FO8" s="1" t="b">
        <f>AND(A_Gros_Islet!E49,"AAAAAG9+96o=")</f>
        <v>1</v>
      </c>
      <c r="FP8" s="1" t="b">
        <f>AND(A_Gros_Islet!F49,"AAAAAG9+96s=")</f>
        <v>1</v>
      </c>
      <c r="FQ8" s="1" t="b">
        <f>AND(A_Gros_Islet!G49,"AAAAAG9+96w=")</f>
        <v>1</v>
      </c>
      <c r="FR8" s="1" t="b">
        <f>AND(A_Gros_Islet!H49,"AAAAAG9+960=")</f>
        <v>1</v>
      </c>
      <c r="FS8" s="1" t="e">
        <f>AND(A_Gros_Islet!#REF!,"AAAAAG9+964=")</f>
        <v>#REF!</v>
      </c>
      <c r="FT8" s="1" t="e">
        <f>AND(A_Gros_Islet!#REF!,"AAAAAG9+968=")</f>
        <v>#REF!</v>
      </c>
      <c r="FU8" s="1" t="e">
        <f>AND(A_Gros_Islet!#REF!,"AAAAAG9+97A=")</f>
        <v>#REF!</v>
      </c>
      <c r="FV8" s="1" t="e">
        <f>AND(A_Gros_Islet!#REF!,"AAAAAG9+97E=")</f>
        <v>#REF!</v>
      </c>
      <c r="FW8" s="1" t="b">
        <f>AND(A_Gros_Islet!I49,"AAAAAG9+97I=")</f>
        <v>1</v>
      </c>
      <c r="FX8" s="1" t="b">
        <f>AND(A_Gros_Islet!J49,"AAAAAG9+97M=")</f>
        <v>1</v>
      </c>
      <c r="FY8" s="1" t="b">
        <f>AND(A_Gros_Islet!K49,"AAAAAG9+97Q=")</f>
        <v>1</v>
      </c>
      <c r="FZ8" s="1" t="b">
        <f>AND(A_Gros_Islet!L49,"AAAAAG9+97U=")</f>
        <v>1</v>
      </c>
      <c r="GA8" s="1">
        <f>IF(A_Gros_Islet!50:50,"AAAAAG9+97Y=",0)</f>
        <v>0</v>
      </c>
      <c r="GB8" s="1" t="e">
        <f>AND(A_Gros_Islet!A50,"AAAAAG9+97c=")</f>
        <v>#VALUE!</v>
      </c>
      <c r="GC8" s="1" t="b">
        <f>AND(A_Gros_Islet!B50,"AAAAAG9+97g=")</f>
        <v>1</v>
      </c>
      <c r="GD8" s="1" t="b">
        <f>AND(A_Gros_Islet!C50,"AAAAAG9+97k=")</f>
        <v>1</v>
      </c>
      <c r="GE8" s="1" t="b">
        <f>AND(A_Gros_Islet!D50,"AAAAAG9+97o=")</f>
        <v>1</v>
      </c>
      <c r="GF8" s="1" t="b">
        <f>AND(A_Gros_Islet!E50,"AAAAAG9+97s=")</f>
        <v>1</v>
      </c>
      <c r="GG8" s="1" t="b">
        <f>AND(A_Gros_Islet!F50,"AAAAAG9+97w=")</f>
        <v>1</v>
      </c>
      <c r="GH8" s="1" t="b">
        <f>AND(A_Gros_Islet!G50,"AAAAAG9+970=")</f>
        <v>1</v>
      </c>
      <c r="GI8" s="1" t="b">
        <f>AND(A_Gros_Islet!H50,"AAAAAG9+974=")</f>
        <v>1</v>
      </c>
      <c r="GJ8" s="1" t="e">
        <f>AND(A_Gros_Islet!#REF!,"AAAAAG9+978=")</f>
        <v>#REF!</v>
      </c>
      <c r="GK8" s="1" t="e">
        <f>AND(A_Gros_Islet!#REF!,"AAAAAG9+98A=")</f>
        <v>#REF!</v>
      </c>
      <c r="GL8" s="1" t="e">
        <f>AND(A_Gros_Islet!#REF!,"AAAAAG9+98E=")</f>
        <v>#REF!</v>
      </c>
      <c r="GM8" s="1" t="e">
        <f>AND(A_Gros_Islet!#REF!,"AAAAAG9+98I=")</f>
        <v>#REF!</v>
      </c>
      <c r="GN8" s="1" t="b">
        <f>AND(A_Gros_Islet!I50,"AAAAAG9+98M=")</f>
        <v>1</v>
      </c>
      <c r="GO8" s="1" t="b">
        <f>AND(A_Gros_Islet!J50,"AAAAAG9+98Q=")</f>
        <v>1</v>
      </c>
      <c r="GP8" s="1" t="b">
        <f>AND(A_Gros_Islet!K50,"AAAAAG9+98U=")</f>
        <v>1</v>
      </c>
      <c r="GQ8" s="1" t="b">
        <f>AND(A_Gros_Islet!L50,"AAAAAG9+98Y=")</f>
        <v>1</v>
      </c>
      <c r="GR8" s="1">
        <f>IF(A_Gros_Islet!51:51,"AAAAAG9+98c=",0)</f>
        <v>0</v>
      </c>
      <c r="GS8" s="1" t="e">
        <f>AND(A_Gros_Islet!A51,"AAAAAG9+98g=")</f>
        <v>#VALUE!</v>
      </c>
      <c r="GT8" s="1" t="b">
        <f>AND(A_Gros_Islet!B51,"AAAAAG9+98k=")</f>
        <v>1</v>
      </c>
      <c r="GU8" s="1" t="b">
        <f>AND(A_Gros_Islet!C51,"AAAAAG9+98o=")</f>
        <v>1</v>
      </c>
      <c r="GV8" s="1" t="b">
        <f>AND(A_Gros_Islet!D51,"AAAAAG9+98s=")</f>
        <v>1</v>
      </c>
      <c r="GW8" s="1" t="b">
        <f>AND(A_Gros_Islet!E51,"AAAAAG9+98w=")</f>
        <v>1</v>
      </c>
      <c r="GX8" s="1" t="b">
        <f>AND(A_Gros_Islet!F51,"AAAAAG9+980=")</f>
        <v>1</v>
      </c>
      <c r="GY8" s="1" t="b">
        <f>AND(A_Gros_Islet!G51,"AAAAAG9+984=")</f>
        <v>1</v>
      </c>
      <c r="GZ8" s="1" t="b">
        <f>AND(A_Gros_Islet!H51,"AAAAAG9+988=")</f>
        <v>1</v>
      </c>
      <c r="HA8" s="1" t="e">
        <f>AND(A_Gros_Islet!#REF!,"AAAAAG9+99A=")</f>
        <v>#REF!</v>
      </c>
      <c r="HB8" s="1" t="e">
        <f>AND(A_Gros_Islet!#REF!,"AAAAAG9+99E=")</f>
        <v>#REF!</v>
      </c>
      <c r="HC8" s="1" t="e">
        <f>AND(A_Gros_Islet!#REF!,"AAAAAG9+99I=")</f>
        <v>#REF!</v>
      </c>
      <c r="HD8" s="1" t="e">
        <f>AND(A_Gros_Islet!#REF!,"AAAAAG9+99M=")</f>
        <v>#REF!</v>
      </c>
      <c r="HE8" s="1" t="b">
        <f>AND(A_Gros_Islet!I51,"AAAAAG9+99Q=")</f>
        <v>1</v>
      </c>
      <c r="HF8" s="1" t="b">
        <f>AND(A_Gros_Islet!J51,"AAAAAG9+99U=")</f>
        <v>1</v>
      </c>
      <c r="HG8" s="1" t="b">
        <f>AND(A_Gros_Islet!K51,"AAAAAG9+99Y=")</f>
        <v>1</v>
      </c>
      <c r="HH8" s="1" t="b">
        <f>AND(A_Gros_Islet!L51,"AAAAAG9+99c=")</f>
        <v>1</v>
      </c>
      <c r="HI8" s="1">
        <f>IF(A_Gros_Islet!53:53,"AAAAAG9+99g=",0)</f>
        <v>0</v>
      </c>
      <c r="HJ8" s="1" t="e">
        <f>AND(A_Gros_Islet!A53,"AAAAAG9+99k=")</f>
        <v>#VALUE!</v>
      </c>
      <c r="HK8" s="1" t="e">
        <f>AND(A_Gros_Islet!B53,"AAAAAG9+99o=")</f>
        <v>#VALUE!</v>
      </c>
      <c r="HL8" s="1" t="e">
        <f>AND(A_Gros_Islet!C53,"AAAAAG9+99s=")</f>
        <v>#VALUE!</v>
      </c>
      <c r="HM8" s="1" t="e">
        <f>AND(A_Gros_Islet!D53,"AAAAAG9+99w=")</f>
        <v>#VALUE!</v>
      </c>
      <c r="HN8" s="1" t="e">
        <f>AND(A_Gros_Islet!E53,"AAAAAG9+990=")</f>
        <v>#VALUE!</v>
      </c>
      <c r="HO8" s="1" t="e">
        <f>AND(A_Gros_Islet!F53,"AAAAAG9+994=")</f>
        <v>#VALUE!</v>
      </c>
      <c r="HP8" s="1" t="e">
        <f>AND(A_Gros_Islet!G53,"AAAAAG9+998=")</f>
        <v>#VALUE!</v>
      </c>
      <c r="HQ8" s="1" t="e">
        <f>AND(A_Gros_Islet!H53,"AAAAAG9+9+A=")</f>
        <v>#VALUE!</v>
      </c>
      <c r="HR8" s="1" t="e">
        <f>AND(A_Gros_Islet!#REF!,"AAAAAG9+9+E=")</f>
        <v>#REF!</v>
      </c>
      <c r="HS8" s="1" t="e">
        <f>AND(A_Gros_Islet!#REF!,"AAAAAG9+9+I=")</f>
        <v>#REF!</v>
      </c>
      <c r="HT8" s="1" t="e">
        <f>AND(A_Gros_Islet!#REF!,"AAAAAG9+9+M=")</f>
        <v>#REF!</v>
      </c>
      <c r="HU8" s="1" t="e">
        <f>AND(A_Gros_Islet!#REF!,"AAAAAG9+9+Q=")</f>
        <v>#REF!</v>
      </c>
      <c r="HV8" s="1" t="e">
        <f>AND(A_Gros_Islet!I53,"AAAAAG9+9+U=")</f>
        <v>#VALUE!</v>
      </c>
      <c r="HW8" s="1" t="e">
        <f>AND(A_Gros_Islet!J53,"AAAAAG9+9+Y=")</f>
        <v>#VALUE!</v>
      </c>
      <c r="HX8" s="1" t="e">
        <f>AND(A_Gros_Islet!K53,"AAAAAG9+9+c=")</f>
        <v>#VALUE!</v>
      </c>
      <c r="HY8" s="1" t="e">
        <f>AND(A_Gros_Islet!L53,"AAAAAG9+9+g=")</f>
        <v>#VALUE!</v>
      </c>
      <c r="HZ8" s="1">
        <f>IF(A_Gros_Islet!54:54,"AAAAAG9+9+k=",0)</f>
        <v>0</v>
      </c>
      <c r="IA8" s="1" t="e">
        <f>AND(A_Gros_Islet!A54,"AAAAAG9+9+o=")</f>
        <v>#VALUE!</v>
      </c>
      <c r="IB8" s="1" t="b">
        <f>AND(A_Gros_Islet!B54,"AAAAAG9+9+s=")</f>
        <v>1</v>
      </c>
      <c r="IC8" s="1" t="b">
        <f>AND(A_Gros_Islet!C54,"AAAAAG9+9+w=")</f>
        <v>1</v>
      </c>
      <c r="ID8" s="1" t="b">
        <f>AND(A_Gros_Islet!D54,"AAAAAG9+9+0=")</f>
        <v>1</v>
      </c>
      <c r="IE8" s="1" t="b">
        <f>AND(A_Gros_Islet!E54,"AAAAAG9+9+4=")</f>
        <v>1</v>
      </c>
      <c r="IF8" s="1" t="b">
        <f>AND(A_Gros_Islet!F54,"AAAAAG9+9+8=")</f>
        <v>1</v>
      </c>
      <c r="IG8" s="1" t="b">
        <f>AND(A_Gros_Islet!G54,"AAAAAG9+9/A=")</f>
        <v>1</v>
      </c>
      <c r="IH8" s="1" t="b">
        <f>AND(A_Gros_Islet!H54,"AAAAAG9+9/E=")</f>
        <v>1</v>
      </c>
      <c r="II8" s="1" t="e">
        <f>AND(A_Gros_Islet!#REF!,"AAAAAG9+9/I=")</f>
        <v>#REF!</v>
      </c>
      <c r="IJ8" s="1" t="e">
        <f>AND(A_Gros_Islet!#REF!,"AAAAAG9+9/M=")</f>
        <v>#REF!</v>
      </c>
      <c r="IK8" s="1" t="e">
        <f>AND(A_Gros_Islet!#REF!,"AAAAAG9+9/Q=")</f>
        <v>#REF!</v>
      </c>
      <c r="IL8" s="1" t="e">
        <f>AND(A_Gros_Islet!#REF!,"AAAAAG9+9/U=")</f>
        <v>#REF!</v>
      </c>
      <c r="IM8" s="1" t="b">
        <f>AND(A_Gros_Islet!I54,"AAAAAG9+9/Y=")</f>
        <v>1</v>
      </c>
      <c r="IN8" s="1" t="b">
        <f>AND(A_Gros_Islet!J54,"AAAAAG9+9/c=")</f>
        <v>1</v>
      </c>
      <c r="IO8" s="1" t="b">
        <f>AND(A_Gros_Islet!K54,"AAAAAG9+9/g=")</f>
        <v>1</v>
      </c>
      <c r="IP8" s="1" t="b">
        <f>AND(A_Gros_Islet!L54,"AAAAAG9+9/k=")</f>
        <v>1</v>
      </c>
      <c r="IQ8" s="1">
        <f>IF(A_Gros_Islet!55:55,"AAAAAG9+9/o=",0)</f>
        <v>0</v>
      </c>
      <c r="IR8" s="1" t="e">
        <f>AND(A_Gros_Islet!A55,"AAAAAG9+9/s=")</f>
        <v>#VALUE!</v>
      </c>
      <c r="IS8" s="1" t="b">
        <f>AND(A_Gros_Islet!B55,"AAAAAG9+9/w=")</f>
        <v>1</v>
      </c>
      <c r="IT8" s="1" t="b">
        <f>AND(A_Gros_Islet!C55,"AAAAAG9+9/0=")</f>
        <v>1</v>
      </c>
      <c r="IU8" s="1" t="b">
        <f>AND(A_Gros_Islet!D55,"AAAAAG9+9/4=")</f>
        <v>1</v>
      </c>
      <c r="IV8" s="1" t="b">
        <f>AND(A_Gros_Islet!E55,"AAAAAG9+9/8=")</f>
        <v>1</v>
      </c>
    </row>
    <row r="9" spans="1:256" ht="12" customHeight="1" x14ac:dyDescent="0.2">
      <c r="A9" s="1" t="b">
        <f>AND(A_Gros_Islet!F55,"AAAAAHvdvwA=")</f>
        <v>1</v>
      </c>
      <c r="B9" s="1" t="b">
        <f>AND(A_Gros_Islet!G55,"AAAAAHvdvwE=")</f>
        <v>1</v>
      </c>
      <c r="C9" s="1" t="b">
        <f>AND(A_Gros_Islet!H55,"AAAAAHvdvwI=")</f>
        <v>1</v>
      </c>
      <c r="D9" s="1" t="e">
        <f>AND(A_Gros_Islet!#REF!,"AAAAAHvdvwM=")</f>
        <v>#REF!</v>
      </c>
      <c r="E9" s="1" t="e">
        <f>AND(A_Gros_Islet!#REF!,"AAAAAHvdvwQ=")</f>
        <v>#REF!</v>
      </c>
      <c r="F9" s="1" t="e">
        <f>AND(A_Gros_Islet!#REF!,"AAAAAHvdvwU=")</f>
        <v>#REF!</v>
      </c>
      <c r="G9" s="1" t="e">
        <f>AND(A_Gros_Islet!#REF!,"AAAAAHvdvwY=")</f>
        <v>#REF!</v>
      </c>
      <c r="H9" s="1" t="b">
        <f>AND(A_Gros_Islet!I55,"AAAAAHvdvwc=")</f>
        <v>1</v>
      </c>
      <c r="I9" s="1" t="b">
        <f>AND(A_Gros_Islet!J55,"AAAAAHvdvwg=")</f>
        <v>1</v>
      </c>
      <c r="J9" s="1" t="b">
        <f>AND(A_Gros_Islet!K55,"AAAAAHvdvwk=")</f>
        <v>1</v>
      </c>
      <c r="K9" s="1" t="b">
        <f>AND(A_Gros_Islet!L55,"AAAAAHvdvwo=")</f>
        <v>1</v>
      </c>
      <c r="L9" s="1" t="str">
        <f>IF(A_Gros_Islet!56:56,"AAAAAHvdvws=",0)</f>
        <v>AAAAAHvdvws=</v>
      </c>
      <c r="M9" s="1" t="e">
        <f>AND(A_Gros_Islet!A56,"AAAAAHvdvww=")</f>
        <v>#VALUE!</v>
      </c>
      <c r="N9" s="1" t="b">
        <f>AND(A_Gros_Islet!B56,"AAAAAHvdvw0=")</f>
        <v>1</v>
      </c>
      <c r="O9" s="1" t="b">
        <f>AND(A_Gros_Islet!C56,"AAAAAHvdvw4=")</f>
        <v>1</v>
      </c>
      <c r="P9" s="1" t="b">
        <f>AND(A_Gros_Islet!D56,"AAAAAHvdvw8=")</f>
        <v>1</v>
      </c>
      <c r="Q9" s="1" t="b">
        <f>AND(A_Gros_Islet!E56,"AAAAAHvdvxA=")</f>
        <v>1</v>
      </c>
      <c r="R9" s="1" t="b">
        <f>AND(A_Gros_Islet!F56,"AAAAAHvdvxE=")</f>
        <v>1</v>
      </c>
      <c r="S9" s="1" t="b">
        <f>AND(A_Gros_Islet!G56,"AAAAAHvdvxI=")</f>
        <v>1</v>
      </c>
      <c r="T9" s="1" t="b">
        <f>AND(A_Gros_Islet!H56,"AAAAAHvdvxM=")</f>
        <v>1</v>
      </c>
      <c r="U9" s="1" t="e">
        <f>AND(A_Gros_Islet!#REF!,"AAAAAHvdvxQ=")</f>
        <v>#REF!</v>
      </c>
      <c r="V9" s="1" t="e">
        <f>AND(A_Gros_Islet!#REF!,"AAAAAHvdvxU=")</f>
        <v>#REF!</v>
      </c>
      <c r="W9" s="1" t="e">
        <f>AND(A_Gros_Islet!#REF!,"AAAAAHvdvxY=")</f>
        <v>#REF!</v>
      </c>
      <c r="X9" s="1" t="e">
        <f>AND(A_Gros_Islet!#REF!,"AAAAAHvdvxc=")</f>
        <v>#REF!</v>
      </c>
      <c r="Y9" s="1" t="b">
        <f>AND(A_Gros_Islet!I56,"AAAAAHvdvxg=")</f>
        <v>1</v>
      </c>
      <c r="Z9" s="1" t="b">
        <f>AND(A_Gros_Islet!J56,"AAAAAHvdvxk=")</f>
        <v>1</v>
      </c>
      <c r="AA9" s="1" t="b">
        <f>AND(A_Gros_Islet!K56,"AAAAAHvdvxo=")</f>
        <v>1</v>
      </c>
      <c r="AB9" s="1" t="b">
        <f>AND(A_Gros_Islet!L56,"AAAAAHvdvxs=")</f>
        <v>1</v>
      </c>
      <c r="AC9" s="1">
        <f>IF(A_Gros_Islet!57:57,"AAAAAHvdvxw=",0)</f>
        <v>0</v>
      </c>
      <c r="AD9" s="1" t="e">
        <f>AND(A_Gros_Islet!A57,"AAAAAHvdvx0=")</f>
        <v>#VALUE!</v>
      </c>
      <c r="AE9" s="1" t="b">
        <f>AND(A_Gros_Islet!B57,"AAAAAHvdvx4=")</f>
        <v>1</v>
      </c>
      <c r="AF9" s="1" t="b">
        <f>AND(A_Gros_Islet!C57,"AAAAAHvdvx8=")</f>
        <v>1</v>
      </c>
      <c r="AG9" s="1" t="b">
        <f>AND(A_Gros_Islet!D57,"AAAAAHvdvyA=")</f>
        <v>1</v>
      </c>
      <c r="AH9" s="1" t="b">
        <f>AND(A_Gros_Islet!E57,"AAAAAHvdvyE=")</f>
        <v>1</v>
      </c>
      <c r="AI9" s="1" t="b">
        <f>AND(A_Gros_Islet!F57,"AAAAAHvdvyI=")</f>
        <v>1</v>
      </c>
      <c r="AJ9" s="1" t="b">
        <f>AND(A_Gros_Islet!G57,"AAAAAHvdvyM=")</f>
        <v>1</v>
      </c>
      <c r="AK9" s="1" t="b">
        <f>AND(A_Gros_Islet!H57,"AAAAAHvdvyQ=")</f>
        <v>1</v>
      </c>
      <c r="AL9" s="1" t="e">
        <f>AND(A_Gros_Islet!#REF!,"AAAAAHvdvyU=")</f>
        <v>#REF!</v>
      </c>
      <c r="AM9" s="1" t="e">
        <f>AND(A_Gros_Islet!#REF!,"AAAAAHvdvyY=")</f>
        <v>#REF!</v>
      </c>
      <c r="AN9" s="1" t="e">
        <f>AND(A_Gros_Islet!#REF!,"AAAAAHvdvyc=")</f>
        <v>#REF!</v>
      </c>
      <c r="AO9" s="1" t="e">
        <f>AND(A_Gros_Islet!#REF!,"AAAAAHvdvyg=")</f>
        <v>#REF!</v>
      </c>
      <c r="AP9" s="1" t="b">
        <f>AND(A_Gros_Islet!I57,"AAAAAHvdvyk=")</f>
        <v>1</v>
      </c>
      <c r="AQ9" s="1" t="b">
        <f>AND(A_Gros_Islet!J57,"AAAAAHvdvyo=")</f>
        <v>1</v>
      </c>
      <c r="AR9" s="1" t="b">
        <f>AND(A_Gros_Islet!K57,"AAAAAHvdvys=")</f>
        <v>1</v>
      </c>
      <c r="AS9" s="1" t="b">
        <f>AND(A_Gros_Islet!L57,"AAAAAHvdvyw=")</f>
        <v>1</v>
      </c>
      <c r="AT9" s="1">
        <f>IF(A_Gros_Islet!58:58,"AAAAAHvdvy0=",0)</f>
        <v>0</v>
      </c>
      <c r="AU9" s="1" t="e">
        <f>AND(A_Gros_Islet!A58,"AAAAAHvdvy4=")</f>
        <v>#VALUE!</v>
      </c>
      <c r="AV9" s="1" t="b">
        <f>AND(A_Gros_Islet!B58,"AAAAAHvdvy8=")</f>
        <v>1</v>
      </c>
      <c r="AW9" s="1" t="b">
        <f>AND(A_Gros_Islet!C58,"AAAAAHvdvzA=")</f>
        <v>1</v>
      </c>
      <c r="AX9" s="1" t="b">
        <f>AND(A_Gros_Islet!D58,"AAAAAHvdvzE=")</f>
        <v>1</v>
      </c>
      <c r="AY9" s="1" t="b">
        <f>AND(A_Gros_Islet!E58,"AAAAAHvdvzI=")</f>
        <v>1</v>
      </c>
      <c r="AZ9" s="1" t="b">
        <f>AND(A_Gros_Islet!F58,"AAAAAHvdvzM=")</f>
        <v>1</v>
      </c>
      <c r="BA9" s="1" t="b">
        <f>AND(A_Gros_Islet!G58,"AAAAAHvdvzQ=")</f>
        <v>1</v>
      </c>
      <c r="BB9" s="1" t="b">
        <f>AND(A_Gros_Islet!H58,"AAAAAHvdvzU=")</f>
        <v>1</v>
      </c>
      <c r="BC9" s="1" t="e">
        <f>AND(A_Gros_Islet!#REF!,"AAAAAHvdvzY=")</f>
        <v>#REF!</v>
      </c>
      <c r="BD9" s="1" t="e">
        <f>AND(A_Gros_Islet!#REF!,"AAAAAHvdvzc=")</f>
        <v>#REF!</v>
      </c>
      <c r="BE9" s="1" t="e">
        <f>AND(A_Gros_Islet!#REF!,"AAAAAHvdvzg=")</f>
        <v>#REF!</v>
      </c>
      <c r="BF9" s="1" t="e">
        <f>AND(A_Gros_Islet!#REF!,"AAAAAHvdvzk=")</f>
        <v>#REF!</v>
      </c>
      <c r="BG9" s="1" t="b">
        <f>AND(A_Gros_Islet!I58,"AAAAAHvdvzo=")</f>
        <v>1</v>
      </c>
      <c r="BH9" s="1" t="b">
        <f>AND(A_Gros_Islet!J58,"AAAAAHvdvzs=")</f>
        <v>1</v>
      </c>
      <c r="BI9" s="1" t="b">
        <f>AND(A_Gros_Islet!K58,"AAAAAHvdvzw=")</f>
        <v>1</v>
      </c>
      <c r="BJ9" s="1" t="b">
        <f>AND(A_Gros_Islet!L58,"AAAAAHvdvz0=")</f>
        <v>1</v>
      </c>
      <c r="BK9" s="1">
        <f>IF(A_Gros_Islet!59:59,"AAAAAHvdvz4=",0)</f>
        <v>0</v>
      </c>
      <c r="BL9" s="1" t="e">
        <f>AND(A_Gros_Islet!A59,"AAAAAHvdvz8=")</f>
        <v>#VALUE!</v>
      </c>
      <c r="BM9" s="1" t="b">
        <f>AND(A_Gros_Islet!B59,"AAAAAHvdv0A=")</f>
        <v>1</v>
      </c>
      <c r="BN9" s="1" t="b">
        <f>AND(A_Gros_Islet!C59,"AAAAAHvdv0E=")</f>
        <v>1</v>
      </c>
      <c r="BO9" s="1" t="b">
        <f>AND(A_Gros_Islet!D59,"AAAAAHvdv0I=")</f>
        <v>1</v>
      </c>
      <c r="BP9" s="1" t="b">
        <f>AND(A_Gros_Islet!E59,"AAAAAHvdv0M=")</f>
        <v>1</v>
      </c>
      <c r="BQ9" s="1" t="b">
        <f>AND(A_Gros_Islet!F59,"AAAAAHvdv0Q=")</f>
        <v>1</v>
      </c>
      <c r="BR9" s="1" t="b">
        <f>AND(A_Gros_Islet!G59,"AAAAAHvdv0U=")</f>
        <v>1</v>
      </c>
      <c r="BS9" s="1" t="b">
        <f>AND(A_Gros_Islet!H59,"AAAAAHvdv0Y=")</f>
        <v>1</v>
      </c>
      <c r="BT9" s="1" t="e">
        <f>AND(A_Gros_Islet!#REF!,"AAAAAHvdv0c=")</f>
        <v>#REF!</v>
      </c>
      <c r="BU9" s="1" t="e">
        <f>AND(A_Gros_Islet!#REF!,"AAAAAHvdv0g=")</f>
        <v>#REF!</v>
      </c>
      <c r="BV9" s="1" t="e">
        <f>AND(A_Gros_Islet!#REF!,"AAAAAHvdv0k=")</f>
        <v>#REF!</v>
      </c>
      <c r="BW9" s="1" t="e">
        <f>AND(A_Gros_Islet!#REF!,"AAAAAHvdv0o=")</f>
        <v>#REF!</v>
      </c>
      <c r="BX9" s="1" t="b">
        <f>AND(A_Gros_Islet!I59,"AAAAAHvdv0s=")</f>
        <v>1</v>
      </c>
      <c r="BY9" s="1" t="b">
        <f>AND(A_Gros_Islet!J59,"AAAAAHvdv0w=")</f>
        <v>1</v>
      </c>
      <c r="BZ9" s="1" t="b">
        <f>AND(A_Gros_Islet!K59,"AAAAAHvdv00=")</f>
        <v>1</v>
      </c>
      <c r="CA9" s="1" t="b">
        <f>AND(A_Gros_Islet!L59,"AAAAAHvdv04=")</f>
        <v>1</v>
      </c>
      <c r="CB9" s="1">
        <f>IF(A_Gros_Islet!62:62,"AAAAAHvdv08=",0)</f>
        <v>0</v>
      </c>
      <c r="CC9" s="1" t="e">
        <f>AND(A_Gros_Islet!A62,"AAAAAHvdv1A=")</f>
        <v>#VALUE!</v>
      </c>
      <c r="CD9" s="1" t="b">
        <f>AND(A_Gros_Islet!B62,"AAAAAHvdv1E=")</f>
        <v>1</v>
      </c>
      <c r="CE9" s="1" t="b">
        <f>AND(A_Gros_Islet!C62,"AAAAAHvdv1I=")</f>
        <v>1</v>
      </c>
      <c r="CF9" s="1" t="b">
        <f>AND(A_Gros_Islet!D62,"AAAAAHvdv1M=")</f>
        <v>1</v>
      </c>
      <c r="CG9" s="1" t="b">
        <f>AND(A_Gros_Islet!E62,"AAAAAHvdv1Q=")</f>
        <v>1</v>
      </c>
      <c r="CH9" s="1" t="b">
        <f>AND(A_Gros_Islet!F62,"AAAAAHvdv1U=")</f>
        <v>1</v>
      </c>
      <c r="CI9" s="1" t="b">
        <f>AND(A_Gros_Islet!G62,"AAAAAHvdv1Y=")</f>
        <v>1</v>
      </c>
      <c r="CJ9" s="1" t="b">
        <f>AND(A_Gros_Islet!H62,"AAAAAHvdv1c=")</f>
        <v>1</v>
      </c>
      <c r="CK9" s="1" t="e">
        <f>AND(A_Gros_Islet!#REF!,"AAAAAHvdv1g=")</f>
        <v>#REF!</v>
      </c>
      <c r="CL9" s="1" t="e">
        <f>AND(A_Gros_Islet!#REF!,"AAAAAHvdv1k=")</f>
        <v>#REF!</v>
      </c>
      <c r="CM9" s="1" t="e">
        <f>AND(A_Gros_Islet!#REF!,"AAAAAHvdv1o=")</f>
        <v>#REF!</v>
      </c>
      <c r="CN9" s="1" t="e">
        <f>AND(A_Gros_Islet!#REF!,"AAAAAHvdv1s=")</f>
        <v>#REF!</v>
      </c>
      <c r="CO9" s="1" t="b">
        <f>AND(A_Gros_Islet!I62,"AAAAAHvdv1w=")</f>
        <v>1</v>
      </c>
      <c r="CP9" s="1" t="b">
        <f>AND(A_Gros_Islet!J62,"AAAAAHvdv10=")</f>
        <v>1</v>
      </c>
      <c r="CQ9" s="1" t="b">
        <f>AND(A_Gros_Islet!K62,"AAAAAHvdv14=")</f>
        <v>1</v>
      </c>
      <c r="CR9" s="1" t="b">
        <f>AND(A_Gros_Islet!L62,"AAAAAHvdv18=")</f>
        <v>1</v>
      </c>
      <c r="CS9" s="1">
        <f>IF(A_Gros_Islet!65:65,"AAAAAHvdv2A=",0)</f>
        <v>0</v>
      </c>
      <c r="CT9" s="1" t="e">
        <f>AND(A_Gros_Islet!A65,"AAAAAHvdv2E=")</f>
        <v>#VALUE!</v>
      </c>
      <c r="CU9" s="1" t="b">
        <f>AND(A_Gros_Islet!B65,"AAAAAHvdv2I=")</f>
        <v>1</v>
      </c>
      <c r="CV9" s="1" t="b">
        <f>AND(A_Gros_Islet!C65,"AAAAAHvdv2M=")</f>
        <v>1</v>
      </c>
      <c r="CW9" s="1" t="b">
        <f>AND(A_Gros_Islet!D65,"AAAAAHvdv2Q=")</f>
        <v>1</v>
      </c>
      <c r="CX9" s="1" t="b">
        <f>AND(A_Gros_Islet!E65,"AAAAAHvdv2U=")</f>
        <v>1</v>
      </c>
      <c r="CY9" s="1" t="b">
        <f>AND(A_Gros_Islet!F65,"AAAAAHvdv2Y=")</f>
        <v>1</v>
      </c>
      <c r="CZ9" s="1" t="b">
        <f>AND(A_Gros_Islet!G65,"AAAAAHvdv2c=")</f>
        <v>1</v>
      </c>
      <c r="DA9" s="1" t="b">
        <f>AND(A_Gros_Islet!H65,"AAAAAHvdv2g=")</f>
        <v>1</v>
      </c>
      <c r="DB9" s="1" t="e">
        <f>AND(A_Gros_Islet!#REF!,"AAAAAHvdv2k=")</f>
        <v>#REF!</v>
      </c>
      <c r="DC9" s="1" t="e">
        <f>AND(A_Gros_Islet!#REF!,"AAAAAHvdv2o=")</f>
        <v>#REF!</v>
      </c>
      <c r="DD9" s="1" t="e">
        <f>AND(A_Gros_Islet!#REF!,"AAAAAHvdv2s=")</f>
        <v>#REF!</v>
      </c>
      <c r="DE9" s="1" t="e">
        <f>AND(A_Gros_Islet!#REF!,"AAAAAHvdv2w=")</f>
        <v>#REF!</v>
      </c>
      <c r="DF9" s="1" t="b">
        <f>AND(A_Gros_Islet!I65,"AAAAAHvdv20=")</f>
        <v>1</v>
      </c>
      <c r="DG9" s="1" t="b">
        <f>AND(A_Gros_Islet!J65,"AAAAAHvdv24=")</f>
        <v>1</v>
      </c>
      <c r="DH9" s="1" t="b">
        <f>AND(A_Gros_Islet!K65,"AAAAAHvdv28=")</f>
        <v>1</v>
      </c>
      <c r="DI9" s="1" t="b">
        <f>AND(A_Gros_Islet!L65,"AAAAAHvdv3A=")</f>
        <v>1</v>
      </c>
      <c r="DJ9" s="1">
        <f>IF(A_Gros_Islet!67:67,"AAAAAHvdv3E=",0)</f>
        <v>0</v>
      </c>
      <c r="DK9" s="1" t="e">
        <f>AND(A_Gros_Islet!A67,"AAAAAHvdv3I=")</f>
        <v>#VALUE!</v>
      </c>
      <c r="DL9" s="1" t="e">
        <f>AND(A_Gros_Islet!B67,"AAAAAHvdv3M=")</f>
        <v>#VALUE!</v>
      </c>
      <c r="DM9" s="1" t="e">
        <f>AND(A_Gros_Islet!C67,"AAAAAHvdv3Q=")</f>
        <v>#VALUE!</v>
      </c>
      <c r="DN9" s="1" t="e">
        <f>AND(A_Gros_Islet!D67,"AAAAAHvdv3U=")</f>
        <v>#VALUE!</v>
      </c>
      <c r="DO9" s="1" t="e">
        <f>AND(A_Gros_Islet!E67,"AAAAAHvdv3Y=")</f>
        <v>#VALUE!</v>
      </c>
      <c r="DP9" s="1" t="e">
        <f>AND(A_Gros_Islet!F67,"AAAAAHvdv3c=")</f>
        <v>#VALUE!</v>
      </c>
      <c r="DQ9" s="1" t="e">
        <f>AND(A_Gros_Islet!G67,"AAAAAHvdv3g=")</f>
        <v>#VALUE!</v>
      </c>
      <c r="DR9" s="1" t="e">
        <f>AND(A_Gros_Islet!H67,"AAAAAHvdv3k=")</f>
        <v>#VALUE!</v>
      </c>
      <c r="DS9" s="1" t="e">
        <f>AND(A_Gros_Islet!#REF!,"AAAAAHvdv3o=")</f>
        <v>#REF!</v>
      </c>
      <c r="DT9" s="1" t="e">
        <f>AND(A_Gros_Islet!#REF!,"AAAAAHvdv3s=")</f>
        <v>#REF!</v>
      </c>
      <c r="DU9" s="1" t="e">
        <f>AND(A_Gros_Islet!#REF!,"AAAAAHvdv3w=")</f>
        <v>#REF!</v>
      </c>
      <c r="DV9" s="1" t="e">
        <f>AND(A_Gros_Islet!#REF!,"AAAAAHvdv30=")</f>
        <v>#REF!</v>
      </c>
      <c r="DW9" s="1" t="e">
        <f>AND(A_Gros_Islet!I67,"AAAAAHvdv34=")</f>
        <v>#VALUE!</v>
      </c>
      <c r="DX9" s="1" t="e">
        <f>AND(A_Gros_Islet!J67,"AAAAAHvdv38=")</f>
        <v>#VALUE!</v>
      </c>
      <c r="DY9" s="1" t="e">
        <f>AND(A_Gros_Islet!K67,"AAAAAHvdv4A=")</f>
        <v>#VALUE!</v>
      </c>
      <c r="DZ9" s="1" t="e">
        <f>AND(A_Gros_Islet!L67,"AAAAAHvdv4E=")</f>
        <v>#VALUE!</v>
      </c>
      <c r="EA9" s="1">
        <f>IF(A_Gros_Islet!68:68,"AAAAAHvdv4I=",0)</f>
        <v>0</v>
      </c>
      <c r="EB9" s="1" t="e">
        <f>AND(A_Gros_Islet!A68,"AAAAAHvdv4M=")</f>
        <v>#VALUE!</v>
      </c>
      <c r="EC9" s="1" t="b">
        <f>AND(A_Gros_Islet!B68,"AAAAAHvdv4Q=")</f>
        <v>1</v>
      </c>
      <c r="ED9" s="1" t="b">
        <f>AND(A_Gros_Islet!C68,"AAAAAHvdv4U=")</f>
        <v>1</v>
      </c>
      <c r="EE9" s="1" t="b">
        <f>AND(A_Gros_Islet!D68,"AAAAAHvdv4Y=")</f>
        <v>1</v>
      </c>
      <c r="EF9" s="1" t="b">
        <f>AND(A_Gros_Islet!E68,"AAAAAHvdv4c=")</f>
        <v>1</v>
      </c>
      <c r="EG9" s="1" t="b">
        <f>AND(A_Gros_Islet!F68,"AAAAAHvdv4g=")</f>
        <v>1</v>
      </c>
      <c r="EH9" s="1" t="b">
        <f>AND(A_Gros_Islet!G68,"AAAAAHvdv4k=")</f>
        <v>1</v>
      </c>
      <c r="EI9" s="1" t="b">
        <f>AND(A_Gros_Islet!H68,"AAAAAHvdv4o=")</f>
        <v>1</v>
      </c>
      <c r="EJ9" s="1" t="e">
        <f>AND(A_Gros_Islet!#REF!,"AAAAAHvdv4s=")</f>
        <v>#REF!</v>
      </c>
      <c r="EK9" s="1" t="e">
        <f>AND(A_Gros_Islet!#REF!,"AAAAAHvdv4w=")</f>
        <v>#REF!</v>
      </c>
      <c r="EL9" s="1" t="e">
        <f>AND(A_Gros_Islet!#REF!,"AAAAAHvdv40=")</f>
        <v>#REF!</v>
      </c>
      <c r="EM9" s="1" t="e">
        <f>AND(A_Gros_Islet!#REF!,"AAAAAHvdv44=")</f>
        <v>#REF!</v>
      </c>
      <c r="EN9" s="1" t="b">
        <f>AND(A_Gros_Islet!I68,"AAAAAHvdv48=")</f>
        <v>1</v>
      </c>
      <c r="EO9" s="1" t="b">
        <f>AND(A_Gros_Islet!J68,"AAAAAHvdv5A=")</f>
        <v>1</v>
      </c>
      <c r="EP9" s="1" t="b">
        <f>AND(A_Gros_Islet!K68,"AAAAAHvdv5E=")</f>
        <v>1</v>
      </c>
      <c r="EQ9" s="1" t="b">
        <f>AND(A_Gros_Islet!L68,"AAAAAHvdv5I=")</f>
        <v>1</v>
      </c>
      <c r="ER9" s="1">
        <f>IF(A_Gros_Islet!69:69,"AAAAAHvdv5M=",0)</f>
        <v>0</v>
      </c>
      <c r="ES9" s="1" t="e">
        <f>AND(A_Gros_Islet!A69,"AAAAAHvdv5Q=")</f>
        <v>#VALUE!</v>
      </c>
      <c r="ET9" s="1" t="b">
        <f>AND(A_Gros_Islet!B69,"AAAAAHvdv5U=")</f>
        <v>1</v>
      </c>
      <c r="EU9" s="1" t="b">
        <f>AND(A_Gros_Islet!C69,"AAAAAHvdv5Y=")</f>
        <v>1</v>
      </c>
      <c r="EV9" s="1" t="b">
        <f>AND(A_Gros_Islet!D69,"AAAAAHvdv5c=")</f>
        <v>1</v>
      </c>
      <c r="EW9" s="1" t="b">
        <f>AND(A_Gros_Islet!E69,"AAAAAHvdv5g=")</f>
        <v>1</v>
      </c>
      <c r="EX9" s="1" t="b">
        <f>AND(A_Gros_Islet!F69,"AAAAAHvdv5k=")</f>
        <v>1</v>
      </c>
      <c r="EY9" s="1" t="b">
        <f>AND(A_Gros_Islet!G69,"AAAAAHvdv5o=")</f>
        <v>1</v>
      </c>
      <c r="EZ9" s="1" t="b">
        <f>AND(A_Gros_Islet!H69,"AAAAAHvdv5s=")</f>
        <v>1</v>
      </c>
      <c r="FA9" s="1" t="e">
        <f>AND(A_Gros_Islet!#REF!,"AAAAAHvdv5w=")</f>
        <v>#REF!</v>
      </c>
      <c r="FB9" s="1" t="e">
        <f>AND(A_Gros_Islet!#REF!,"AAAAAHvdv50=")</f>
        <v>#REF!</v>
      </c>
      <c r="FC9" s="1" t="e">
        <f>AND(A_Gros_Islet!#REF!,"AAAAAHvdv54=")</f>
        <v>#REF!</v>
      </c>
      <c r="FD9" s="1" t="e">
        <f>AND(A_Gros_Islet!#REF!,"AAAAAHvdv58=")</f>
        <v>#REF!</v>
      </c>
      <c r="FE9" s="1" t="b">
        <f>AND(A_Gros_Islet!I69,"AAAAAHvdv6A=")</f>
        <v>1</v>
      </c>
      <c r="FF9" s="1" t="b">
        <f>AND(A_Gros_Islet!J69,"AAAAAHvdv6E=")</f>
        <v>1</v>
      </c>
      <c r="FG9" s="1" t="b">
        <f>AND(A_Gros_Islet!K69,"AAAAAHvdv6I=")</f>
        <v>1</v>
      </c>
      <c r="FH9" s="1" t="b">
        <f>AND(A_Gros_Islet!L69,"AAAAAHvdv6M=")</f>
        <v>1</v>
      </c>
      <c r="FI9" s="1">
        <f>IF(A_Gros_Islet!70:70,"AAAAAHvdv6Q=",0)</f>
        <v>0</v>
      </c>
      <c r="FJ9" s="1" t="e">
        <f>AND(A_Gros_Islet!A70,"AAAAAHvdv6U=")</f>
        <v>#VALUE!</v>
      </c>
      <c r="FK9" s="1" t="b">
        <f>AND(A_Gros_Islet!B70,"AAAAAHvdv6Y=")</f>
        <v>1</v>
      </c>
      <c r="FL9" s="1" t="b">
        <f>AND(A_Gros_Islet!C70,"AAAAAHvdv6c=")</f>
        <v>1</v>
      </c>
      <c r="FM9" s="1" t="b">
        <f>AND(A_Gros_Islet!D70,"AAAAAHvdv6g=")</f>
        <v>1</v>
      </c>
      <c r="FN9" s="1" t="b">
        <f>AND(A_Gros_Islet!E70,"AAAAAHvdv6k=")</f>
        <v>1</v>
      </c>
      <c r="FO9" s="1" t="b">
        <f>AND(A_Gros_Islet!F70,"AAAAAHvdv6o=")</f>
        <v>1</v>
      </c>
      <c r="FP9" s="1" t="b">
        <f>AND(A_Gros_Islet!G70,"AAAAAHvdv6s=")</f>
        <v>1</v>
      </c>
      <c r="FQ9" s="1" t="b">
        <f>AND(A_Gros_Islet!H70,"AAAAAHvdv6w=")</f>
        <v>1</v>
      </c>
      <c r="FR9" s="1" t="e">
        <f>AND(A_Gros_Islet!#REF!,"AAAAAHvdv60=")</f>
        <v>#REF!</v>
      </c>
      <c r="FS9" s="1" t="e">
        <f>AND(A_Gros_Islet!#REF!,"AAAAAHvdv64=")</f>
        <v>#REF!</v>
      </c>
      <c r="FT9" s="1" t="e">
        <f>AND(A_Gros_Islet!#REF!,"AAAAAHvdv68=")</f>
        <v>#REF!</v>
      </c>
      <c r="FU9" s="1" t="e">
        <f>AND(A_Gros_Islet!#REF!,"AAAAAHvdv7A=")</f>
        <v>#REF!</v>
      </c>
      <c r="FV9" s="1" t="b">
        <f>AND(A_Gros_Islet!I70,"AAAAAHvdv7E=")</f>
        <v>1</v>
      </c>
      <c r="FW9" s="1" t="b">
        <f>AND(A_Gros_Islet!J70,"AAAAAHvdv7I=")</f>
        <v>1</v>
      </c>
      <c r="FX9" s="1" t="b">
        <f>AND(A_Gros_Islet!K70,"AAAAAHvdv7M=")</f>
        <v>1</v>
      </c>
      <c r="FY9" s="1" t="b">
        <f>AND(A_Gros_Islet!L70,"AAAAAHvdv7Q=")</f>
        <v>1</v>
      </c>
      <c r="FZ9" s="1">
        <f>IF(A_Gros_Islet!71:71,"AAAAAHvdv7U=",0)</f>
        <v>0</v>
      </c>
      <c r="GA9" s="1" t="e">
        <f>AND(A_Gros_Islet!A71,"AAAAAHvdv7Y=")</f>
        <v>#VALUE!</v>
      </c>
      <c r="GB9" s="1" t="b">
        <f>AND(A_Gros_Islet!B71,"AAAAAHvdv7c=")</f>
        <v>1</v>
      </c>
      <c r="GC9" s="1" t="b">
        <f>AND(A_Gros_Islet!C71,"AAAAAHvdv7g=")</f>
        <v>1</v>
      </c>
      <c r="GD9" s="1" t="b">
        <f>AND(A_Gros_Islet!D71,"AAAAAHvdv7k=")</f>
        <v>1</v>
      </c>
      <c r="GE9" s="1" t="b">
        <f>AND(A_Gros_Islet!E71,"AAAAAHvdv7o=")</f>
        <v>1</v>
      </c>
      <c r="GF9" s="1" t="b">
        <f>AND(A_Gros_Islet!F71,"AAAAAHvdv7s=")</f>
        <v>1</v>
      </c>
      <c r="GG9" s="1" t="b">
        <f>AND(A_Gros_Islet!G71,"AAAAAHvdv7w=")</f>
        <v>1</v>
      </c>
      <c r="GH9" s="1" t="b">
        <f>AND(A_Gros_Islet!H71,"AAAAAHvdv70=")</f>
        <v>1</v>
      </c>
      <c r="GI9" s="1" t="e">
        <f>AND(A_Gros_Islet!#REF!,"AAAAAHvdv74=")</f>
        <v>#REF!</v>
      </c>
      <c r="GJ9" s="1" t="e">
        <f>AND(A_Gros_Islet!#REF!,"AAAAAHvdv78=")</f>
        <v>#REF!</v>
      </c>
      <c r="GK9" s="1" t="e">
        <f>AND(A_Gros_Islet!#REF!,"AAAAAHvdv8A=")</f>
        <v>#REF!</v>
      </c>
      <c r="GL9" s="1" t="e">
        <f>AND(A_Gros_Islet!#REF!,"AAAAAHvdv8E=")</f>
        <v>#REF!</v>
      </c>
      <c r="GM9" s="1" t="b">
        <f>AND(A_Gros_Islet!I71,"AAAAAHvdv8I=")</f>
        <v>1</v>
      </c>
      <c r="GN9" s="1" t="b">
        <f>AND(A_Gros_Islet!J71,"AAAAAHvdv8M=")</f>
        <v>1</v>
      </c>
      <c r="GO9" s="1" t="b">
        <f>AND(A_Gros_Islet!K71,"AAAAAHvdv8Q=")</f>
        <v>1</v>
      </c>
      <c r="GP9" s="1" t="b">
        <f>AND(A_Gros_Islet!L71,"AAAAAHvdv8U=")</f>
        <v>1</v>
      </c>
      <c r="GQ9" s="1">
        <f>IF(A_Gros_Islet!72:72,"AAAAAHvdv8Y=",0)</f>
        <v>0</v>
      </c>
      <c r="GR9" s="1" t="e">
        <f>AND(A_Gros_Islet!A72,"AAAAAHvdv8c=")</f>
        <v>#VALUE!</v>
      </c>
      <c r="GS9" s="1" t="b">
        <f>AND(A_Gros_Islet!B72,"AAAAAHvdv8g=")</f>
        <v>1</v>
      </c>
      <c r="GT9" s="1" t="b">
        <f>AND(A_Gros_Islet!C72,"AAAAAHvdv8k=")</f>
        <v>1</v>
      </c>
      <c r="GU9" s="1" t="b">
        <f>AND(A_Gros_Islet!D72,"AAAAAHvdv8o=")</f>
        <v>1</v>
      </c>
      <c r="GV9" s="1" t="b">
        <f>AND(A_Gros_Islet!E72,"AAAAAHvdv8s=")</f>
        <v>1</v>
      </c>
      <c r="GW9" s="1" t="b">
        <f>AND(A_Gros_Islet!F72,"AAAAAHvdv8w=")</f>
        <v>1</v>
      </c>
      <c r="GX9" s="1" t="b">
        <f>AND(A_Gros_Islet!G72,"AAAAAHvdv80=")</f>
        <v>0</v>
      </c>
      <c r="GY9" s="1" t="b">
        <f>AND(A_Gros_Islet!H72,"AAAAAHvdv84=")</f>
        <v>0</v>
      </c>
      <c r="GZ9" s="1" t="e">
        <f>AND(A_Gros_Islet!#REF!,"AAAAAHvdv88=")</f>
        <v>#REF!</v>
      </c>
      <c r="HA9" s="1" t="e">
        <f>AND(A_Gros_Islet!#REF!,"AAAAAHvdv9A=")</f>
        <v>#REF!</v>
      </c>
      <c r="HB9" s="1" t="e">
        <f>AND(A_Gros_Islet!#REF!,"AAAAAHvdv9E=")</f>
        <v>#REF!</v>
      </c>
      <c r="HC9" s="1" t="e">
        <f>AND(A_Gros_Islet!#REF!,"AAAAAHvdv9I=")</f>
        <v>#REF!</v>
      </c>
      <c r="HD9" s="1" t="b">
        <f>AND(A_Gros_Islet!I72,"AAAAAHvdv9M=")</f>
        <v>0</v>
      </c>
      <c r="HE9" s="1" t="b">
        <f>AND(A_Gros_Islet!J72,"AAAAAHvdv9Q=")</f>
        <v>0</v>
      </c>
      <c r="HF9" s="1" t="b">
        <f>AND(A_Gros_Islet!K72,"AAAAAHvdv9U=")</f>
        <v>1</v>
      </c>
      <c r="HG9" s="1" t="b">
        <f>AND(A_Gros_Islet!L72,"AAAAAHvdv9Y=")</f>
        <v>1</v>
      </c>
      <c r="HH9" s="1">
        <f>IF(A_Gros_Islet!73:73,"AAAAAHvdv9c=",0)</f>
        <v>0</v>
      </c>
      <c r="HI9" s="1" t="e">
        <f>AND(A_Gros_Islet!A73,"AAAAAHvdv9g=")</f>
        <v>#VALUE!</v>
      </c>
      <c r="HJ9" s="1" t="b">
        <f>AND(A_Gros_Islet!B73,"AAAAAHvdv9k=")</f>
        <v>1</v>
      </c>
      <c r="HK9" s="1" t="b">
        <f>AND(A_Gros_Islet!C73,"AAAAAHvdv9o=")</f>
        <v>1</v>
      </c>
      <c r="HL9" s="1" t="b">
        <f>AND(A_Gros_Islet!D73,"AAAAAHvdv9s=")</f>
        <v>1</v>
      </c>
      <c r="HM9" s="1" t="b">
        <f>AND(A_Gros_Islet!E73,"AAAAAHvdv9w=")</f>
        <v>1</v>
      </c>
      <c r="HN9" s="1" t="b">
        <f>AND(A_Gros_Islet!F73,"AAAAAHvdv90=")</f>
        <v>1</v>
      </c>
      <c r="HO9" s="1" t="b">
        <f>AND(A_Gros_Islet!G73,"AAAAAHvdv94=")</f>
        <v>0</v>
      </c>
      <c r="HP9" s="1" t="b">
        <f>AND(A_Gros_Islet!H73,"AAAAAHvdv98=")</f>
        <v>0</v>
      </c>
      <c r="HQ9" s="1" t="e">
        <f>AND(A_Gros_Islet!#REF!,"AAAAAHvdv+A=")</f>
        <v>#REF!</v>
      </c>
      <c r="HR9" s="1" t="e">
        <f>AND(A_Gros_Islet!#REF!,"AAAAAHvdv+E=")</f>
        <v>#REF!</v>
      </c>
      <c r="HS9" s="1" t="e">
        <f>AND(A_Gros_Islet!#REF!,"AAAAAHvdv+I=")</f>
        <v>#REF!</v>
      </c>
      <c r="HT9" s="1" t="e">
        <f>AND(A_Gros_Islet!#REF!,"AAAAAHvdv+M=")</f>
        <v>#REF!</v>
      </c>
      <c r="HU9" s="1" t="b">
        <f>AND(A_Gros_Islet!I73,"AAAAAHvdv+Q=")</f>
        <v>0</v>
      </c>
      <c r="HV9" s="1" t="b">
        <f>AND(A_Gros_Islet!J73,"AAAAAHvdv+U=")</f>
        <v>0</v>
      </c>
      <c r="HW9" s="1" t="b">
        <f>AND(A_Gros_Islet!K73,"AAAAAHvdv+Y=")</f>
        <v>1</v>
      </c>
      <c r="HX9" s="1" t="b">
        <f>AND(A_Gros_Islet!L73,"AAAAAHvdv+c=")</f>
        <v>1</v>
      </c>
      <c r="HY9" s="1">
        <f>IF(A_Gros_Islet!74:74,"AAAAAHvdv+g=",0)</f>
        <v>0</v>
      </c>
      <c r="HZ9" s="1" t="e">
        <f>AND(A_Gros_Islet!A74,"AAAAAHvdv+k=")</f>
        <v>#VALUE!</v>
      </c>
      <c r="IA9" s="1" t="b">
        <f>AND(A_Gros_Islet!B74,"AAAAAHvdv+o=")</f>
        <v>1</v>
      </c>
      <c r="IB9" s="1" t="b">
        <f>AND(A_Gros_Islet!C74,"AAAAAHvdv+s=")</f>
        <v>1</v>
      </c>
      <c r="IC9" s="1" t="b">
        <f>AND(A_Gros_Islet!D74,"AAAAAHvdv+w=")</f>
        <v>1</v>
      </c>
      <c r="ID9" s="1" t="b">
        <f>AND(A_Gros_Islet!E74,"AAAAAHvdv+0=")</f>
        <v>1</v>
      </c>
      <c r="IE9" s="1" t="b">
        <f>AND(A_Gros_Islet!F74,"AAAAAHvdv+4=")</f>
        <v>1</v>
      </c>
      <c r="IF9" s="1" t="b">
        <f>AND(A_Gros_Islet!G74,"AAAAAHvdv+8=")</f>
        <v>1</v>
      </c>
      <c r="IG9" s="1" t="b">
        <f>AND(A_Gros_Islet!H74,"AAAAAHvdv/A=")</f>
        <v>1</v>
      </c>
      <c r="IH9" s="1" t="e">
        <f>AND(A_Gros_Islet!#REF!,"AAAAAHvdv/E=")</f>
        <v>#REF!</v>
      </c>
      <c r="II9" s="1" t="e">
        <f>AND(A_Gros_Islet!#REF!,"AAAAAHvdv/I=")</f>
        <v>#REF!</v>
      </c>
      <c r="IJ9" s="1" t="e">
        <f>AND(A_Gros_Islet!#REF!,"AAAAAHvdv/M=")</f>
        <v>#REF!</v>
      </c>
      <c r="IK9" s="1" t="e">
        <f>AND(A_Gros_Islet!#REF!,"AAAAAHvdv/Q=")</f>
        <v>#REF!</v>
      </c>
      <c r="IL9" s="1" t="b">
        <f>AND(A_Gros_Islet!I74,"AAAAAHvdv/U=")</f>
        <v>1</v>
      </c>
      <c r="IM9" s="1" t="b">
        <f>AND(A_Gros_Islet!J74,"AAAAAHvdv/Y=")</f>
        <v>1</v>
      </c>
      <c r="IN9" s="1" t="b">
        <f>AND(A_Gros_Islet!K74,"AAAAAHvdv/c=")</f>
        <v>1</v>
      </c>
      <c r="IO9" s="1" t="b">
        <f>AND(A_Gros_Islet!L74,"AAAAAHvdv/g=")</f>
        <v>1</v>
      </c>
      <c r="IP9" s="1">
        <f>IF(A_Gros_Islet!75:75,"AAAAAHvdv/k=",0)</f>
        <v>0</v>
      </c>
      <c r="IQ9" s="1" t="e">
        <f>AND(A_Gros_Islet!A75,"AAAAAHvdv/o=")</f>
        <v>#VALUE!</v>
      </c>
      <c r="IR9" s="1" t="b">
        <f>AND(A_Gros_Islet!B75,"AAAAAHvdv/s=")</f>
        <v>1</v>
      </c>
      <c r="IS9" s="1" t="b">
        <f>AND(A_Gros_Islet!C75,"AAAAAHvdv/w=")</f>
        <v>1</v>
      </c>
      <c r="IT9" s="1" t="b">
        <f>AND(A_Gros_Islet!D75,"AAAAAHvdv/0=")</f>
        <v>1</v>
      </c>
      <c r="IU9" s="1" t="b">
        <f>AND(A_Gros_Islet!E75,"AAAAAHvdv/4=")</f>
        <v>1</v>
      </c>
      <c r="IV9" s="1" t="b">
        <f>AND(A_Gros_Islet!F75,"AAAAAHvdv/8=")</f>
        <v>1</v>
      </c>
    </row>
    <row r="10" spans="1:256" ht="12" customHeight="1" x14ac:dyDescent="0.2">
      <c r="A10" s="1" t="b">
        <f>AND(A_Gros_Islet!G75,"AAAAAGruvgA=")</f>
        <v>1</v>
      </c>
      <c r="B10" s="1" t="b">
        <f>AND(A_Gros_Islet!H75,"AAAAAGruvgE=")</f>
        <v>1</v>
      </c>
      <c r="C10" s="1" t="e">
        <f>AND(A_Gros_Islet!#REF!,"AAAAAGruvgI=")</f>
        <v>#REF!</v>
      </c>
      <c r="D10" s="1" t="e">
        <f>AND(A_Gros_Islet!#REF!,"AAAAAGruvgM=")</f>
        <v>#REF!</v>
      </c>
      <c r="E10" s="1" t="e">
        <f>AND(A_Gros_Islet!#REF!,"AAAAAGruvgQ=")</f>
        <v>#REF!</v>
      </c>
      <c r="F10" s="1" t="e">
        <f>AND(A_Gros_Islet!#REF!,"AAAAAGruvgU=")</f>
        <v>#REF!</v>
      </c>
      <c r="G10" s="1" t="b">
        <f>AND(A_Gros_Islet!I75,"AAAAAGruvgY=")</f>
        <v>1</v>
      </c>
      <c r="H10" s="1" t="b">
        <f>AND(A_Gros_Islet!J75,"AAAAAGruvgc=")</f>
        <v>1</v>
      </c>
      <c r="I10" s="1" t="b">
        <f>AND(A_Gros_Islet!K75,"AAAAAGruvgg=")</f>
        <v>1</v>
      </c>
      <c r="J10" s="1" t="b">
        <f>AND(A_Gros_Islet!L75,"AAAAAGruvgk=")</f>
        <v>1</v>
      </c>
      <c r="K10" s="1" t="str">
        <f>IF(A_Gros_Islet!76:76,"AAAAAGruvgo=",0)</f>
        <v>AAAAAGruvgo=</v>
      </c>
      <c r="L10" s="1" t="e">
        <f>AND(A_Gros_Islet!A76,"AAAAAGruvgs=")</f>
        <v>#VALUE!</v>
      </c>
      <c r="M10" s="1" t="b">
        <f>AND(A_Gros_Islet!B76,"AAAAAGruvgw=")</f>
        <v>1</v>
      </c>
      <c r="N10" s="1" t="b">
        <f>AND(A_Gros_Islet!C76,"AAAAAGruvg0=")</f>
        <v>1</v>
      </c>
      <c r="O10" s="1" t="b">
        <f>AND(A_Gros_Islet!D76,"AAAAAGruvg4=")</f>
        <v>1</v>
      </c>
      <c r="P10" s="1" t="b">
        <f>AND(A_Gros_Islet!E76,"AAAAAGruvg8=")</f>
        <v>1</v>
      </c>
      <c r="Q10" s="1" t="b">
        <f>AND(A_Gros_Islet!F76,"AAAAAGruvhA=")</f>
        <v>1</v>
      </c>
      <c r="R10" s="1" t="b">
        <f>AND(A_Gros_Islet!G76,"AAAAAGruvhE=")</f>
        <v>1</v>
      </c>
      <c r="S10" s="1" t="b">
        <f>AND(A_Gros_Islet!H76,"AAAAAGruvhI=")</f>
        <v>1</v>
      </c>
      <c r="T10" s="1" t="e">
        <f>AND(A_Gros_Islet!#REF!,"AAAAAGruvhM=")</f>
        <v>#REF!</v>
      </c>
      <c r="U10" s="1" t="e">
        <f>AND(A_Gros_Islet!#REF!,"AAAAAGruvhQ=")</f>
        <v>#REF!</v>
      </c>
      <c r="V10" s="1" t="e">
        <f>AND(A_Gros_Islet!#REF!,"AAAAAGruvhU=")</f>
        <v>#REF!</v>
      </c>
      <c r="W10" s="1" t="e">
        <f>AND(A_Gros_Islet!#REF!,"AAAAAGruvhY=")</f>
        <v>#REF!</v>
      </c>
      <c r="X10" s="1" t="b">
        <f>AND(A_Gros_Islet!I76,"AAAAAGruvhc=")</f>
        <v>1</v>
      </c>
      <c r="Y10" s="1" t="b">
        <f>AND(A_Gros_Islet!J76,"AAAAAGruvhg=")</f>
        <v>1</v>
      </c>
      <c r="Z10" s="1" t="b">
        <f>AND(A_Gros_Islet!K76,"AAAAAGruvhk=")</f>
        <v>1</v>
      </c>
      <c r="AA10" s="1" t="b">
        <f>AND(A_Gros_Islet!L76,"AAAAAGruvho=")</f>
        <v>1</v>
      </c>
      <c r="AB10" s="1">
        <f>IF(A_Gros_Islet!77:77,"AAAAAGruvhs=",0)</f>
        <v>0</v>
      </c>
      <c r="AC10" s="1" t="e">
        <f>AND(A_Gros_Islet!A77,"AAAAAGruvhw=")</f>
        <v>#VALUE!</v>
      </c>
      <c r="AD10" s="1" t="b">
        <f>AND(A_Gros_Islet!B77,"AAAAAGruvh0=")</f>
        <v>1</v>
      </c>
      <c r="AE10" s="1" t="b">
        <f>AND(A_Gros_Islet!C77,"AAAAAGruvh4=")</f>
        <v>1</v>
      </c>
      <c r="AF10" s="1" t="b">
        <f>AND(A_Gros_Islet!D77,"AAAAAGruvh8=")</f>
        <v>1</v>
      </c>
      <c r="AG10" s="1" t="b">
        <f>AND(A_Gros_Islet!E77,"AAAAAGruviA=")</f>
        <v>1</v>
      </c>
      <c r="AH10" s="1" t="b">
        <f>AND(A_Gros_Islet!F77,"AAAAAGruviE=")</f>
        <v>1</v>
      </c>
      <c r="AI10" s="1" t="b">
        <f>AND(A_Gros_Islet!G77,"AAAAAGruviI=")</f>
        <v>1</v>
      </c>
      <c r="AJ10" s="1" t="b">
        <f>AND(A_Gros_Islet!H77,"AAAAAGruviM=")</f>
        <v>1</v>
      </c>
      <c r="AK10" s="1" t="e">
        <f>AND(A_Gros_Islet!#REF!,"AAAAAGruviQ=")</f>
        <v>#REF!</v>
      </c>
      <c r="AL10" s="1" t="e">
        <f>AND(A_Gros_Islet!#REF!,"AAAAAGruviU=")</f>
        <v>#REF!</v>
      </c>
      <c r="AM10" s="1" t="e">
        <f>AND(A_Gros_Islet!#REF!,"AAAAAGruviY=")</f>
        <v>#REF!</v>
      </c>
      <c r="AN10" s="1" t="e">
        <f>AND(A_Gros_Islet!#REF!,"AAAAAGruvic=")</f>
        <v>#REF!</v>
      </c>
      <c r="AO10" s="1" t="b">
        <f>AND(A_Gros_Islet!I77,"AAAAAGruvig=")</f>
        <v>0</v>
      </c>
      <c r="AP10" s="1" t="b">
        <f>AND(A_Gros_Islet!J77,"AAAAAGruvik=")</f>
        <v>0</v>
      </c>
      <c r="AQ10" s="1" t="b">
        <f>AND(A_Gros_Islet!K77,"AAAAAGruvio=")</f>
        <v>1</v>
      </c>
      <c r="AR10" s="1" t="b">
        <f>AND(A_Gros_Islet!L77,"AAAAAGruvis=")</f>
        <v>1</v>
      </c>
      <c r="AS10" s="1">
        <f>IF(A_Gros_Islet!78:78,"AAAAAGruviw=",0)</f>
        <v>0</v>
      </c>
      <c r="AT10" s="1" t="e">
        <f>AND(A_Gros_Islet!A78,"AAAAAGruvi0=")</f>
        <v>#VALUE!</v>
      </c>
      <c r="AU10" s="1" t="b">
        <f>AND(A_Gros_Islet!B78,"AAAAAGruvi4=")</f>
        <v>1</v>
      </c>
      <c r="AV10" s="1" t="b">
        <f>AND(A_Gros_Islet!C78,"AAAAAGruvi8=")</f>
        <v>1</v>
      </c>
      <c r="AW10" s="1" t="b">
        <f>AND(A_Gros_Islet!D78,"AAAAAGruvjA=")</f>
        <v>1</v>
      </c>
      <c r="AX10" s="1" t="b">
        <f>AND(A_Gros_Islet!E78,"AAAAAGruvjE=")</f>
        <v>1</v>
      </c>
      <c r="AY10" s="1" t="b">
        <f>AND(A_Gros_Islet!F78,"AAAAAGruvjI=")</f>
        <v>1</v>
      </c>
      <c r="AZ10" s="1" t="b">
        <f>AND(A_Gros_Islet!G78,"AAAAAGruvjM=")</f>
        <v>1</v>
      </c>
      <c r="BA10" s="1" t="b">
        <f>AND(A_Gros_Islet!H78,"AAAAAGruvjQ=")</f>
        <v>1</v>
      </c>
      <c r="BB10" s="1" t="e">
        <f>AND(A_Gros_Islet!#REF!,"AAAAAGruvjU=")</f>
        <v>#REF!</v>
      </c>
      <c r="BC10" s="1" t="e">
        <f>AND(A_Gros_Islet!#REF!,"AAAAAGruvjY=")</f>
        <v>#REF!</v>
      </c>
      <c r="BD10" s="1" t="e">
        <f>AND(A_Gros_Islet!#REF!,"AAAAAGruvjc=")</f>
        <v>#REF!</v>
      </c>
      <c r="BE10" s="1" t="e">
        <f>AND(A_Gros_Islet!#REF!,"AAAAAGruvjg=")</f>
        <v>#REF!</v>
      </c>
      <c r="BF10" s="1" t="b">
        <f>AND(A_Gros_Islet!I78,"AAAAAGruvjk=")</f>
        <v>0</v>
      </c>
      <c r="BG10" s="1" t="b">
        <f>AND(A_Gros_Islet!J78,"AAAAAGruvjo=")</f>
        <v>0</v>
      </c>
      <c r="BH10" s="1" t="b">
        <f>AND(A_Gros_Islet!K78,"AAAAAGruvjs=")</f>
        <v>1</v>
      </c>
      <c r="BI10" s="1" t="b">
        <f>AND(A_Gros_Islet!L78,"AAAAAGruvjw=")</f>
        <v>1</v>
      </c>
      <c r="BJ10" s="1" t="e">
        <f>IF(A_Gros_Islet!#REF!,"AAAAAGruvj0=",0)</f>
        <v>#REF!</v>
      </c>
      <c r="BK10" s="1" t="e">
        <f>AND(A_Gros_Islet!#REF!,"AAAAAGruvj4=")</f>
        <v>#REF!</v>
      </c>
      <c r="BL10" s="1" t="e">
        <f>AND(A_Gros_Islet!#REF!,"AAAAAGruvj8=")</f>
        <v>#REF!</v>
      </c>
      <c r="BM10" s="1" t="e">
        <f>AND(A_Gros_Islet!#REF!,"AAAAAGruvkA=")</f>
        <v>#REF!</v>
      </c>
      <c r="BN10" s="1" t="e">
        <f>AND(A_Gros_Islet!#REF!,"AAAAAGruvkE=")</f>
        <v>#REF!</v>
      </c>
      <c r="BO10" s="1" t="e">
        <f>AND(A_Gros_Islet!#REF!,"AAAAAGruvkI=")</f>
        <v>#REF!</v>
      </c>
      <c r="BP10" s="1" t="e">
        <f>AND(A_Gros_Islet!#REF!,"AAAAAGruvkM=")</f>
        <v>#REF!</v>
      </c>
      <c r="BQ10" s="1" t="e">
        <f>AND(A_Gros_Islet!#REF!,"AAAAAGruvkQ=")</f>
        <v>#REF!</v>
      </c>
      <c r="BR10" s="1" t="e">
        <f>AND(A_Gros_Islet!#REF!,"AAAAAGruvkU=")</f>
        <v>#REF!</v>
      </c>
      <c r="BS10" s="1" t="e">
        <f>AND(A_Gros_Islet!#REF!,"AAAAAGruvkY=")</f>
        <v>#REF!</v>
      </c>
      <c r="BT10" s="1" t="e">
        <f>AND(A_Gros_Islet!#REF!,"AAAAAGruvkc=")</f>
        <v>#REF!</v>
      </c>
      <c r="BU10" s="1" t="e">
        <f>AND(A_Gros_Islet!#REF!,"AAAAAGruvkg=")</f>
        <v>#REF!</v>
      </c>
      <c r="BV10" s="1" t="e">
        <f>AND(A_Gros_Islet!#REF!,"AAAAAGruvkk=")</f>
        <v>#REF!</v>
      </c>
      <c r="BW10" s="1" t="e">
        <f>AND(A_Gros_Islet!#REF!,"AAAAAGruvko=")</f>
        <v>#REF!</v>
      </c>
      <c r="BX10" s="1" t="e">
        <f>AND(A_Gros_Islet!#REF!,"AAAAAGruvks=")</f>
        <v>#REF!</v>
      </c>
      <c r="BY10" s="1" t="e">
        <f>AND(A_Gros_Islet!#REF!,"AAAAAGruvkw=")</f>
        <v>#REF!</v>
      </c>
      <c r="BZ10" s="1" t="e">
        <f>AND(A_Gros_Islet!#REF!,"AAAAAGruvk0=")</f>
        <v>#REF!</v>
      </c>
      <c r="CA10" s="1" t="e">
        <f>IF(A_Gros_Islet!#REF!,"AAAAAGruvk4=",0)</f>
        <v>#REF!</v>
      </c>
      <c r="CB10" s="1" t="e">
        <f>AND(A_Gros_Islet!#REF!,"AAAAAGruvk8=")</f>
        <v>#REF!</v>
      </c>
      <c r="CC10" s="1" t="e">
        <f>AND(A_Gros_Islet!#REF!,"AAAAAGruvlA=")</f>
        <v>#REF!</v>
      </c>
      <c r="CD10" s="1" t="e">
        <f>AND(A_Gros_Islet!#REF!,"AAAAAGruvlE=")</f>
        <v>#REF!</v>
      </c>
      <c r="CE10" s="1" t="e">
        <f>AND(A_Gros_Islet!#REF!,"AAAAAGruvlI=")</f>
        <v>#REF!</v>
      </c>
      <c r="CF10" s="1" t="e">
        <f>AND(A_Gros_Islet!#REF!,"AAAAAGruvlM=")</f>
        <v>#REF!</v>
      </c>
      <c r="CG10" s="1" t="e">
        <f>AND(A_Gros_Islet!#REF!,"AAAAAGruvlQ=")</f>
        <v>#REF!</v>
      </c>
      <c r="CH10" s="1" t="e">
        <f>AND(A_Gros_Islet!#REF!,"AAAAAGruvlU=")</f>
        <v>#REF!</v>
      </c>
      <c r="CI10" s="1" t="e">
        <f>AND(A_Gros_Islet!#REF!,"AAAAAGruvlY=")</f>
        <v>#REF!</v>
      </c>
      <c r="CJ10" s="1" t="e">
        <f>AND(A_Gros_Islet!#REF!,"AAAAAGruvlc=")</f>
        <v>#REF!</v>
      </c>
      <c r="CK10" s="1" t="e">
        <f>AND(A_Gros_Islet!#REF!,"AAAAAGruvlg=")</f>
        <v>#REF!</v>
      </c>
      <c r="CL10" s="1" t="e">
        <f>AND(A_Gros_Islet!#REF!,"AAAAAGruvlk=")</f>
        <v>#REF!</v>
      </c>
      <c r="CM10" s="1" t="e">
        <f>AND(A_Gros_Islet!#REF!,"AAAAAGruvlo=")</f>
        <v>#REF!</v>
      </c>
      <c r="CN10" s="1" t="e">
        <f>AND(A_Gros_Islet!#REF!,"AAAAAGruvls=")</f>
        <v>#REF!</v>
      </c>
      <c r="CO10" s="1" t="e">
        <f>AND(A_Gros_Islet!#REF!,"AAAAAGruvlw=")</f>
        <v>#REF!</v>
      </c>
      <c r="CP10" s="1" t="e">
        <f>AND(A_Gros_Islet!#REF!,"AAAAAGruvl0=")</f>
        <v>#REF!</v>
      </c>
      <c r="CQ10" s="1" t="e">
        <f>AND(A_Gros_Islet!#REF!,"AAAAAGruvl4=")</f>
        <v>#REF!</v>
      </c>
      <c r="CR10" s="1" t="e">
        <f>IF(A_Gros_Islet!A:A,"AAAAAGruvl8=",0)</f>
        <v>#VALUE!</v>
      </c>
      <c r="CS10" s="1" t="str">
        <f>IF(A_Gros_Islet!B:B,"AAAAAGruvmA=",0)</f>
        <v>AAAAAGruvmA=</v>
      </c>
      <c r="CT10" s="1" t="str">
        <f>IF(A_Gros_Islet!C:C,"AAAAAGruvmE=",0)</f>
        <v>AAAAAGruvmE=</v>
      </c>
      <c r="CU10" s="1" t="str">
        <f>IF(A_Gros_Islet!D:D,"AAAAAGruvmI=",0)</f>
        <v>AAAAAGruvmI=</v>
      </c>
      <c r="CV10" s="1" t="str">
        <f>IF(A_Gros_Islet!E:E,"AAAAAGruvmM=",0)</f>
        <v>AAAAAGruvmM=</v>
      </c>
      <c r="CW10" s="1" t="str">
        <f>IF(A_Gros_Islet!F:F,"AAAAAGruvmQ=",0)</f>
        <v>AAAAAGruvmQ=</v>
      </c>
      <c r="CX10" s="1" t="str">
        <f>IF(A_Gros_Islet!G:G,"AAAAAGruvmU=",0)</f>
        <v>AAAAAGruvmU=</v>
      </c>
      <c r="CY10" s="1" t="str">
        <f>IF(A_Gros_Islet!H:H,"AAAAAGruvmY=",0)</f>
        <v>AAAAAGruvmY=</v>
      </c>
      <c r="CZ10" s="1" t="e">
        <f>IF(A_Gros_Islet!#REF!,"AAAAAGruvmc=",0)</f>
        <v>#REF!</v>
      </c>
      <c r="DA10" s="1" t="e">
        <f>IF(A_Gros_Islet!#REF!,"AAAAAGruvmg=",0)</f>
        <v>#REF!</v>
      </c>
      <c r="DB10" s="1" t="e">
        <f>IF(A_Gros_Islet!#REF!,"AAAAAGruvmk=",0)</f>
        <v>#REF!</v>
      </c>
      <c r="DC10" s="1" t="e">
        <f>IF(A_Gros_Islet!#REF!,"AAAAAGruvmo=",0)</f>
        <v>#REF!</v>
      </c>
      <c r="DD10" s="1" t="str">
        <f>IF(A_Gros_Islet!I:I,"AAAAAGruvms=",0)</f>
        <v>AAAAAGruvms=</v>
      </c>
      <c r="DE10" s="1" t="str">
        <f>IF(A_Gros_Islet!J:J,"AAAAAGruvmw=",0)</f>
        <v>AAAAAGruvmw=</v>
      </c>
      <c r="DF10" s="1" t="str">
        <f>IF(A_Gros_Islet!K:K,"AAAAAGruvm0=",0)</f>
        <v>AAAAAGruvm0=</v>
      </c>
      <c r="DG10" s="1" t="str">
        <f>IF(A_Gros_Islet!L:L,"AAAAAGruvm4=",0)</f>
        <v>AAAAAGruvm4=</v>
      </c>
      <c r="DH10" s="1" t="str">
        <f>IF(A_Gros_Islet!M:M,"AAAAAGruvm8=",0)</f>
        <v>AAAAAGruvm8=</v>
      </c>
      <c r="DI10" s="1">
        <f>IF(B_Babonneau!2:2,"AAAAAGruvnA=",0)</f>
        <v>0</v>
      </c>
      <c r="DJ10" s="1" t="e">
        <f>AND(B_Babonneau!A2,"AAAAAGruvnE=")</f>
        <v>#VALUE!</v>
      </c>
      <c r="DK10" s="1" t="e">
        <f>AND(B_Babonneau!B2,"AAAAAGruvnI=")</f>
        <v>#VALUE!</v>
      </c>
      <c r="DL10" s="1" t="e">
        <f>AND(B_Babonneau!C2,"AAAAAGruvnM=")</f>
        <v>#VALUE!</v>
      </c>
      <c r="DM10" s="1" t="e">
        <f>AND(B_Babonneau!D2,"AAAAAGruvnQ=")</f>
        <v>#VALUE!</v>
      </c>
      <c r="DN10" s="1" t="e">
        <f>AND(B_Babonneau!E2,"AAAAAGruvnU=")</f>
        <v>#VALUE!</v>
      </c>
      <c r="DO10" s="1" t="e">
        <f>AND(B_Babonneau!F2,"AAAAAGruvnY=")</f>
        <v>#VALUE!</v>
      </c>
      <c r="DP10" s="1" t="e">
        <f>AND(B_Babonneau!G2,"AAAAAGruvnc=")</f>
        <v>#VALUE!</v>
      </c>
      <c r="DQ10" s="1" t="e">
        <f>AND(B_Babonneau!H2,"AAAAAGruvng=")</f>
        <v>#VALUE!</v>
      </c>
      <c r="DR10" s="1" t="e">
        <f>AND(B_Babonneau!I2,"AAAAAGruvnk=")</f>
        <v>#VALUE!</v>
      </c>
      <c r="DS10" s="1" t="e">
        <f>AND(B_Babonneau!J2,"AAAAAGruvno=")</f>
        <v>#VALUE!</v>
      </c>
      <c r="DT10" s="1" t="e">
        <f>AND(B_Babonneau!K2,"AAAAAGruvns=")</f>
        <v>#VALUE!</v>
      </c>
      <c r="DU10" s="1" t="e">
        <f>AND(B_Babonneau!L2,"AAAAAGruvnw=")</f>
        <v>#VALUE!</v>
      </c>
      <c r="DV10" s="1">
        <f>IF(B_Babonneau!3:3,"AAAAAGruvn0=",0)</f>
        <v>0</v>
      </c>
      <c r="DW10" s="1" t="e">
        <f>AND(B_Babonneau!#REF!,"AAAAAGruvn4=")</f>
        <v>#REF!</v>
      </c>
      <c r="DX10" s="1" t="e">
        <f>AND(B_Babonneau!A3,"AAAAAGruvn8=")</f>
        <v>#VALUE!</v>
      </c>
      <c r="DY10" s="1" t="e">
        <f>AND(B_Babonneau!C3,"AAAAAGruvoA=")</f>
        <v>#VALUE!</v>
      </c>
      <c r="DZ10" s="1" t="e">
        <f>AND(B_Babonneau!D3,"AAAAAGruvoE=")</f>
        <v>#VALUE!</v>
      </c>
      <c r="EA10" s="1" t="e">
        <f>AND(B_Babonneau!E3,"AAAAAGruvoI=")</f>
        <v>#VALUE!</v>
      </c>
      <c r="EB10" s="1" t="e">
        <f>AND(B_Babonneau!F3,"AAAAAGruvoM=")</f>
        <v>#VALUE!</v>
      </c>
      <c r="EC10" s="1" t="e">
        <f>AND(B_Babonneau!G3,"AAAAAGruvoQ=")</f>
        <v>#VALUE!</v>
      </c>
      <c r="ED10" s="1" t="e">
        <f>AND(B_Babonneau!H3,"AAAAAGruvoU=")</f>
        <v>#VALUE!</v>
      </c>
      <c r="EE10" s="1" t="e">
        <f>AND(B_Babonneau!I3,"AAAAAGruvoY=")</f>
        <v>#VALUE!</v>
      </c>
      <c r="EF10" s="1" t="e">
        <f>AND(B_Babonneau!J3,"AAAAAGruvoc=")</f>
        <v>#VALUE!</v>
      </c>
      <c r="EG10" s="1" t="e">
        <f>AND(B_Babonneau!K3,"AAAAAGruvog=")</f>
        <v>#VALUE!</v>
      </c>
      <c r="EH10" s="1" t="e">
        <f>AND(B_Babonneau!L3,"AAAAAGruvok=")</f>
        <v>#VALUE!</v>
      </c>
      <c r="EI10" s="1">
        <f>IF(B_Babonneau!4:4,"AAAAAGruvoo=",0)</f>
        <v>0</v>
      </c>
      <c r="EJ10" s="1" t="e">
        <f>AND(B_Babonneau!A4,"AAAAAGruvos=")</f>
        <v>#VALUE!</v>
      </c>
      <c r="EK10" s="1" t="b">
        <f>AND(B_Babonneau!B4,"AAAAAGruvow=")</f>
        <v>1</v>
      </c>
      <c r="EL10" s="1" t="b">
        <f>AND(B_Babonneau!C4,"AAAAAGruvo0=")</f>
        <v>1</v>
      </c>
      <c r="EM10" s="1" t="b">
        <f>AND(B_Babonneau!D4,"AAAAAGruvo4=")</f>
        <v>1</v>
      </c>
      <c r="EN10" s="1" t="b">
        <f>AND(B_Babonneau!E4,"AAAAAGruvo8=")</f>
        <v>1</v>
      </c>
      <c r="EO10" s="1" t="b">
        <f>AND(B_Babonneau!F4,"AAAAAGruvpA=")</f>
        <v>1</v>
      </c>
      <c r="EP10" s="1" t="b">
        <f>AND(B_Babonneau!G4,"AAAAAGruvpE=")</f>
        <v>1</v>
      </c>
      <c r="EQ10" s="1" t="b">
        <f>AND(B_Babonneau!H4,"AAAAAGruvpI=")</f>
        <v>1</v>
      </c>
      <c r="ER10" s="1" t="b">
        <f>AND(B_Babonneau!I4,"AAAAAGruvpM=")</f>
        <v>1</v>
      </c>
      <c r="ES10" s="1" t="b">
        <f>AND(B_Babonneau!J4,"AAAAAGruvpQ=")</f>
        <v>1</v>
      </c>
      <c r="ET10" s="1" t="b">
        <f>AND(B_Babonneau!K4,"AAAAAGruvpU=")</f>
        <v>1</v>
      </c>
      <c r="EU10" s="1" t="b">
        <f>AND(B_Babonneau!L4,"AAAAAGruvpY=")</f>
        <v>1</v>
      </c>
      <c r="EV10" s="1">
        <f>IF(B_Babonneau!5:5,"AAAAAGruvpc=",0)</f>
        <v>0</v>
      </c>
      <c r="EW10" s="1" t="e">
        <f>AND(B_Babonneau!A5,"AAAAAGruvpg=")</f>
        <v>#VALUE!</v>
      </c>
      <c r="EX10" s="1" t="e">
        <f>AND(B_Babonneau!B5,"AAAAAGruvpk=")</f>
        <v>#VALUE!</v>
      </c>
      <c r="EY10" s="1" t="e">
        <f>AND(B_Babonneau!C5,"AAAAAGruvpo=")</f>
        <v>#VALUE!</v>
      </c>
      <c r="EZ10" s="1" t="e">
        <f>AND(B_Babonneau!D5,"AAAAAGruvps=")</f>
        <v>#VALUE!</v>
      </c>
      <c r="FA10" s="1" t="e">
        <f>AND(B_Babonneau!E5,"AAAAAGruvpw=")</f>
        <v>#VALUE!</v>
      </c>
      <c r="FB10" s="1" t="e">
        <f>AND(B_Babonneau!F5,"AAAAAGruvp0=")</f>
        <v>#VALUE!</v>
      </c>
      <c r="FC10" s="1" t="e">
        <f>AND(B_Babonneau!G5,"AAAAAGruvp4=")</f>
        <v>#VALUE!</v>
      </c>
      <c r="FD10" s="1" t="e">
        <f>AND(B_Babonneau!H5,"AAAAAGruvp8=")</f>
        <v>#VALUE!</v>
      </c>
      <c r="FE10" s="1" t="e">
        <f>AND(B_Babonneau!I5,"AAAAAGruvqA=")</f>
        <v>#VALUE!</v>
      </c>
      <c r="FF10" s="1" t="e">
        <f>AND(B_Babonneau!J5,"AAAAAGruvqE=")</f>
        <v>#VALUE!</v>
      </c>
      <c r="FG10" s="1" t="e">
        <f>AND(B_Babonneau!K5,"AAAAAGruvqI=")</f>
        <v>#VALUE!</v>
      </c>
      <c r="FH10" s="1" t="e">
        <f>AND(B_Babonneau!L5,"AAAAAGruvqM=")</f>
        <v>#VALUE!</v>
      </c>
      <c r="FI10" s="1">
        <f>IF(B_Babonneau!6:6,"AAAAAGruvqQ=",0)</f>
        <v>0</v>
      </c>
      <c r="FJ10" s="1" t="e">
        <f>AND(B_Babonneau!A6,"AAAAAGruvqU=")</f>
        <v>#VALUE!</v>
      </c>
      <c r="FK10" s="1" t="b">
        <f>AND(B_Babonneau!B6,"AAAAAGruvqY=")</f>
        <v>1</v>
      </c>
      <c r="FL10" s="1" t="b">
        <f>AND(B_Babonneau!C6,"AAAAAGruvqc=")</f>
        <v>1</v>
      </c>
      <c r="FM10" s="1" t="b">
        <f>AND(B_Babonneau!D6,"AAAAAGruvqg=")</f>
        <v>1</v>
      </c>
      <c r="FN10" s="1" t="b">
        <f>AND(B_Babonneau!E6,"AAAAAGruvqk=")</f>
        <v>1</v>
      </c>
      <c r="FO10" s="1" t="b">
        <f>AND(B_Babonneau!F6,"AAAAAGruvqo=")</f>
        <v>1</v>
      </c>
      <c r="FP10" s="1" t="b">
        <f>AND(B_Babonneau!G6,"AAAAAGruvqs=")</f>
        <v>1</v>
      </c>
      <c r="FQ10" s="1" t="b">
        <f>AND(B_Babonneau!H6,"AAAAAGruvqw=")</f>
        <v>1</v>
      </c>
      <c r="FR10" s="1" t="b">
        <f>AND(B_Babonneau!I6,"AAAAAGruvq0=")</f>
        <v>1</v>
      </c>
      <c r="FS10" s="1" t="b">
        <f>AND(B_Babonneau!J6,"AAAAAGruvq4=")</f>
        <v>1</v>
      </c>
      <c r="FT10" s="1" t="b">
        <f>AND(B_Babonneau!K6,"AAAAAGruvq8=")</f>
        <v>1</v>
      </c>
      <c r="FU10" s="1" t="b">
        <f>AND(B_Babonneau!L6,"AAAAAGruvrA=")</f>
        <v>1</v>
      </c>
      <c r="FV10" s="1">
        <f>IF(B_Babonneau!7:7,"AAAAAGruvrE=",0)</f>
        <v>0</v>
      </c>
      <c r="FW10" s="1" t="e">
        <f>AND(B_Babonneau!A7,"AAAAAGruvrI=")</f>
        <v>#VALUE!</v>
      </c>
      <c r="FX10" s="1" t="b">
        <f>AND(B_Babonneau!B7,"AAAAAGruvrM=")</f>
        <v>1</v>
      </c>
      <c r="FY10" s="1" t="b">
        <f>AND(B_Babonneau!C7,"AAAAAGruvrQ=")</f>
        <v>1</v>
      </c>
      <c r="FZ10" s="1" t="b">
        <f>AND(B_Babonneau!D7,"AAAAAGruvrU=")</f>
        <v>1</v>
      </c>
      <c r="GA10" s="1" t="b">
        <f>AND(B_Babonneau!E7,"AAAAAGruvrY=")</f>
        <v>1</v>
      </c>
      <c r="GB10" s="1" t="b">
        <f>AND(B_Babonneau!F7,"AAAAAGruvrc=")</f>
        <v>1</v>
      </c>
      <c r="GC10" s="1" t="b">
        <f>AND(B_Babonneau!G7,"AAAAAGruvrg=")</f>
        <v>1</v>
      </c>
      <c r="GD10" s="1" t="b">
        <f>AND(B_Babonneau!H7,"AAAAAGruvrk=")</f>
        <v>1</v>
      </c>
      <c r="GE10" s="1" t="b">
        <f>AND(B_Babonneau!I7,"AAAAAGruvro=")</f>
        <v>1</v>
      </c>
      <c r="GF10" s="1" t="b">
        <f>AND(B_Babonneau!J7,"AAAAAGruvrs=")</f>
        <v>1</v>
      </c>
      <c r="GG10" s="1" t="b">
        <f>AND(B_Babonneau!K7,"AAAAAGruvrw=")</f>
        <v>1</v>
      </c>
      <c r="GH10" s="1" t="b">
        <f>AND(B_Babonneau!L7,"AAAAAGruvr0=")</f>
        <v>1</v>
      </c>
      <c r="GI10" s="1">
        <f>IF(B_Babonneau!8:8,"AAAAAGruvr4=",0)</f>
        <v>0</v>
      </c>
      <c r="GJ10" s="1" t="e">
        <f>AND(B_Babonneau!A8,"AAAAAGruvr8=")</f>
        <v>#VALUE!</v>
      </c>
      <c r="GK10" s="1" t="b">
        <f>AND(B_Babonneau!B8,"AAAAAGruvsA=")</f>
        <v>1</v>
      </c>
      <c r="GL10" s="1" t="b">
        <f>AND(B_Babonneau!C8,"AAAAAGruvsE=")</f>
        <v>1</v>
      </c>
      <c r="GM10" s="1" t="b">
        <f>AND(B_Babonneau!D8,"AAAAAGruvsI=")</f>
        <v>1</v>
      </c>
      <c r="GN10" s="1" t="b">
        <f>AND(B_Babonneau!E8,"AAAAAGruvsM=")</f>
        <v>1</v>
      </c>
      <c r="GO10" s="1" t="b">
        <f>AND(B_Babonneau!F8,"AAAAAGruvsQ=")</f>
        <v>1</v>
      </c>
      <c r="GP10" s="1" t="b">
        <f>AND(B_Babonneau!G8,"AAAAAGruvsU=")</f>
        <v>1</v>
      </c>
      <c r="GQ10" s="1" t="b">
        <f>AND(B_Babonneau!H8,"AAAAAGruvsY=")</f>
        <v>1</v>
      </c>
      <c r="GR10" s="1" t="b">
        <f>AND(B_Babonneau!I8,"AAAAAGruvsc=")</f>
        <v>1</v>
      </c>
      <c r="GS10" s="1" t="b">
        <f>AND(B_Babonneau!J8,"AAAAAGruvsg=")</f>
        <v>1</v>
      </c>
      <c r="GT10" s="1" t="b">
        <f>AND(B_Babonneau!K8,"AAAAAGruvsk=")</f>
        <v>1</v>
      </c>
      <c r="GU10" s="1" t="b">
        <f>AND(B_Babonneau!L8,"AAAAAGruvso=")</f>
        <v>1</v>
      </c>
      <c r="GV10" s="1">
        <f>IF(B_Babonneau!9:9,"AAAAAGruvss=",0)</f>
        <v>0</v>
      </c>
      <c r="GW10" s="1" t="e">
        <f>AND(B_Babonneau!A9,"AAAAAGruvsw=")</f>
        <v>#VALUE!</v>
      </c>
      <c r="GX10" s="1" t="b">
        <f>AND(B_Babonneau!B9,"AAAAAGruvs0=")</f>
        <v>1</v>
      </c>
      <c r="GY10" s="1" t="b">
        <f>AND(B_Babonneau!C9,"AAAAAGruvs4=")</f>
        <v>1</v>
      </c>
      <c r="GZ10" s="1" t="b">
        <f>AND(B_Babonneau!D9,"AAAAAGruvs8=")</f>
        <v>1</v>
      </c>
      <c r="HA10" s="1" t="b">
        <f>AND(B_Babonneau!E9,"AAAAAGruvtA=")</f>
        <v>1</v>
      </c>
      <c r="HB10" s="1" t="b">
        <f>AND(B_Babonneau!F9,"AAAAAGruvtE=")</f>
        <v>1</v>
      </c>
      <c r="HC10" s="1" t="b">
        <f>AND(B_Babonneau!G9,"AAAAAGruvtI=")</f>
        <v>1</v>
      </c>
      <c r="HD10" s="1" t="b">
        <f>AND(B_Babonneau!H9,"AAAAAGruvtM=")</f>
        <v>1</v>
      </c>
      <c r="HE10" s="1" t="b">
        <f>AND(B_Babonneau!I9,"AAAAAGruvtQ=")</f>
        <v>1</v>
      </c>
      <c r="HF10" s="1" t="b">
        <f>AND(B_Babonneau!J9,"AAAAAGruvtU=")</f>
        <v>1</v>
      </c>
      <c r="HG10" s="1" t="b">
        <f>AND(B_Babonneau!K9,"AAAAAGruvtY=")</f>
        <v>1</v>
      </c>
      <c r="HH10" s="1" t="b">
        <f>AND(B_Babonneau!L9,"AAAAAGruvtc=")</f>
        <v>1</v>
      </c>
      <c r="HI10" s="1" t="e">
        <f>IF(B_Babonneau!#REF!,"AAAAAGruvtg=",0)</f>
        <v>#REF!</v>
      </c>
      <c r="HJ10" s="1" t="e">
        <f>AND(B_Babonneau!#REF!,"AAAAAGruvtk=")</f>
        <v>#REF!</v>
      </c>
      <c r="HK10" s="1" t="e">
        <f>AND(B_Babonneau!#REF!,"AAAAAGruvto=")</f>
        <v>#REF!</v>
      </c>
      <c r="HL10" s="1" t="e">
        <f>AND(B_Babonneau!#REF!,"AAAAAGruvts=")</f>
        <v>#REF!</v>
      </c>
      <c r="HM10" s="1" t="e">
        <f>AND(B_Babonneau!#REF!,"AAAAAGruvtw=")</f>
        <v>#REF!</v>
      </c>
      <c r="HN10" s="1" t="e">
        <f>AND(B_Babonneau!#REF!,"AAAAAGruvt0=")</f>
        <v>#REF!</v>
      </c>
      <c r="HO10" s="1" t="e">
        <f>AND(B_Babonneau!#REF!,"AAAAAGruvt4=")</f>
        <v>#REF!</v>
      </c>
      <c r="HP10" s="1" t="e">
        <f>AND(B_Babonneau!#REF!,"AAAAAGruvt8=")</f>
        <v>#REF!</v>
      </c>
      <c r="HQ10" s="1" t="e">
        <f>AND(B_Babonneau!#REF!,"AAAAAGruvuA=")</f>
        <v>#REF!</v>
      </c>
      <c r="HR10" s="1" t="e">
        <f>AND(B_Babonneau!#REF!,"AAAAAGruvuE=")</f>
        <v>#REF!</v>
      </c>
      <c r="HS10" s="1" t="e">
        <f>AND(B_Babonneau!#REF!,"AAAAAGruvuI=")</f>
        <v>#REF!</v>
      </c>
      <c r="HT10" s="1" t="e">
        <f>AND(B_Babonneau!#REF!,"AAAAAGruvuM=")</f>
        <v>#REF!</v>
      </c>
      <c r="HU10" s="1" t="e">
        <f>AND(B_Babonneau!#REF!,"AAAAAGruvuQ=")</f>
        <v>#REF!</v>
      </c>
      <c r="HV10" s="1">
        <f>IF(B_Babonneau!10:10,"AAAAAGruvuU=",0)</f>
        <v>0</v>
      </c>
      <c r="HW10" s="1" t="e">
        <f>AND(B_Babonneau!A10,"AAAAAGruvuY=")</f>
        <v>#VALUE!</v>
      </c>
      <c r="HX10" s="1" t="b">
        <f>AND(B_Babonneau!B10,"AAAAAGruvuc=")</f>
        <v>1</v>
      </c>
      <c r="HY10" s="1" t="b">
        <f>AND(B_Babonneau!C10,"AAAAAGruvug=")</f>
        <v>1</v>
      </c>
      <c r="HZ10" s="1" t="b">
        <f>AND(B_Babonneau!D10,"AAAAAGruvuk=")</f>
        <v>1</v>
      </c>
      <c r="IA10" s="1" t="b">
        <f>AND(B_Babonneau!E10,"AAAAAGruvuo=")</f>
        <v>1</v>
      </c>
      <c r="IB10" s="1" t="b">
        <f>AND(B_Babonneau!F10,"AAAAAGruvus=")</f>
        <v>1</v>
      </c>
      <c r="IC10" s="1" t="b">
        <f>AND(B_Babonneau!G10,"AAAAAGruvuw=")</f>
        <v>1</v>
      </c>
      <c r="ID10" s="1" t="b">
        <f>AND(B_Babonneau!H10,"AAAAAGruvu0=")</f>
        <v>1</v>
      </c>
      <c r="IE10" s="1" t="b">
        <f>AND(B_Babonneau!I10,"AAAAAGruvu4=")</f>
        <v>1</v>
      </c>
      <c r="IF10" s="1" t="b">
        <f>AND(B_Babonneau!J10,"AAAAAGruvu8=")</f>
        <v>1</v>
      </c>
      <c r="IG10" s="1" t="b">
        <f>AND(B_Babonneau!K10,"AAAAAGruvvA=")</f>
        <v>1</v>
      </c>
      <c r="IH10" s="1" t="b">
        <f>AND(B_Babonneau!L10,"AAAAAGruvvE=")</f>
        <v>1</v>
      </c>
      <c r="II10" s="1">
        <f>IF(B_Babonneau!12:12,"AAAAAGruvvI=",0)</f>
        <v>0</v>
      </c>
      <c r="IJ10" s="1" t="e">
        <f>AND(B_Babonneau!A12,"AAAAAGruvvM=")</f>
        <v>#VALUE!</v>
      </c>
      <c r="IK10" s="1" t="e">
        <f>AND(B_Babonneau!B12,"AAAAAGruvvQ=")</f>
        <v>#VALUE!</v>
      </c>
      <c r="IL10" s="1" t="e">
        <f>AND(B_Babonneau!C12,"AAAAAGruvvU=")</f>
        <v>#VALUE!</v>
      </c>
      <c r="IM10" s="1" t="e">
        <f>AND(B_Babonneau!D12,"AAAAAGruvvY=")</f>
        <v>#VALUE!</v>
      </c>
      <c r="IN10" s="1" t="e">
        <f>AND(B_Babonneau!E12,"AAAAAGruvvc=")</f>
        <v>#VALUE!</v>
      </c>
      <c r="IO10" s="1" t="e">
        <f>AND(B_Babonneau!F12,"AAAAAGruvvg=")</f>
        <v>#VALUE!</v>
      </c>
      <c r="IP10" s="1" t="e">
        <f>AND(B_Babonneau!G12,"AAAAAGruvvk=")</f>
        <v>#VALUE!</v>
      </c>
      <c r="IQ10" s="1" t="e">
        <f>AND(B_Babonneau!H12,"AAAAAGruvvo=")</f>
        <v>#VALUE!</v>
      </c>
      <c r="IR10" s="1" t="e">
        <f>AND(B_Babonneau!I12,"AAAAAGruvvs=")</f>
        <v>#VALUE!</v>
      </c>
      <c r="IS10" s="1" t="e">
        <f>AND(B_Babonneau!J12,"AAAAAGruvvw=")</f>
        <v>#VALUE!</v>
      </c>
      <c r="IT10" s="1" t="e">
        <f>AND(B_Babonneau!K12,"AAAAAGruvv0=")</f>
        <v>#VALUE!</v>
      </c>
      <c r="IU10" s="1" t="e">
        <f>AND(B_Babonneau!L12,"AAAAAGruvv4=")</f>
        <v>#VALUE!</v>
      </c>
      <c r="IV10" s="1">
        <f>IF(B_Babonneau!13:13,"AAAAAGruvv8=",0)</f>
        <v>0</v>
      </c>
    </row>
    <row r="11" spans="1:256" ht="12" customHeight="1" x14ac:dyDescent="0.2">
      <c r="A11" s="1" t="e">
        <f>AND(B_Babonneau!A13,"AAAAADZz/wA=")</f>
        <v>#VALUE!</v>
      </c>
      <c r="B11" s="1" t="b">
        <f>AND(B_Babonneau!B13,"AAAAADZz/wE=")</f>
        <v>1</v>
      </c>
      <c r="C11" s="1" t="b">
        <f>AND(B_Babonneau!C13,"AAAAADZz/wI=")</f>
        <v>1</v>
      </c>
      <c r="D11" s="1" t="b">
        <f>AND(B_Babonneau!D13,"AAAAADZz/wM=")</f>
        <v>1</v>
      </c>
      <c r="E11" s="1" t="b">
        <f>AND(B_Babonneau!E13,"AAAAADZz/wQ=")</f>
        <v>1</v>
      </c>
      <c r="F11" s="1" t="b">
        <f>AND(B_Babonneau!F13,"AAAAADZz/wU=")</f>
        <v>1</v>
      </c>
      <c r="G11" s="1" t="b">
        <f>AND(B_Babonneau!G13,"AAAAADZz/wY=")</f>
        <v>1</v>
      </c>
      <c r="H11" s="1" t="b">
        <f>AND(B_Babonneau!H13,"AAAAADZz/wc=")</f>
        <v>1</v>
      </c>
      <c r="I11" s="1" t="b">
        <f>AND(B_Babonneau!I13,"AAAAADZz/wg=")</f>
        <v>1</v>
      </c>
      <c r="J11" s="1" t="b">
        <f>AND(B_Babonneau!J13,"AAAAADZz/wk=")</f>
        <v>1</v>
      </c>
      <c r="K11" s="1" t="b">
        <f>AND(B_Babonneau!K13,"AAAAADZz/wo=")</f>
        <v>1</v>
      </c>
      <c r="L11" s="1" t="b">
        <f>AND(B_Babonneau!L13,"AAAAADZz/ws=")</f>
        <v>1</v>
      </c>
      <c r="M11" s="1">
        <f>IF(B_Babonneau!14:14,"AAAAADZz/ww=",0)</f>
        <v>0</v>
      </c>
      <c r="N11" s="1" t="e">
        <f>AND(B_Babonneau!A14,"AAAAADZz/w0=")</f>
        <v>#VALUE!</v>
      </c>
      <c r="O11" s="1" t="b">
        <f>AND(B_Babonneau!B14,"AAAAADZz/w4=")</f>
        <v>1</v>
      </c>
      <c r="P11" s="1" t="b">
        <f>AND(B_Babonneau!C14,"AAAAADZz/w8=")</f>
        <v>1</v>
      </c>
      <c r="Q11" s="1" t="b">
        <f>AND(B_Babonneau!D14,"AAAAADZz/xA=")</f>
        <v>1</v>
      </c>
      <c r="R11" s="1" t="b">
        <f>AND(B_Babonneau!E14,"AAAAADZz/xE=")</f>
        <v>1</v>
      </c>
      <c r="S11" s="1" t="b">
        <f>AND(B_Babonneau!F14,"AAAAADZz/xI=")</f>
        <v>1</v>
      </c>
      <c r="T11" s="1" t="b">
        <f>AND(B_Babonneau!G14,"AAAAADZz/xM=")</f>
        <v>1</v>
      </c>
      <c r="U11" s="1" t="b">
        <f>AND(B_Babonneau!H14,"AAAAADZz/xQ=")</f>
        <v>1</v>
      </c>
      <c r="V11" s="1" t="b">
        <f>AND(B_Babonneau!I14,"AAAAADZz/xU=")</f>
        <v>1</v>
      </c>
      <c r="W11" s="1" t="b">
        <f>AND(B_Babonneau!J14,"AAAAADZz/xY=")</f>
        <v>1</v>
      </c>
      <c r="X11" s="1" t="b">
        <f>AND(B_Babonneau!K14,"AAAAADZz/xc=")</f>
        <v>1</v>
      </c>
      <c r="Y11" s="1" t="b">
        <f>AND(B_Babonneau!L14,"AAAAADZz/xg=")</f>
        <v>1</v>
      </c>
      <c r="Z11" s="1">
        <f>IF(B_Babonneau!15:15,"AAAAADZz/xk=",0)</f>
        <v>0</v>
      </c>
      <c r="AA11" s="1" t="e">
        <f>AND(B_Babonneau!A15,"AAAAADZz/xo=")</f>
        <v>#VALUE!</v>
      </c>
      <c r="AB11" s="1" t="b">
        <f>AND(B_Babonneau!B15,"AAAAADZz/xs=")</f>
        <v>1</v>
      </c>
      <c r="AC11" s="1" t="b">
        <f>AND(B_Babonneau!C15,"AAAAADZz/xw=")</f>
        <v>1</v>
      </c>
      <c r="AD11" s="1" t="b">
        <f>AND(B_Babonneau!D15,"AAAAADZz/x0=")</f>
        <v>1</v>
      </c>
      <c r="AE11" s="1" t="b">
        <f>AND(B_Babonneau!E15,"AAAAADZz/x4=")</f>
        <v>1</v>
      </c>
      <c r="AF11" s="1" t="b">
        <f>AND(B_Babonneau!F15,"AAAAADZz/x8=")</f>
        <v>1</v>
      </c>
      <c r="AG11" s="1" t="b">
        <f>AND(B_Babonneau!G15,"AAAAADZz/yA=")</f>
        <v>1</v>
      </c>
      <c r="AH11" s="1" t="b">
        <f>AND(B_Babonneau!H15,"AAAAADZz/yE=")</f>
        <v>1</v>
      </c>
      <c r="AI11" s="1" t="b">
        <f>AND(B_Babonneau!I15,"AAAAADZz/yI=")</f>
        <v>1</v>
      </c>
      <c r="AJ11" s="1" t="b">
        <f>AND(B_Babonneau!J15,"AAAAADZz/yM=")</f>
        <v>1</v>
      </c>
      <c r="AK11" s="1" t="b">
        <f>AND(B_Babonneau!K15,"AAAAADZz/yQ=")</f>
        <v>1</v>
      </c>
      <c r="AL11" s="1" t="b">
        <f>AND(B_Babonneau!L15,"AAAAADZz/yU=")</f>
        <v>1</v>
      </c>
      <c r="AM11" s="1">
        <f>IF(B_Babonneau!17:17,"AAAAADZz/yY=",0)</f>
        <v>0</v>
      </c>
      <c r="AN11" s="1" t="e">
        <f>AND(B_Babonneau!A17,"AAAAADZz/yc=")</f>
        <v>#VALUE!</v>
      </c>
      <c r="AO11" s="1" t="e">
        <f>AND(B_Babonneau!B17,"AAAAADZz/yg=")</f>
        <v>#VALUE!</v>
      </c>
      <c r="AP11" s="1" t="e">
        <f>AND(B_Babonneau!C17,"AAAAADZz/yk=")</f>
        <v>#VALUE!</v>
      </c>
      <c r="AQ11" s="1" t="e">
        <f>AND(B_Babonneau!D17,"AAAAADZz/yo=")</f>
        <v>#VALUE!</v>
      </c>
      <c r="AR11" s="1" t="e">
        <f>AND(B_Babonneau!E17,"AAAAADZz/ys=")</f>
        <v>#VALUE!</v>
      </c>
      <c r="AS11" s="1" t="e">
        <f>AND(B_Babonneau!F17,"AAAAADZz/yw=")</f>
        <v>#VALUE!</v>
      </c>
      <c r="AT11" s="1" t="e">
        <f>AND(B_Babonneau!G17,"AAAAADZz/y0=")</f>
        <v>#VALUE!</v>
      </c>
      <c r="AU11" s="1" t="e">
        <f>AND(B_Babonneau!H17,"AAAAADZz/y4=")</f>
        <v>#VALUE!</v>
      </c>
      <c r="AV11" s="1" t="e">
        <f>AND(B_Babonneau!I17,"AAAAADZz/y8=")</f>
        <v>#VALUE!</v>
      </c>
      <c r="AW11" s="1" t="e">
        <f>AND(B_Babonneau!J17,"AAAAADZz/zA=")</f>
        <v>#VALUE!</v>
      </c>
      <c r="AX11" s="1" t="e">
        <f>AND(B_Babonneau!K17,"AAAAADZz/zE=")</f>
        <v>#VALUE!</v>
      </c>
      <c r="AY11" s="1" t="e">
        <f>AND(B_Babonneau!L17,"AAAAADZz/zI=")</f>
        <v>#VALUE!</v>
      </c>
      <c r="AZ11" s="1" t="e">
        <f t="shared" ref="AZ11:BL11" si="0">IF(B_Babonneau!#REF!,"AAAAADZz/zM=",0)</f>
        <v>#REF!</v>
      </c>
      <c r="BA11" s="1" t="e">
        <f t="shared" si="0"/>
        <v>#REF!</v>
      </c>
      <c r="BB11" s="1" t="e">
        <f t="shared" si="0"/>
        <v>#REF!</v>
      </c>
      <c r="BC11" s="1" t="e">
        <f t="shared" si="0"/>
        <v>#REF!</v>
      </c>
      <c r="BD11" s="1" t="e">
        <f t="shared" si="0"/>
        <v>#REF!</v>
      </c>
      <c r="BE11" s="1" t="e">
        <f t="shared" si="0"/>
        <v>#REF!</v>
      </c>
      <c r="BF11" s="1" t="e">
        <f t="shared" si="0"/>
        <v>#REF!</v>
      </c>
      <c r="BG11" s="1" t="e">
        <f t="shared" si="0"/>
        <v>#REF!</v>
      </c>
      <c r="BH11" s="1" t="e">
        <f t="shared" si="0"/>
        <v>#REF!</v>
      </c>
      <c r="BI11" s="1" t="e">
        <f t="shared" si="0"/>
        <v>#REF!</v>
      </c>
      <c r="BJ11" s="1" t="e">
        <f t="shared" si="0"/>
        <v>#REF!</v>
      </c>
      <c r="BK11" s="1" t="e">
        <f t="shared" si="0"/>
        <v>#REF!</v>
      </c>
      <c r="BL11" s="1" t="e">
        <f t="shared" si="0"/>
        <v>#REF!</v>
      </c>
      <c r="BM11" s="1">
        <f>IF(B_Babonneau!18:18,"AAAAADZz/0A=",0)</f>
        <v>0</v>
      </c>
      <c r="BN11" s="1" t="e">
        <f>AND(B_Babonneau!A18,"AAAAADZz/0E=")</f>
        <v>#VALUE!</v>
      </c>
      <c r="BO11" s="1" t="b">
        <f>AND(B_Babonneau!B18,"AAAAADZz/0I=")</f>
        <v>1</v>
      </c>
      <c r="BP11" s="1" t="b">
        <f>AND(B_Babonneau!C18,"AAAAADZz/0M=")</f>
        <v>1</v>
      </c>
      <c r="BQ11" s="1" t="b">
        <f>AND(B_Babonneau!D18,"AAAAADZz/0Q=")</f>
        <v>1</v>
      </c>
      <c r="BR11" s="1" t="b">
        <f>AND(B_Babonneau!E18,"AAAAADZz/0U=")</f>
        <v>1</v>
      </c>
      <c r="BS11" s="1" t="b">
        <f>AND(B_Babonneau!F18,"AAAAADZz/0Y=")</f>
        <v>1</v>
      </c>
      <c r="BT11" s="1" t="b">
        <f>AND(B_Babonneau!G18,"AAAAADZz/0c=")</f>
        <v>1</v>
      </c>
      <c r="BU11" s="1" t="b">
        <f>AND(B_Babonneau!H18,"AAAAADZz/0g=")</f>
        <v>1</v>
      </c>
      <c r="BV11" s="1" t="b">
        <f>AND(B_Babonneau!I18,"AAAAADZz/0k=")</f>
        <v>1</v>
      </c>
      <c r="BW11" s="1" t="b">
        <f>AND(B_Babonneau!J18,"AAAAADZz/0o=")</f>
        <v>1</v>
      </c>
      <c r="BX11" s="1" t="b">
        <f>AND(B_Babonneau!K18,"AAAAADZz/0s=")</f>
        <v>1</v>
      </c>
      <c r="BY11" s="1" t="b">
        <f>AND(B_Babonneau!L18,"AAAAADZz/0w=")</f>
        <v>1</v>
      </c>
      <c r="BZ11" s="1">
        <f>IF(B_Babonneau!19:19,"AAAAADZz/00=",0)</f>
        <v>0</v>
      </c>
      <c r="CA11" s="1" t="e">
        <f>AND(B_Babonneau!A19,"AAAAADZz/04=")</f>
        <v>#VALUE!</v>
      </c>
      <c r="CB11" s="1" t="b">
        <f>AND(B_Babonneau!B19,"AAAAADZz/08=")</f>
        <v>1</v>
      </c>
      <c r="CC11" s="1" t="b">
        <f>AND(B_Babonneau!C19,"AAAAADZz/1A=")</f>
        <v>1</v>
      </c>
      <c r="CD11" s="1" t="b">
        <f>AND(B_Babonneau!D19,"AAAAADZz/1E=")</f>
        <v>1</v>
      </c>
      <c r="CE11" s="1" t="b">
        <f>AND(B_Babonneau!E19,"AAAAADZz/1I=")</f>
        <v>1</v>
      </c>
      <c r="CF11" s="1" t="b">
        <f>AND(B_Babonneau!F19,"AAAAADZz/1M=")</f>
        <v>1</v>
      </c>
      <c r="CG11" s="1" t="b">
        <f>AND(B_Babonneau!G19,"AAAAADZz/1Q=")</f>
        <v>1</v>
      </c>
      <c r="CH11" s="1" t="b">
        <f>AND(B_Babonneau!H19,"AAAAADZz/1U=")</f>
        <v>1</v>
      </c>
      <c r="CI11" s="1" t="b">
        <f>AND(B_Babonneau!I19,"AAAAADZz/1Y=")</f>
        <v>1</v>
      </c>
      <c r="CJ11" s="1" t="b">
        <f>AND(B_Babonneau!J19,"AAAAADZz/1c=")</f>
        <v>1</v>
      </c>
      <c r="CK11" s="1" t="b">
        <f>AND(B_Babonneau!K19,"AAAAADZz/1g=")</f>
        <v>1</v>
      </c>
      <c r="CL11" s="1" t="b">
        <f>AND(B_Babonneau!L19,"AAAAADZz/1k=")</f>
        <v>1</v>
      </c>
      <c r="CM11" s="1">
        <f>IF(B_Babonneau!20:20,"AAAAADZz/1o=",0)</f>
        <v>0</v>
      </c>
      <c r="CN11" s="1" t="e">
        <f>AND(B_Babonneau!A20,"AAAAADZz/1s=")</f>
        <v>#VALUE!</v>
      </c>
      <c r="CO11" s="1" t="b">
        <f>AND(B_Babonneau!B20,"AAAAADZz/1w=")</f>
        <v>1</v>
      </c>
      <c r="CP11" s="1" t="b">
        <f>AND(B_Babonneau!C20,"AAAAADZz/10=")</f>
        <v>1</v>
      </c>
      <c r="CQ11" s="1" t="b">
        <f>AND(B_Babonneau!D20,"AAAAADZz/14=")</f>
        <v>1</v>
      </c>
      <c r="CR11" s="1" t="b">
        <f>AND(B_Babonneau!E20,"AAAAADZz/18=")</f>
        <v>1</v>
      </c>
      <c r="CS11" s="1" t="b">
        <f>AND(B_Babonneau!F20,"AAAAADZz/2A=")</f>
        <v>1</v>
      </c>
      <c r="CT11" s="1" t="b">
        <f>AND(B_Babonneau!G20,"AAAAADZz/2E=")</f>
        <v>1</v>
      </c>
      <c r="CU11" s="1" t="b">
        <f>AND(B_Babonneau!H20,"AAAAADZz/2I=")</f>
        <v>1</v>
      </c>
      <c r="CV11" s="1" t="b">
        <f>AND(B_Babonneau!I20,"AAAAADZz/2M=")</f>
        <v>1</v>
      </c>
      <c r="CW11" s="1" t="b">
        <f>AND(B_Babonneau!J20,"AAAAADZz/2Q=")</f>
        <v>1</v>
      </c>
      <c r="CX11" s="1" t="b">
        <f>AND(B_Babonneau!K20,"AAAAADZz/2U=")</f>
        <v>1</v>
      </c>
      <c r="CY11" s="1" t="b">
        <f>AND(B_Babonneau!L20,"AAAAADZz/2Y=")</f>
        <v>1</v>
      </c>
      <c r="CZ11" s="1">
        <f>IF(B_Babonneau!21:21,"AAAAADZz/2c=",0)</f>
        <v>0</v>
      </c>
      <c r="DA11" s="1" t="e">
        <f>AND(B_Babonneau!A21,"AAAAADZz/2g=")</f>
        <v>#VALUE!</v>
      </c>
      <c r="DB11" s="1" t="b">
        <f>AND(B_Babonneau!B21,"AAAAADZz/2k=")</f>
        <v>1</v>
      </c>
      <c r="DC11" s="1" t="b">
        <f>AND(B_Babonneau!C21,"AAAAADZz/2o=")</f>
        <v>1</v>
      </c>
      <c r="DD11" s="1" t="b">
        <f>AND(B_Babonneau!D21,"AAAAADZz/2s=")</f>
        <v>1</v>
      </c>
      <c r="DE11" s="1" t="b">
        <f>AND(B_Babonneau!E21,"AAAAADZz/2w=")</f>
        <v>1</v>
      </c>
      <c r="DF11" s="1" t="b">
        <f>AND(B_Babonneau!F21,"AAAAADZz/20=")</f>
        <v>1</v>
      </c>
      <c r="DG11" s="1" t="b">
        <f>AND(B_Babonneau!G21,"AAAAADZz/24=")</f>
        <v>1</v>
      </c>
      <c r="DH11" s="1" t="b">
        <f>AND(B_Babonneau!H21,"AAAAADZz/28=")</f>
        <v>1</v>
      </c>
      <c r="DI11" s="1" t="b">
        <f>AND(B_Babonneau!I21,"AAAAADZz/3A=")</f>
        <v>1</v>
      </c>
      <c r="DJ11" s="1" t="b">
        <f>AND(B_Babonneau!J21,"AAAAADZz/3E=")</f>
        <v>1</v>
      </c>
      <c r="DK11" s="1" t="b">
        <f>AND(B_Babonneau!K21,"AAAAADZz/3I=")</f>
        <v>1</v>
      </c>
      <c r="DL11" s="1" t="b">
        <f>AND(B_Babonneau!L21,"AAAAADZz/3M=")</f>
        <v>1</v>
      </c>
      <c r="DM11" s="1" t="e">
        <f>IF(B_Babonneau!#REF!,"AAAAADZz/3Q=",0)</f>
        <v>#REF!</v>
      </c>
      <c r="DN11" s="1" t="e">
        <f>AND(B_Babonneau!#REF!,"AAAAADZz/3U=")</f>
        <v>#REF!</v>
      </c>
      <c r="DO11" s="1" t="e">
        <f>AND(B_Babonneau!#REF!,"AAAAADZz/3Y=")</f>
        <v>#REF!</v>
      </c>
      <c r="DP11" s="1" t="e">
        <f>AND(B_Babonneau!#REF!,"AAAAADZz/3c=")</f>
        <v>#REF!</v>
      </c>
      <c r="DQ11" s="1" t="e">
        <f>AND(B_Babonneau!#REF!,"AAAAADZz/3g=")</f>
        <v>#REF!</v>
      </c>
      <c r="DR11" s="1" t="e">
        <f>AND(B_Babonneau!#REF!,"AAAAADZz/3k=")</f>
        <v>#REF!</v>
      </c>
      <c r="DS11" s="1" t="e">
        <f>AND(B_Babonneau!#REF!,"AAAAADZz/3o=")</f>
        <v>#REF!</v>
      </c>
      <c r="DT11" s="1" t="e">
        <f>AND(B_Babonneau!#REF!,"AAAAADZz/3s=")</f>
        <v>#REF!</v>
      </c>
      <c r="DU11" s="1" t="e">
        <f>AND(B_Babonneau!#REF!,"AAAAADZz/3w=")</f>
        <v>#REF!</v>
      </c>
      <c r="DV11" s="1" t="e">
        <f>AND(B_Babonneau!#REF!,"AAAAADZz/30=")</f>
        <v>#REF!</v>
      </c>
      <c r="DW11" s="1" t="e">
        <f>AND(B_Babonneau!#REF!,"AAAAADZz/34=")</f>
        <v>#REF!</v>
      </c>
      <c r="DX11" s="1" t="e">
        <f>AND(B_Babonneau!#REF!,"AAAAADZz/38=")</f>
        <v>#REF!</v>
      </c>
      <c r="DY11" s="1" t="e">
        <f>AND(B_Babonneau!#REF!,"AAAAADZz/4A=")</f>
        <v>#REF!</v>
      </c>
      <c r="DZ11" s="1" t="e">
        <f>IF(B_Babonneau!#REF!,"AAAAADZz/4E=",0)</f>
        <v>#REF!</v>
      </c>
      <c r="EA11" s="1" t="e">
        <f>AND(B_Babonneau!#REF!,"AAAAADZz/4I=")</f>
        <v>#REF!</v>
      </c>
      <c r="EB11" s="1" t="e">
        <f>AND(B_Babonneau!#REF!,"AAAAADZz/4M=")</f>
        <v>#REF!</v>
      </c>
      <c r="EC11" s="1" t="e">
        <f>AND(B_Babonneau!#REF!,"AAAAADZz/4Q=")</f>
        <v>#REF!</v>
      </c>
      <c r="ED11" s="1" t="e">
        <f>AND(B_Babonneau!#REF!,"AAAAADZz/4U=")</f>
        <v>#REF!</v>
      </c>
      <c r="EE11" s="1" t="e">
        <f>AND(B_Babonneau!#REF!,"AAAAADZz/4Y=")</f>
        <v>#REF!</v>
      </c>
      <c r="EF11" s="1" t="e">
        <f>AND(B_Babonneau!#REF!,"AAAAADZz/4c=")</f>
        <v>#REF!</v>
      </c>
      <c r="EG11" s="1" t="e">
        <f>AND(B_Babonneau!#REF!,"AAAAADZz/4g=")</f>
        <v>#REF!</v>
      </c>
      <c r="EH11" s="1" t="e">
        <f>AND(B_Babonneau!#REF!,"AAAAADZz/4k=")</f>
        <v>#REF!</v>
      </c>
      <c r="EI11" s="1" t="e">
        <f>AND(B_Babonneau!#REF!,"AAAAADZz/4o=")</f>
        <v>#REF!</v>
      </c>
      <c r="EJ11" s="1" t="e">
        <f>AND(B_Babonneau!#REF!,"AAAAADZz/4s=")</f>
        <v>#REF!</v>
      </c>
      <c r="EK11" s="1" t="e">
        <f>AND(B_Babonneau!#REF!,"AAAAADZz/4w=")</f>
        <v>#REF!</v>
      </c>
      <c r="EL11" s="1" t="e">
        <f>AND(B_Babonneau!#REF!,"AAAAADZz/40=")</f>
        <v>#REF!</v>
      </c>
      <c r="EM11" s="1">
        <f>IF(B_Babonneau!22:22,"AAAAADZz/44=",0)</f>
        <v>0</v>
      </c>
      <c r="EN11" s="1" t="e">
        <f>AND(B_Babonneau!A22,"AAAAADZz/48=")</f>
        <v>#VALUE!</v>
      </c>
      <c r="EO11" s="1" t="b">
        <f>AND(B_Babonneau!B22,"AAAAADZz/5A=")</f>
        <v>1</v>
      </c>
      <c r="EP11" s="1" t="b">
        <f>AND(B_Babonneau!C22,"AAAAADZz/5E=")</f>
        <v>1</v>
      </c>
      <c r="EQ11" s="1" t="b">
        <f>AND(B_Babonneau!D22,"AAAAADZz/5I=")</f>
        <v>1</v>
      </c>
      <c r="ER11" s="1" t="b">
        <f>AND(B_Babonneau!E22,"AAAAADZz/5M=")</f>
        <v>1</v>
      </c>
      <c r="ES11" s="1" t="b">
        <f>AND(B_Babonneau!F22,"AAAAADZz/5Q=")</f>
        <v>1</v>
      </c>
      <c r="ET11" s="1" t="b">
        <f>AND(B_Babonneau!G22,"AAAAADZz/5U=")</f>
        <v>1</v>
      </c>
      <c r="EU11" s="1" t="b">
        <f>AND(B_Babonneau!H22,"AAAAADZz/5Y=")</f>
        <v>1</v>
      </c>
      <c r="EV11" s="1" t="b">
        <f>AND(B_Babonneau!I22,"AAAAADZz/5c=")</f>
        <v>1</v>
      </c>
      <c r="EW11" s="1" t="b">
        <f>AND(B_Babonneau!J22,"AAAAADZz/5g=")</f>
        <v>1</v>
      </c>
      <c r="EX11" s="1" t="b">
        <f>AND(B_Babonneau!K22,"AAAAADZz/5k=")</f>
        <v>1</v>
      </c>
      <c r="EY11" s="1" t="b">
        <f>AND(B_Babonneau!L22,"AAAAADZz/5o=")</f>
        <v>1</v>
      </c>
      <c r="EZ11" s="1">
        <f>IF(B_Babonneau!23:23,"AAAAADZz/5s=",0)</f>
        <v>0</v>
      </c>
      <c r="FA11" s="1" t="e">
        <f>AND(B_Babonneau!A23,"AAAAADZz/5w=")</f>
        <v>#VALUE!</v>
      </c>
      <c r="FB11" s="1" t="e">
        <f>AND(B_Babonneau!B23,"AAAAADZz/50=")</f>
        <v>#VALUE!</v>
      </c>
      <c r="FC11" s="1" t="e">
        <f>AND(B_Babonneau!C23,"AAAAADZz/54=")</f>
        <v>#VALUE!</v>
      </c>
      <c r="FD11" s="1" t="e">
        <f>AND(B_Babonneau!D23,"AAAAADZz/58=")</f>
        <v>#VALUE!</v>
      </c>
      <c r="FE11" s="1" t="e">
        <f>AND(B_Babonneau!E23,"AAAAADZz/6A=")</f>
        <v>#VALUE!</v>
      </c>
      <c r="FF11" s="1" t="e">
        <f>AND(B_Babonneau!F23,"AAAAADZz/6E=")</f>
        <v>#VALUE!</v>
      </c>
      <c r="FG11" s="1" t="e">
        <f>AND(B_Babonneau!G23,"AAAAADZz/6I=")</f>
        <v>#VALUE!</v>
      </c>
      <c r="FH11" s="1" t="e">
        <f>AND(B_Babonneau!H23,"AAAAADZz/6M=")</f>
        <v>#VALUE!</v>
      </c>
      <c r="FI11" s="1" t="e">
        <f>AND(B_Babonneau!I23,"AAAAADZz/6Q=")</f>
        <v>#VALUE!</v>
      </c>
      <c r="FJ11" s="1" t="e">
        <f>AND(B_Babonneau!J23,"AAAAADZz/6U=")</f>
        <v>#VALUE!</v>
      </c>
      <c r="FK11" s="1" t="e">
        <f>AND(B_Babonneau!K23,"AAAAADZz/6Y=")</f>
        <v>#VALUE!</v>
      </c>
      <c r="FL11" s="1" t="e">
        <f>AND(B_Babonneau!L23,"AAAAADZz/6c=")</f>
        <v>#VALUE!</v>
      </c>
      <c r="FM11" s="1">
        <f>IF(B_Babonneau!24:24,"AAAAADZz/6g=",0)</f>
        <v>0</v>
      </c>
      <c r="FN11" s="1" t="e">
        <f>AND(B_Babonneau!A24,"AAAAADZz/6k=")</f>
        <v>#VALUE!</v>
      </c>
      <c r="FO11" s="1" t="b">
        <f>AND(B_Babonneau!B24,"AAAAADZz/6o=")</f>
        <v>1</v>
      </c>
      <c r="FP11" s="1" t="b">
        <f>AND(B_Babonneau!C24,"AAAAADZz/6s=")</f>
        <v>1</v>
      </c>
      <c r="FQ11" s="1" t="b">
        <f>AND(B_Babonneau!D24,"AAAAADZz/6w=")</f>
        <v>1</v>
      </c>
      <c r="FR11" s="1" t="b">
        <f>AND(B_Babonneau!E24,"AAAAADZz/60=")</f>
        <v>1</v>
      </c>
      <c r="FS11" s="1" t="b">
        <f>AND(B_Babonneau!F24,"AAAAADZz/64=")</f>
        <v>1</v>
      </c>
      <c r="FT11" s="1" t="b">
        <f>AND(B_Babonneau!G24,"AAAAADZz/68=")</f>
        <v>1</v>
      </c>
      <c r="FU11" s="1" t="b">
        <f>AND(B_Babonneau!H24,"AAAAADZz/7A=")</f>
        <v>1</v>
      </c>
      <c r="FV11" s="1" t="b">
        <f>AND(B_Babonneau!I24,"AAAAADZz/7E=")</f>
        <v>1</v>
      </c>
      <c r="FW11" s="1" t="b">
        <f>AND(B_Babonneau!J24,"AAAAADZz/7I=")</f>
        <v>1</v>
      </c>
      <c r="FX11" s="1" t="b">
        <f>AND(B_Babonneau!K24,"AAAAADZz/7M=")</f>
        <v>1</v>
      </c>
      <c r="FY11" s="1" t="b">
        <f>AND(B_Babonneau!L24,"AAAAADZz/7Q=")</f>
        <v>1</v>
      </c>
      <c r="FZ11" s="1">
        <f>IF(B_Babonneau!25:25,"AAAAADZz/7U=",0)</f>
        <v>0</v>
      </c>
      <c r="GA11" s="1" t="e">
        <f>AND(B_Babonneau!A25,"AAAAADZz/7Y=")</f>
        <v>#VALUE!</v>
      </c>
      <c r="GB11" s="1" t="b">
        <f>AND(B_Babonneau!B25,"AAAAADZz/7c=")</f>
        <v>1</v>
      </c>
      <c r="GC11" s="1" t="b">
        <f>AND(B_Babonneau!C25,"AAAAADZz/7g=")</f>
        <v>1</v>
      </c>
      <c r="GD11" s="1" t="b">
        <f>AND(B_Babonneau!D25,"AAAAADZz/7k=")</f>
        <v>1</v>
      </c>
      <c r="GE11" s="1" t="b">
        <f>AND(B_Babonneau!E25,"AAAAADZz/7o=")</f>
        <v>1</v>
      </c>
      <c r="GF11" s="1" t="b">
        <f>AND(B_Babonneau!F25,"AAAAADZz/7s=")</f>
        <v>1</v>
      </c>
      <c r="GG11" s="1" t="b">
        <f>AND(B_Babonneau!G25,"AAAAADZz/7w=")</f>
        <v>0</v>
      </c>
      <c r="GH11" s="1" t="b">
        <f>AND(B_Babonneau!H25,"AAAAADZz/70=")</f>
        <v>0</v>
      </c>
      <c r="GI11" s="1" t="b">
        <f>AND(B_Babonneau!I25,"AAAAADZz/74=")</f>
        <v>1</v>
      </c>
      <c r="GJ11" s="1" t="b">
        <f>AND(B_Babonneau!J25,"AAAAADZz/78=")</f>
        <v>1</v>
      </c>
      <c r="GK11" s="1" t="b">
        <f>AND(B_Babonneau!K25,"AAAAADZz/8A=")</f>
        <v>1</v>
      </c>
      <c r="GL11" s="1" t="b">
        <f>AND(B_Babonneau!L25,"AAAAADZz/8E=")</f>
        <v>1</v>
      </c>
      <c r="GM11" s="1">
        <f>IF(B_Babonneau!26:26,"AAAAADZz/8I=",0)</f>
        <v>0</v>
      </c>
      <c r="GN11" s="1" t="e">
        <f>AND(B_Babonneau!A26,"AAAAADZz/8M=")</f>
        <v>#VALUE!</v>
      </c>
      <c r="GO11" s="1" t="b">
        <f>AND(B_Babonneau!B26,"AAAAADZz/8Q=")</f>
        <v>1</v>
      </c>
      <c r="GP11" s="1" t="b">
        <f>AND(B_Babonneau!C26,"AAAAADZz/8U=")</f>
        <v>1</v>
      </c>
      <c r="GQ11" s="1" t="b">
        <f>AND(B_Babonneau!D26,"AAAAADZz/8Y=")</f>
        <v>1</v>
      </c>
      <c r="GR11" s="1" t="b">
        <f>AND(B_Babonneau!E26,"AAAAADZz/8c=")</f>
        <v>1</v>
      </c>
      <c r="GS11" s="1" t="b">
        <f>AND(B_Babonneau!F26,"AAAAADZz/8g=")</f>
        <v>1</v>
      </c>
      <c r="GT11" s="1" t="b">
        <f>AND(B_Babonneau!G26,"AAAAADZz/8k=")</f>
        <v>0</v>
      </c>
      <c r="GU11" s="1" t="b">
        <f>AND(B_Babonneau!H26,"AAAAADZz/8o=")</f>
        <v>0</v>
      </c>
      <c r="GV11" s="1" t="b">
        <f>AND(B_Babonneau!I26,"AAAAADZz/8s=")</f>
        <v>1</v>
      </c>
      <c r="GW11" s="1" t="b">
        <f>AND(B_Babonneau!J26,"AAAAADZz/8w=")</f>
        <v>1</v>
      </c>
      <c r="GX11" s="1" t="b">
        <f>AND(B_Babonneau!K26,"AAAAADZz/80=")</f>
        <v>1</v>
      </c>
      <c r="GY11" s="1" t="b">
        <f>AND(B_Babonneau!L26,"AAAAADZz/84=")</f>
        <v>1</v>
      </c>
      <c r="GZ11" s="1">
        <f>IF(B_Babonneau!27:27,"AAAAADZz/88=",0)</f>
        <v>0</v>
      </c>
      <c r="HA11" s="1" t="e">
        <f>AND(B_Babonneau!A27,"AAAAADZz/9A=")</f>
        <v>#VALUE!</v>
      </c>
      <c r="HB11" s="1" t="b">
        <f>AND(B_Babonneau!B27,"AAAAADZz/9E=")</f>
        <v>1</v>
      </c>
      <c r="HC11" s="1" t="b">
        <f>AND(B_Babonneau!C27,"AAAAADZz/9I=")</f>
        <v>1</v>
      </c>
      <c r="HD11" s="1" t="b">
        <f>AND(B_Babonneau!D27,"AAAAADZz/9M=")</f>
        <v>1</v>
      </c>
      <c r="HE11" s="1" t="b">
        <f>AND(B_Babonneau!E27,"AAAAADZz/9Q=")</f>
        <v>1</v>
      </c>
      <c r="HF11" s="1" t="b">
        <f>AND(B_Babonneau!F27,"AAAAADZz/9U=")</f>
        <v>1</v>
      </c>
      <c r="HG11" s="1" t="b">
        <f>AND(B_Babonneau!G27,"AAAAADZz/9Y=")</f>
        <v>1</v>
      </c>
      <c r="HH11" s="1" t="b">
        <f>AND(B_Babonneau!H27,"AAAAADZz/9c=")</f>
        <v>1</v>
      </c>
      <c r="HI11" s="1" t="b">
        <f>AND(B_Babonneau!I27,"AAAAADZz/9g=")</f>
        <v>1</v>
      </c>
      <c r="HJ11" s="1" t="b">
        <f>AND(B_Babonneau!J27,"AAAAADZz/9k=")</f>
        <v>1</v>
      </c>
      <c r="HK11" s="1" t="b">
        <f>AND(B_Babonneau!K27,"AAAAADZz/9o=")</f>
        <v>1</v>
      </c>
      <c r="HL11" s="1" t="b">
        <f>AND(B_Babonneau!L27,"AAAAADZz/9s=")</f>
        <v>1</v>
      </c>
      <c r="HM11" s="1">
        <f>IF(B_Babonneau!29:29,"AAAAADZz/9w=",0)</f>
        <v>0</v>
      </c>
      <c r="HN11" s="1" t="e">
        <f>AND(B_Babonneau!A29,"AAAAADZz/90=")</f>
        <v>#VALUE!</v>
      </c>
      <c r="HO11" s="1" t="e">
        <f>AND(B_Babonneau!B29,"AAAAADZz/94=")</f>
        <v>#VALUE!</v>
      </c>
      <c r="HP11" s="1" t="e">
        <f>AND(B_Babonneau!C29,"AAAAADZz/98=")</f>
        <v>#VALUE!</v>
      </c>
      <c r="HQ11" s="1" t="e">
        <f>AND(B_Babonneau!D29,"AAAAADZz/+A=")</f>
        <v>#VALUE!</v>
      </c>
      <c r="HR11" s="1" t="e">
        <f>AND(B_Babonneau!E29,"AAAAADZz/+E=")</f>
        <v>#VALUE!</v>
      </c>
      <c r="HS11" s="1" t="e">
        <f>AND(B_Babonneau!F29,"AAAAADZz/+I=")</f>
        <v>#VALUE!</v>
      </c>
      <c r="HT11" s="1" t="e">
        <f>AND(B_Babonneau!G29,"AAAAADZz/+M=")</f>
        <v>#VALUE!</v>
      </c>
      <c r="HU11" s="1" t="e">
        <f>AND(B_Babonneau!H29,"AAAAADZz/+Q=")</f>
        <v>#VALUE!</v>
      </c>
      <c r="HV11" s="1" t="e">
        <f>AND(B_Babonneau!I29,"AAAAADZz/+U=")</f>
        <v>#VALUE!</v>
      </c>
      <c r="HW11" s="1" t="e">
        <f>AND(B_Babonneau!J29,"AAAAADZz/+Y=")</f>
        <v>#VALUE!</v>
      </c>
      <c r="HX11" s="1" t="e">
        <f>AND(B_Babonneau!K29,"AAAAADZz/+c=")</f>
        <v>#VALUE!</v>
      </c>
      <c r="HY11" s="1" t="e">
        <f>AND(B_Babonneau!L29,"AAAAADZz/+g=")</f>
        <v>#VALUE!</v>
      </c>
      <c r="HZ11" s="1">
        <f>IF(B_Babonneau!30:30,"AAAAADZz/+k=",0)</f>
        <v>0</v>
      </c>
      <c r="IA11" s="1" t="e">
        <f>AND(B_Babonneau!A30,"AAAAADZz/+o=")</f>
        <v>#VALUE!</v>
      </c>
      <c r="IB11" s="1" t="b">
        <f>AND(B_Babonneau!B30,"AAAAADZz/+s=")</f>
        <v>1</v>
      </c>
      <c r="IC11" s="1" t="b">
        <f>AND(B_Babonneau!C30,"AAAAADZz/+w=")</f>
        <v>1</v>
      </c>
      <c r="ID11" s="1" t="b">
        <f>AND(B_Babonneau!D30,"AAAAADZz/+0=")</f>
        <v>1</v>
      </c>
      <c r="IE11" s="1" t="b">
        <f>AND(B_Babonneau!E30,"AAAAADZz/+4=")</f>
        <v>1</v>
      </c>
      <c r="IF11" s="1" t="b">
        <f>AND(B_Babonneau!F30,"AAAAADZz/+8=")</f>
        <v>1</v>
      </c>
      <c r="IG11" s="1" t="b">
        <f>AND(B_Babonneau!G30,"AAAAADZz//A=")</f>
        <v>1</v>
      </c>
      <c r="IH11" s="1" t="b">
        <f>AND(B_Babonneau!H30,"AAAAADZz//E=")</f>
        <v>1</v>
      </c>
      <c r="II11" s="1" t="b">
        <f>AND(B_Babonneau!I30,"AAAAADZz//I=")</f>
        <v>1</v>
      </c>
      <c r="IJ11" s="1" t="b">
        <f>AND(B_Babonneau!J30,"AAAAADZz//M=")</f>
        <v>1</v>
      </c>
      <c r="IK11" s="1" t="b">
        <f>AND(B_Babonneau!K30,"AAAAADZz//Q=")</f>
        <v>1</v>
      </c>
      <c r="IL11" s="1" t="b">
        <f>AND(B_Babonneau!L30,"AAAAADZz//U=")</f>
        <v>1</v>
      </c>
      <c r="IM11" s="1">
        <f>IF(B_Babonneau!31:31,"AAAAADZz//Y=",0)</f>
        <v>0</v>
      </c>
      <c r="IN11" s="1" t="e">
        <f>AND(B_Babonneau!A31,"AAAAADZz//c=")</f>
        <v>#VALUE!</v>
      </c>
      <c r="IO11" s="1" t="b">
        <f>AND(B_Babonneau!B31,"AAAAADZz//g=")</f>
        <v>1</v>
      </c>
      <c r="IP11" s="1" t="b">
        <f>AND(B_Babonneau!C31,"AAAAADZz//k=")</f>
        <v>1</v>
      </c>
      <c r="IQ11" s="1" t="b">
        <f>AND(B_Babonneau!D31,"AAAAADZz//o=")</f>
        <v>1</v>
      </c>
      <c r="IR11" s="1" t="b">
        <f>AND(B_Babonneau!E31,"AAAAADZz//s=")</f>
        <v>1</v>
      </c>
      <c r="IS11" s="1" t="b">
        <f>AND(B_Babonneau!F31,"AAAAADZz//w=")</f>
        <v>1</v>
      </c>
      <c r="IT11" s="1" t="b">
        <f>AND(B_Babonneau!G31,"AAAAADZz//0=")</f>
        <v>1</v>
      </c>
      <c r="IU11" s="1" t="b">
        <f>AND(B_Babonneau!H31,"AAAAADZz//4=")</f>
        <v>1</v>
      </c>
      <c r="IV11" s="1" t="b">
        <f>AND(B_Babonneau!I31,"AAAAADZz//8=")</f>
        <v>1</v>
      </c>
    </row>
    <row r="12" spans="1:256" ht="12" customHeight="1" x14ac:dyDescent="0.2">
      <c r="A12" s="1" t="b">
        <f>AND(B_Babonneau!J31,"AAAAAD5N9gA=")</f>
        <v>1</v>
      </c>
      <c r="B12" s="1" t="b">
        <f>AND(B_Babonneau!K31,"AAAAAD5N9gE=")</f>
        <v>1</v>
      </c>
      <c r="C12" s="1" t="b">
        <f>AND(B_Babonneau!L31,"AAAAAD5N9gI=")</f>
        <v>1</v>
      </c>
      <c r="D12" s="1" t="str">
        <f>IF(B_Babonneau!32:32,"AAAAAD5N9gM=",0)</f>
        <v>AAAAAD5N9gM=</v>
      </c>
      <c r="E12" s="1" t="e">
        <f>AND(B_Babonneau!A32,"AAAAAD5N9gQ=")</f>
        <v>#VALUE!</v>
      </c>
      <c r="F12" s="1" t="b">
        <f>AND(B_Babonneau!B32,"AAAAAD5N9gU=")</f>
        <v>1</v>
      </c>
      <c r="G12" s="1" t="b">
        <f>AND(B_Babonneau!C32,"AAAAAD5N9gY=")</f>
        <v>1</v>
      </c>
      <c r="H12" s="1" t="b">
        <f>AND(B_Babonneau!D32,"AAAAAD5N9gc=")</f>
        <v>1</v>
      </c>
      <c r="I12" s="1" t="b">
        <f>AND(B_Babonneau!E32,"AAAAAD5N9gg=")</f>
        <v>1</v>
      </c>
      <c r="J12" s="1" t="b">
        <f>AND(B_Babonneau!F32,"AAAAAD5N9gk=")</f>
        <v>1</v>
      </c>
      <c r="K12" s="1" t="b">
        <f>AND(B_Babonneau!G32,"AAAAAD5N9go=")</f>
        <v>1</v>
      </c>
      <c r="L12" s="1" t="b">
        <f>AND(B_Babonneau!H32,"AAAAAD5N9gs=")</f>
        <v>1</v>
      </c>
      <c r="M12" s="1" t="b">
        <f>AND(B_Babonneau!I32,"AAAAAD5N9gw=")</f>
        <v>1</v>
      </c>
      <c r="N12" s="1" t="b">
        <f>AND(B_Babonneau!J32,"AAAAAD5N9g0=")</f>
        <v>1</v>
      </c>
      <c r="O12" s="1" t="b">
        <f>AND(B_Babonneau!K32,"AAAAAD5N9g4=")</f>
        <v>1</v>
      </c>
      <c r="P12" s="1" t="b">
        <f>AND(B_Babonneau!L32,"AAAAAD5N9g8=")</f>
        <v>1</v>
      </c>
      <c r="Q12" s="1">
        <f>IF(B_Babonneau!34:34,"AAAAAD5N9hA=",0)</f>
        <v>0</v>
      </c>
      <c r="R12" s="1" t="e">
        <f>AND(B_Babonneau!A34,"AAAAAD5N9hE=")</f>
        <v>#VALUE!</v>
      </c>
      <c r="S12" s="1" t="e">
        <f>AND(B_Babonneau!B34,"AAAAAD5N9hI=")</f>
        <v>#VALUE!</v>
      </c>
      <c r="T12" s="1" t="e">
        <f>AND(B_Babonneau!C34,"AAAAAD5N9hM=")</f>
        <v>#VALUE!</v>
      </c>
      <c r="U12" s="1" t="e">
        <f>AND(B_Babonneau!D34,"AAAAAD5N9hQ=")</f>
        <v>#VALUE!</v>
      </c>
      <c r="V12" s="1" t="e">
        <f>AND(B_Babonneau!E34,"AAAAAD5N9hU=")</f>
        <v>#VALUE!</v>
      </c>
      <c r="W12" s="1" t="e">
        <f>AND(B_Babonneau!F34,"AAAAAD5N9hY=")</f>
        <v>#VALUE!</v>
      </c>
      <c r="X12" s="1" t="e">
        <f>AND(B_Babonneau!G34,"AAAAAD5N9hc=")</f>
        <v>#VALUE!</v>
      </c>
      <c r="Y12" s="1" t="e">
        <f>AND(B_Babonneau!H34,"AAAAAD5N9hg=")</f>
        <v>#VALUE!</v>
      </c>
      <c r="Z12" s="1" t="e">
        <f>AND(B_Babonneau!I34,"AAAAAD5N9hk=")</f>
        <v>#VALUE!</v>
      </c>
      <c r="AA12" s="1" t="e">
        <f>AND(B_Babonneau!J34,"AAAAAD5N9ho=")</f>
        <v>#VALUE!</v>
      </c>
      <c r="AB12" s="1" t="e">
        <f>AND(B_Babonneau!K34,"AAAAAD5N9hs=")</f>
        <v>#VALUE!</v>
      </c>
      <c r="AC12" s="1" t="e">
        <f>AND(B_Babonneau!L34,"AAAAAD5N9hw=")</f>
        <v>#VALUE!</v>
      </c>
      <c r="AD12" s="1">
        <f>IF(B_Babonneau!35:35,"AAAAAD5N9h0=",0)</f>
        <v>0</v>
      </c>
      <c r="AE12" s="1" t="e">
        <f>AND(B_Babonneau!A35,"AAAAAD5N9h4=")</f>
        <v>#VALUE!</v>
      </c>
      <c r="AF12" s="1" t="b">
        <f>AND(B_Babonneau!B35,"AAAAAD5N9h8=")</f>
        <v>1</v>
      </c>
      <c r="AG12" s="1" t="b">
        <f>AND(B_Babonneau!C35,"AAAAAD5N9iA=")</f>
        <v>1</v>
      </c>
      <c r="AH12" s="1" t="b">
        <f>AND(B_Babonneau!D35,"AAAAAD5N9iE=")</f>
        <v>1</v>
      </c>
      <c r="AI12" s="1" t="b">
        <f>AND(B_Babonneau!E35,"AAAAAD5N9iI=")</f>
        <v>1</v>
      </c>
      <c r="AJ12" s="1" t="b">
        <f>AND(B_Babonneau!F35,"AAAAAD5N9iM=")</f>
        <v>1</v>
      </c>
      <c r="AK12" s="1" t="b">
        <f>AND(B_Babonneau!G35,"AAAAAD5N9iQ=")</f>
        <v>1</v>
      </c>
      <c r="AL12" s="1" t="b">
        <f>AND(B_Babonneau!H35,"AAAAAD5N9iU=")</f>
        <v>1</v>
      </c>
      <c r="AM12" s="1" t="b">
        <f>AND(B_Babonneau!I35,"AAAAAD5N9iY=")</f>
        <v>1</v>
      </c>
      <c r="AN12" s="1" t="b">
        <f>AND(B_Babonneau!J35,"AAAAAD5N9ic=")</f>
        <v>1</v>
      </c>
      <c r="AO12" s="1" t="b">
        <f>AND(B_Babonneau!K35,"AAAAAD5N9ig=")</f>
        <v>1</v>
      </c>
      <c r="AP12" s="1" t="b">
        <f>AND(B_Babonneau!L35,"AAAAAD5N9ik=")</f>
        <v>1</v>
      </c>
      <c r="AQ12" s="1">
        <f>IF(B_Babonneau!36:36,"AAAAAD5N9io=",0)</f>
        <v>0</v>
      </c>
      <c r="AR12" s="1" t="e">
        <f>AND(B_Babonneau!A36,"AAAAAD5N9is=")</f>
        <v>#VALUE!</v>
      </c>
      <c r="AS12" s="1" t="e">
        <f>AND(B_Babonneau!B36,"AAAAAD5N9iw=")</f>
        <v>#VALUE!</v>
      </c>
      <c r="AT12" s="1" t="e">
        <f>AND(B_Babonneau!C36,"AAAAAD5N9i0=")</f>
        <v>#VALUE!</v>
      </c>
      <c r="AU12" s="1" t="e">
        <f>AND(B_Babonneau!D36,"AAAAAD5N9i4=")</f>
        <v>#VALUE!</v>
      </c>
      <c r="AV12" s="1" t="e">
        <f>AND(B_Babonneau!E36,"AAAAAD5N9i8=")</f>
        <v>#VALUE!</v>
      </c>
      <c r="AW12" s="1" t="e">
        <f>AND(B_Babonneau!F36,"AAAAAD5N9jA=")</f>
        <v>#VALUE!</v>
      </c>
      <c r="AX12" s="1" t="e">
        <f>AND(B_Babonneau!G36,"AAAAAD5N9jE=")</f>
        <v>#VALUE!</v>
      </c>
      <c r="AY12" s="1" t="e">
        <f>AND(B_Babonneau!H36,"AAAAAD5N9jI=")</f>
        <v>#VALUE!</v>
      </c>
      <c r="AZ12" s="1" t="e">
        <f>AND(B_Babonneau!I36,"AAAAAD5N9jM=")</f>
        <v>#VALUE!</v>
      </c>
      <c r="BA12" s="1" t="e">
        <f>AND(B_Babonneau!J36,"AAAAAD5N9jQ=")</f>
        <v>#VALUE!</v>
      </c>
      <c r="BB12" s="1" t="e">
        <f>AND(B_Babonneau!K36,"AAAAAD5N9jU=")</f>
        <v>#VALUE!</v>
      </c>
      <c r="BC12" s="1" t="e">
        <f>AND(B_Babonneau!L36,"AAAAAD5N9jY=")</f>
        <v>#VALUE!</v>
      </c>
      <c r="BD12" s="1">
        <f>IF(B_Babonneau!37:37,"AAAAAD5N9jc=",0)</f>
        <v>0</v>
      </c>
      <c r="BE12" s="1" t="e">
        <f>AND(B_Babonneau!A37,"AAAAAD5N9jg=")</f>
        <v>#VALUE!</v>
      </c>
      <c r="BF12" s="1" t="b">
        <f>AND(B_Babonneau!B37,"AAAAAD5N9jk=")</f>
        <v>1</v>
      </c>
      <c r="BG12" s="1" t="b">
        <f>AND(B_Babonneau!C37,"AAAAAD5N9jo=")</f>
        <v>1</v>
      </c>
      <c r="BH12" s="1" t="b">
        <f>AND(B_Babonneau!D37,"AAAAAD5N9js=")</f>
        <v>1</v>
      </c>
      <c r="BI12" s="1" t="b">
        <f>AND(B_Babonneau!E37,"AAAAAD5N9jw=")</f>
        <v>1</v>
      </c>
      <c r="BJ12" s="1" t="b">
        <f>AND(B_Babonneau!F37,"AAAAAD5N9j0=")</f>
        <v>1</v>
      </c>
      <c r="BK12" s="1" t="b">
        <f>AND(B_Babonneau!G37,"AAAAAD5N9j4=")</f>
        <v>1</v>
      </c>
      <c r="BL12" s="1" t="b">
        <f>AND(B_Babonneau!H37,"AAAAAD5N9j8=")</f>
        <v>1</v>
      </c>
      <c r="BM12" s="1" t="b">
        <f>AND(B_Babonneau!I37,"AAAAAD5N9kA=")</f>
        <v>1</v>
      </c>
      <c r="BN12" s="1" t="b">
        <f>AND(B_Babonneau!J37,"AAAAAD5N9kE=")</f>
        <v>1</v>
      </c>
      <c r="BO12" s="1" t="b">
        <f>AND(B_Babonneau!K37,"AAAAAD5N9kI=")</f>
        <v>1</v>
      </c>
      <c r="BP12" s="1" t="b">
        <f>AND(B_Babonneau!L37,"AAAAAD5N9kM=")</f>
        <v>1</v>
      </c>
      <c r="BQ12" s="1">
        <f>IF(B_Babonneau!38:38,"AAAAAD5N9kQ=",0)</f>
        <v>0</v>
      </c>
      <c r="BR12" s="1" t="e">
        <f>AND(B_Babonneau!A38,"AAAAAD5N9kU=")</f>
        <v>#VALUE!</v>
      </c>
      <c r="BS12" s="1" t="b">
        <f>AND(B_Babonneau!B38,"AAAAAD5N9kY=")</f>
        <v>1</v>
      </c>
      <c r="BT12" s="1" t="b">
        <f>AND(B_Babonneau!C38,"AAAAAD5N9kc=")</f>
        <v>1</v>
      </c>
      <c r="BU12" s="1" t="b">
        <f>AND(B_Babonneau!D38,"AAAAAD5N9kg=")</f>
        <v>1</v>
      </c>
      <c r="BV12" s="1" t="b">
        <f>AND(B_Babonneau!E38,"AAAAAD5N9kk=")</f>
        <v>1</v>
      </c>
      <c r="BW12" s="1" t="b">
        <f>AND(B_Babonneau!F38,"AAAAAD5N9ko=")</f>
        <v>1</v>
      </c>
      <c r="BX12" s="1" t="b">
        <f>AND(B_Babonneau!G38,"AAAAAD5N9ks=")</f>
        <v>1</v>
      </c>
      <c r="BY12" s="1" t="b">
        <f>AND(B_Babonneau!H38,"AAAAAD5N9kw=")</f>
        <v>1</v>
      </c>
      <c r="BZ12" s="1" t="b">
        <f>AND(B_Babonneau!I38,"AAAAAD5N9k0=")</f>
        <v>1</v>
      </c>
      <c r="CA12" s="1" t="b">
        <f>AND(B_Babonneau!J38,"AAAAAD5N9k4=")</f>
        <v>1</v>
      </c>
      <c r="CB12" s="1" t="b">
        <f>AND(B_Babonneau!K38,"AAAAAD5N9k8=")</f>
        <v>1</v>
      </c>
      <c r="CC12" s="1" t="b">
        <f>AND(B_Babonneau!L38,"AAAAAD5N9lA=")</f>
        <v>1</v>
      </c>
      <c r="CD12" s="1">
        <f>IF(B_Babonneau!39:39,"AAAAAD5N9lE=",0)</f>
        <v>0</v>
      </c>
      <c r="CE12" s="1" t="e">
        <f>AND(B_Babonneau!A39,"AAAAAD5N9lI=")</f>
        <v>#VALUE!</v>
      </c>
      <c r="CF12" s="1" t="b">
        <f>AND(B_Babonneau!B39,"AAAAAD5N9lM=")</f>
        <v>1</v>
      </c>
      <c r="CG12" s="1" t="b">
        <f>AND(B_Babonneau!C39,"AAAAAD5N9lQ=")</f>
        <v>1</v>
      </c>
      <c r="CH12" s="1" t="b">
        <f>AND(B_Babonneau!D39,"AAAAAD5N9lU=")</f>
        <v>1</v>
      </c>
      <c r="CI12" s="1" t="b">
        <f>AND(B_Babonneau!E39,"AAAAAD5N9lY=")</f>
        <v>1</v>
      </c>
      <c r="CJ12" s="1" t="b">
        <f>AND(B_Babonneau!F39,"AAAAAD5N9lc=")</f>
        <v>1</v>
      </c>
      <c r="CK12" s="1" t="b">
        <f>AND(B_Babonneau!G39,"AAAAAD5N9lg=")</f>
        <v>1</v>
      </c>
      <c r="CL12" s="1" t="b">
        <f>AND(B_Babonneau!H39,"AAAAAD5N9lk=")</f>
        <v>1</v>
      </c>
      <c r="CM12" s="1" t="b">
        <f>AND(B_Babonneau!I39,"AAAAAD5N9lo=")</f>
        <v>1</v>
      </c>
      <c r="CN12" s="1" t="b">
        <f>AND(B_Babonneau!J39,"AAAAAD5N9ls=")</f>
        <v>1</v>
      </c>
      <c r="CO12" s="1" t="b">
        <f>AND(B_Babonneau!K39,"AAAAAD5N9lw=")</f>
        <v>1</v>
      </c>
      <c r="CP12" s="1" t="b">
        <f>AND(B_Babonneau!L39,"AAAAAD5N9l0=")</f>
        <v>1</v>
      </c>
      <c r="CQ12" s="1">
        <f>IF(B_Babonneau!40:40,"AAAAAD5N9l4=",0)</f>
        <v>0</v>
      </c>
      <c r="CR12" s="1" t="e">
        <f>AND(B_Babonneau!A40,"AAAAAD5N9l8=")</f>
        <v>#VALUE!</v>
      </c>
      <c r="CS12" s="1" t="b">
        <f>AND(B_Babonneau!B40,"AAAAAD5N9mA=")</f>
        <v>1</v>
      </c>
      <c r="CT12" s="1" t="b">
        <f>AND(B_Babonneau!C40,"AAAAAD5N9mE=")</f>
        <v>1</v>
      </c>
      <c r="CU12" s="1" t="b">
        <f>AND(B_Babonneau!D40,"AAAAAD5N9mI=")</f>
        <v>1</v>
      </c>
      <c r="CV12" s="1" t="b">
        <f>AND(B_Babonneau!E40,"AAAAAD5N9mM=")</f>
        <v>1</v>
      </c>
      <c r="CW12" s="1" t="b">
        <f>AND(B_Babonneau!F40,"AAAAAD5N9mQ=")</f>
        <v>1</v>
      </c>
      <c r="CX12" s="1" t="b">
        <f>AND(B_Babonneau!G40,"AAAAAD5N9mU=")</f>
        <v>1</v>
      </c>
      <c r="CY12" s="1" t="b">
        <f>AND(B_Babonneau!H40,"AAAAAD5N9mY=")</f>
        <v>1</v>
      </c>
      <c r="CZ12" s="1" t="b">
        <f>AND(B_Babonneau!I40,"AAAAAD5N9mc=")</f>
        <v>1</v>
      </c>
      <c r="DA12" s="1" t="b">
        <f>AND(B_Babonneau!J40,"AAAAAD5N9mg=")</f>
        <v>1</v>
      </c>
      <c r="DB12" s="1" t="b">
        <f>AND(B_Babonneau!K40,"AAAAAD5N9mk=")</f>
        <v>1</v>
      </c>
      <c r="DC12" s="1" t="b">
        <f>AND(B_Babonneau!L40,"AAAAAD5N9mo=")</f>
        <v>1</v>
      </c>
      <c r="DD12" s="1">
        <f>IF(B_Babonneau!41:41,"AAAAAD5N9ms=",0)</f>
        <v>0</v>
      </c>
      <c r="DE12" s="1" t="e">
        <f>AND(B_Babonneau!A41,"AAAAAD5N9mw=")</f>
        <v>#VALUE!</v>
      </c>
      <c r="DF12" s="1" t="b">
        <f>AND(B_Babonneau!B41,"AAAAAD5N9m0=")</f>
        <v>1</v>
      </c>
      <c r="DG12" s="1" t="b">
        <f>AND(B_Babonneau!C41,"AAAAAD5N9m4=")</f>
        <v>1</v>
      </c>
      <c r="DH12" s="1" t="b">
        <f>AND(B_Babonneau!D41,"AAAAAD5N9m8=")</f>
        <v>1</v>
      </c>
      <c r="DI12" s="1" t="b">
        <f>AND(B_Babonneau!E41,"AAAAAD5N9nA=")</f>
        <v>1</v>
      </c>
      <c r="DJ12" s="1" t="b">
        <f>AND(B_Babonneau!F41,"AAAAAD5N9nE=")</f>
        <v>1</v>
      </c>
      <c r="DK12" s="1" t="b">
        <f>AND(B_Babonneau!G41,"AAAAAD5N9nI=")</f>
        <v>1</v>
      </c>
      <c r="DL12" s="1" t="b">
        <f>AND(B_Babonneau!H41,"AAAAAD5N9nM=")</f>
        <v>1</v>
      </c>
      <c r="DM12" s="1" t="b">
        <f>AND(B_Babonneau!I41,"AAAAAD5N9nQ=")</f>
        <v>1</v>
      </c>
      <c r="DN12" s="1" t="b">
        <f>AND(B_Babonneau!J41,"AAAAAD5N9nU=")</f>
        <v>1</v>
      </c>
      <c r="DO12" s="1" t="b">
        <f>AND(B_Babonneau!K41,"AAAAAD5N9nY=")</f>
        <v>1</v>
      </c>
      <c r="DP12" s="1" t="b">
        <f>AND(B_Babonneau!L41,"AAAAAD5N9nc=")</f>
        <v>1</v>
      </c>
      <c r="DQ12" s="1">
        <f>IF(B_Babonneau!42:42,"AAAAAD5N9ng=",0)</f>
        <v>0</v>
      </c>
      <c r="DR12" s="1" t="e">
        <f>AND(B_Babonneau!A42,"AAAAAD5N9nk=")</f>
        <v>#VALUE!</v>
      </c>
      <c r="DS12" s="1" t="b">
        <f>AND(B_Babonneau!B42,"AAAAAD5N9no=")</f>
        <v>1</v>
      </c>
      <c r="DT12" s="1" t="b">
        <f>AND(B_Babonneau!C42,"AAAAAD5N9ns=")</f>
        <v>1</v>
      </c>
      <c r="DU12" s="1" t="b">
        <f>AND(B_Babonneau!D42,"AAAAAD5N9nw=")</f>
        <v>1</v>
      </c>
      <c r="DV12" s="1" t="b">
        <f>AND(B_Babonneau!E42,"AAAAAD5N9n0=")</f>
        <v>1</v>
      </c>
      <c r="DW12" s="1" t="b">
        <f>AND(B_Babonneau!F42,"AAAAAD5N9n4=")</f>
        <v>1</v>
      </c>
      <c r="DX12" s="1" t="b">
        <f>AND(B_Babonneau!G42,"AAAAAD5N9n8=")</f>
        <v>1</v>
      </c>
      <c r="DY12" s="1" t="b">
        <f>AND(B_Babonneau!H42,"AAAAAD5N9oA=")</f>
        <v>1</v>
      </c>
      <c r="DZ12" s="1" t="b">
        <f>AND(B_Babonneau!I42,"AAAAAD5N9oE=")</f>
        <v>1</v>
      </c>
      <c r="EA12" s="1" t="b">
        <f>AND(B_Babonneau!J42,"AAAAAD5N9oI=")</f>
        <v>1</v>
      </c>
      <c r="EB12" s="1" t="b">
        <f>AND(B_Babonneau!K42,"AAAAAD5N9oM=")</f>
        <v>1</v>
      </c>
      <c r="EC12" s="1" t="b">
        <f>AND(B_Babonneau!L42,"AAAAAD5N9oQ=")</f>
        <v>1</v>
      </c>
      <c r="ED12" s="1">
        <f>IF(B_Babonneau!44:44,"AAAAAD5N9oU=",0)</f>
        <v>0</v>
      </c>
      <c r="EE12" s="1" t="e">
        <f>AND(B_Babonneau!A44,"AAAAAD5N9oY=")</f>
        <v>#VALUE!</v>
      </c>
      <c r="EF12" s="1" t="e">
        <f>AND(B_Babonneau!B44,"AAAAAD5N9oc=")</f>
        <v>#VALUE!</v>
      </c>
      <c r="EG12" s="1" t="e">
        <f>AND(B_Babonneau!C44,"AAAAAD5N9og=")</f>
        <v>#VALUE!</v>
      </c>
      <c r="EH12" s="1" t="e">
        <f>AND(B_Babonneau!D44,"AAAAAD5N9ok=")</f>
        <v>#VALUE!</v>
      </c>
      <c r="EI12" s="1" t="e">
        <f>AND(B_Babonneau!E44,"AAAAAD5N9oo=")</f>
        <v>#VALUE!</v>
      </c>
      <c r="EJ12" s="1" t="e">
        <f>AND(B_Babonneau!F44,"AAAAAD5N9os=")</f>
        <v>#VALUE!</v>
      </c>
      <c r="EK12" s="1" t="e">
        <f>AND(B_Babonneau!G44,"AAAAAD5N9ow=")</f>
        <v>#VALUE!</v>
      </c>
      <c r="EL12" s="1" t="e">
        <f>AND(B_Babonneau!H44,"AAAAAD5N9o0=")</f>
        <v>#VALUE!</v>
      </c>
      <c r="EM12" s="1" t="e">
        <f>AND(B_Babonneau!I44,"AAAAAD5N9o4=")</f>
        <v>#VALUE!</v>
      </c>
      <c r="EN12" s="1" t="e">
        <f>AND(B_Babonneau!J44,"AAAAAD5N9o8=")</f>
        <v>#VALUE!</v>
      </c>
      <c r="EO12" s="1" t="e">
        <f>AND(B_Babonneau!K44,"AAAAAD5N9pA=")</f>
        <v>#VALUE!</v>
      </c>
      <c r="EP12" s="1" t="e">
        <f>AND(B_Babonneau!L44,"AAAAAD5N9pE=")</f>
        <v>#VALUE!</v>
      </c>
      <c r="EQ12" s="1">
        <f>IF(B_Babonneau!45:45,"AAAAAD5N9pI=",0)</f>
        <v>0</v>
      </c>
      <c r="ER12" s="1" t="e">
        <f>AND(B_Babonneau!A45,"AAAAAD5N9pM=")</f>
        <v>#VALUE!</v>
      </c>
      <c r="ES12" s="1" t="b">
        <f>AND(B_Babonneau!B45,"AAAAAD5N9pQ=")</f>
        <v>1</v>
      </c>
      <c r="ET12" s="1" t="b">
        <f>AND(B_Babonneau!C45,"AAAAAD5N9pU=")</f>
        <v>1</v>
      </c>
      <c r="EU12" s="1" t="b">
        <f>AND(B_Babonneau!D45,"AAAAAD5N9pY=")</f>
        <v>1</v>
      </c>
      <c r="EV12" s="1" t="b">
        <f>AND(B_Babonneau!E45,"AAAAAD5N9pc=")</f>
        <v>1</v>
      </c>
      <c r="EW12" s="1" t="b">
        <f>AND(B_Babonneau!F45,"AAAAAD5N9pg=")</f>
        <v>1</v>
      </c>
      <c r="EX12" s="1" t="b">
        <f>AND(B_Babonneau!G45,"AAAAAD5N9pk=")</f>
        <v>1</v>
      </c>
      <c r="EY12" s="1" t="b">
        <f>AND(B_Babonneau!H45,"AAAAAD5N9po=")</f>
        <v>1</v>
      </c>
      <c r="EZ12" s="1" t="b">
        <f>AND(B_Babonneau!I45,"AAAAAD5N9ps=")</f>
        <v>1</v>
      </c>
      <c r="FA12" s="1" t="b">
        <f>AND(B_Babonneau!J45,"AAAAAD5N9pw=")</f>
        <v>1</v>
      </c>
      <c r="FB12" s="1" t="b">
        <f>AND(B_Babonneau!K45,"AAAAAD5N9p0=")</f>
        <v>1</v>
      </c>
      <c r="FC12" s="1" t="b">
        <f>AND(B_Babonneau!L45,"AAAAAD5N9p4=")</f>
        <v>1</v>
      </c>
      <c r="FD12" s="1">
        <f>IF(B_Babonneau!46:46,"AAAAAD5N9p8=",0)</f>
        <v>0</v>
      </c>
      <c r="FE12" s="1" t="e">
        <f>AND(B_Babonneau!A46,"AAAAAD5N9qA=")</f>
        <v>#VALUE!</v>
      </c>
      <c r="FF12" s="1" t="b">
        <f>AND(B_Babonneau!B46,"AAAAAD5N9qE=")</f>
        <v>1</v>
      </c>
      <c r="FG12" s="1" t="b">
        <f>AND(B_Babonneau!C46,"AAAAAD5N9qI=")</f>
        <v>1</v>
      </c>
      <c r="FH12" s="1" t="b">
        <f>AND(B_Babonneau!D46,"AAAAAD5N9qM=")</f>
        <v>1</v>
      </c>
      <c r="FI12" s="1" t="b">
        <f>AND(B_Babonneau!E46,"AAAAAD5N9qQ=")</f>
        <v>1</v>
      </c>
      <c r="FJ12" s="1" t="b">
        <f>AND(B_Babonneau!F46,"AAAAAD5N9qU=")</f>
        <v>1</v>
      </c>
      <c r="FK12" s="1" t="b">
        <f>AND(B_Babonneau!G46,"AAAAAD5N9qY=")</f>
        <v>1</v>
      </c>
      <c r="FL12" s="1" t="b">
        <f>AND(B_Babonneau!H46,"AAAAAD5N9qc=")</f>
        <v>1</v>
      </c>
      <c r="FM12" s="1" t="b">
        <f>AND(B_Babonneau!I46,"AAAAAD5N9qg=")</f>
        <v>1</v>
      </c>
      <c r="FN12" s="1" t="b">
        <f>AND(B_Babonneau!J46,"AAAAAD5N9qk=")</f>
        <v>1</v>
      </c>
      <c r="FO12" s="1" t="b">
        <f>AND(B_Babonneau!K46,"AAAAAD5N9qo=")</f>
        <v>1</v>
      </c>
      <c r="FP12" s="1" t="b">
        <f>AND(B_Babonneau!L46,"AAAAAD5N9qs=")</f>
        <v>1</v>
      </c>
      <c r="FQ12" s="1">
        <f>IF(B_Babonneau!48:48,"AAAAAD5N9qw=",0)</f>
        <v>0</v>
      </c>
      <c r="FR12" s="1" t="e">
        <f>AND(B_Babonneau!A48,"AAAAAD5N9q0=")</f>
        <v>#VALUE!</v>
      </c>
      <c r="FS12" s="1" t="b">
        <f>AND(B_Babonneau!B48,"AAAAAD5N9q4=")</f>
        <v>1</v>
      </c>
      <c r="FT12" s="1" t="b">
        <f>AND(B_Babonneau!C48,"AAAAAD5N9q8=")</f>
        <v>1</v>
      </c>
      <c r="FU12" s="1" t="b">
        <f>AND(B_Babonneau!D48,"AAAAAD5N9rA=")</f>
        <v>1</v>
      </c>
      <c r="FV12" s="1" t="b">
        <f>AND(B_Babonneau!E48,"AAAAAD5N9rE=")</f>
        <v>1</v>
      </c>
      <c r="FW12" s="1" t="b">
        <f>AND(B_Babonneau!F48,"AAAAAD5N9rI=")</f>
        <v>1</v>
      </c>
      <c r="FX12" s="1" t="b">
        <f>AND(B_Babonneau!G48,"AAAAAD5N9rM=")</f>
        <v>1</v>
      </c>
      <c r="FY12" s="1" t="b">
        <f>AND(B_Babonneau!H48,"AAAAAD5N9rQ=")</f>
        <v>1</v>
      </c>
      <c r="FZ12" s="1" t="b">
        <f>AND(B_Babonneau!I48,"AAAAAD5N9rU=")</f>
        <v>1</v>
      </c>
      <c r="GA12" s="1" t="b">
        <f>AND(B_Babonneau!J48,"AAAAAD5N9rY=")</f>
        <v>1</v>
      </c>
      <c r="GB12" s="1" t="b">
        <f>AND(B_Babonneau!K48,"AAAAAD5N9rc=")</f>
        <v>1</v>
      </c>
      <c r="GC12" s="1" t="b">
        <f>AND(B_Babonneau!L48,"AAAAAD5N9rg=")</f>
        <v>1</v>
      </c>
      <c r="GD12" s="1">
        <f>IF(B_Babonneau!50:50,"AAAAAD5N9rk=",0)</f>
        <v>0</v>
      </c>
      <c r="GE12" s="1" t="e">
        <f>AND(B_Babonneau!A50,"AAAAAD5N9ro=")</f>
        <v>#VALUE!</v>
      </c>
      <c r="GF12" s="1" t="e">
        <f>AND(B_Babonneau!B50,"AAAAAD5N9rs=")</f>
        <v>#VALUE!</v>
      </c>
      <c r="GG12" s="1" t="e">
        <f>AND(B_Babonneau!C50,"AAAAAD5N9rw=")</f>
        <v>#VALUE!</v>
      </c>
      <c r="GH12" s="1" t="e">
        <f>AND(B_Babonneau!D50,"AAAAAD5N9r0=")</f>
        <v>#VALUE!</v>
      </c>
      <c r="GI12" s="1" t="e">
        <f>AND(B_Babonneau!E50,"AAAAAD5N9r4=")</f>
        <v>#VALUE!</v>
      </c>
      <c r="GJ12" s="1" t="e">
        <f>AND(B_Babonneau!F50,"AAAAAD5N9r8=")</f>
        <v>#VALUE!</v>
      </c>
      <c r="GK12" s="1" t="e">
        <f>AND(B_Babonneau!G50,"AAAAAD5N9sA=")</f>
        <v>#VALUE!</v>
      </c>
      <c r="GL12" s="1" t="e">
        <f>AND(B_Babonneau!H50,"AAAAAD5N9sE=")</f>
        <v>#VALUE!</v>
      </c>
      <c r="GM12" s="1" t="e">
        <f>AND(B_Babonneau!I50,"AAAAAD5N9sI=")</f>
        <v>#VALUE!</v>
      </c>
      <c r="GN12" s="1" t="e">
        <f>AND(B_Babonneau!J50,"AAAAAD5N9sM=")</f>
        <v>#VALUE!</v>
      </c>
      <c r="GO12" s="1" t="e">
        <f>AND(B_Babonneau!K50,"AAAAAD5N9sQ=")</f>
        <v>#VALUE!</v>
      </c>
      <c r="GP12" s="1" t="e">
        <f>AND(B_Babonneau!L50,"AAAAAD5N9sU=")</f>
        <v>#VALUE!</v>
      </c>
      <c r="GQ12" s="1">
        <f>IF(B_Babonneau!51:51,"AAAAAD5N9sY=",0)</f>
        <v>0</v>
      </c>
      <c r="GR12" s="1" t="e">
        <f>AND(B_Babonneau!A51,"AAAAAD5N9sc=")</f>
        <v>#VALUE!</v>
      </c>
      <c r="GS12" s="1" t="b">
        <f>AND(B_Babonneau!B51,"AAAAAD5N9sg=")</f>
        <v>1</v>
      </c>
      <c r="GT12" s="1" t="b">
        <f>AND(B_Babonneau!C51,"AAAAAD5N9sk=")</f>
        <v>1</v>
      </c>
      <c r="GU12" s="1" t="b">
        <f>AND(B_Babonneau!D51,"AAAAAD5N9so=")</f>
        <v>1</v>
      </c>
      <c r="GV12" s="1" t="b">
        <f>AND(B_Babonneau!E51,"AAAAAD5N9ss=")</f>
        <v>1</v>
      </c>
      <c r="GW12" s="1" t="b">
        <f>AND(B_Babonneau!F51,"AAAAAD5N9sw=")</f>
        <v>1</v>
      </c>
      <c r="GX12" s="1" t="b">
        <f>AND(B_Babonneau!G51,"AAAAAD5N9s0=")</f>
        <v>1</v>
      </c>
      <c r="GY12" s="1" t="b">
        <f>AND(B_Babonneau!H51,"AAAAAD5N9s4=")</f>
        <v>1</v>
      </c>
      <c r="GZ12" s="1" t="b">
        <f>AND(B_Babonneau!I51,"AAAAAD5N9s8=")</f>
        <v>1</v>
      </c>
      <c r="HA12" s="1" t="b">
        <f>AND(B_Babonneau!J51,"AAAAAD5N9tA=")</f>
        <v>1</v>
      </c>
      <c r="HB12" s="1" t="b">
        <f>AND(B_Babonneau!K51,"AAAAAD5N9tE=")</f>
        <v>1</v>
      </c>
      <c r="HC12" s="1" t="b">
        <f>AND(B_Babonneau!L51,"AAAAAD5N9tI=")</f>
        <v>1</v>
      </c>
      <c r="HD12" s="1">
        <f>IF(B_Babonneau!52:52,"AAAAAD5N9tM=",0)</f>
        <v>0</v>
      </c>
      <c r="HE12" s="1" t="e">
        <f>AND(B_Babonneau!A52,"AAAAAD5N9tQ=")</f>
        <v>#VALUE!</v>
      </c>
      <c r="HF12" s="1" t="b">
        <f>AND(B_Babonneau!B52,"AAAAAD5N9tU=")</f>
        <v>1</v>
      </c>
      <c r="HG12" s="1" t="b">
        <f>AND(B_Babonneau!C52,"AAAAAD5N9tY=")</f>
        <v>1</v>
      </c>
      <c r="HH12" s="1" t="b">
        <f>AND(B_Babonneau!D52,"AAAAAD5N9tc=")</f>
        <v>1</v>
      </c>
      <c r="HI12" s="1" t="b">
        <f>AND(B_Babonneau!E52,"AAAAAD5N9tg=")</f>
        <v>1</v>
      </c>
      <c r="HJ12" s="1" t="b">
        <f>AND(B_Babonneau!F52,"AAAAAD5N9tk=")</f>
        <v>1</v>
      </c>
      <c r="HK12" s="1" t="b">
        <f>AND(B_Babonneau!G52,"AAAAAD5N9to=")</f>
        <v>1</v>
      </c>
      <c r="HL12" s="1" t="b">
        <f>AND(B_Babonneau!H52,"AAAAAD5N9ts=")</f>
        <v>1</v>
      </c>
      <c r="HM12" s="1" t="b">
        <f>AND(B_Babonneau!I52,"AAAAAD5N9tw=")</f>
        <v>1</v>
      </c>
      <c r="HN12" s="1" t="b">
        <f>AND(B_Babonneau!J52,"AAAAAD5N9t0=")</f>
        <v>1</v>
      </c>
      <c r="HO12" s="1" t="b">
        <f>AND(B_Babonneau!K52,"AAAAAD5N9t4=")</f>
        <v>1</v>
      </c>
      <c r="HP12" s="1" t="b">
        <f>AND(B_Babonneau!L52,"AAAAAD5N9t8=")</f>
        <v>1</v>
      </c>
      <c r="HQ12" s="1" t="e">
        <f>IF(B_Babonneau!#REF!,"AAAAAD5N9uA=",0)</f>
        <v>#REF!</v>
      </c>
      <c r="HR12" s="1" t="e">
        <f>AND(B_Babonneau!#REF!,"AAAAAD5N9uE=")</f>
        <v>#REF!</v>
      </c>
      <c r="HS12" s="1" t="e">
        <f>AND(B_Babonneau!#REF!,"AAAAAD5N9uI=")</f>
        <v>#REF!</v>
      </c>
      <c r="HT12" s="1" t="e">
        <f>AND(B_Babonneau!#REF!,"AAAAAD5N9uM=")</f>
        <v>#REF!</v>
      </c>
      <c r="HU12" s="1" t="e">
        <f>AND(B_Babonneau!#REF!,"AAAAAD5N9uQ=")</f>
        <v>#REF!</v>
      </c>
      <c r="HV12" s="1" t="e">
        <f>AND(B_Babonneau!#REF!,"AAAAAD5N9uU=")</f>
        <v>#REF!</v>
      </c>
      <c r="HW12" s="1" t="e">
        <f>AND(B_Babonneau!#REF!,"AAAAAD5N9uY=")</f>
        <v>#REF!</v>
      </c>
      <c r="HX12" s="1" t="e">
        <f>AND(B_Babonneau!#REF!,"AAAAAD5N9uc=")</f>
        <v>#REF!</v>
      </c>
      <c r="HY12" s="1" t="e">
        <f>AND(B_Babonneau!#REF!,"AAAAAD5N9ug=")</f>
        <v>#REF!</v>
      </c>
      <c r="HZ12" s="1" t="e">
        <f>AND(B_Babonneau!#REF!,"AAAAAD5N9uk=")</f>
        <v>#REF!</v>
      </c>
      <c r="IA12" s="1" t="e">
        <f>AND(B_Babonneau!#REF!,"AAAAAD5N9uo=")</f>
        <v>#REF!</v>
      </c>
      <c r="IB12" s="1" t="e">
        <f>AND(B_Babonneau!#REF!,"AAAAAD5N9us=")</f>
        <v>#REF!</v>
      </c>
      <c r="IC12" s="1" t="e">
        <f>AND(B_Babonneau!#REF!,"AAAAAD5N9uw=")</f>
        <v>#REF!</v>
      </c>
      <c r="ID12" s="1" t="e">
        <f>IF(B_Babonneau!#REF!,"AAAAAD5N9u0=",0)</f>
        <v>#REF!</v>
      </c>
      <c r="IE12" s="1" t="e">
        <f>AND(B_Babonneau!#REF!,"AAAAAD5N9u4=")</f>
        <v>#REF!</v>
      </c>
      <c r="IF12" s="1" t="e">
        <f>AND(B_Babonneau!#REF!,"AAAAAD5N9u8=")</f>
        <v>#REF!</v>
      </c>
      <c r="IG12" s="1" t="e">
        <f>AND(B_Babonneau!#REF!,"AAAAAD5N9vA=")</f>
        <v>#REF!</v>
      </c>
      <c r="IH12" s="1" t="e">
        <f>AND(B_Babonneau!#REF!,"AAAAAD5N9vE=")</f>
        <v>#REF!</v>
      </c>
      <c r="II12" s="1" t="e">
        <f>AND(B_Babonneau!#REF!,"AAAAAD5N9vI=")</f>
        <v>#REF!</v>
      </c>
      <c r="IJ12" s="1" t="e">
        <f>AND(B_Babonneau!#REF!,"AAAAAD5N9vM=")</f>
        <v>#REF!</v>
      </c>
      <c r="IK12" s="1" t="e">
        <f>AND(B_Babonneau!#REF!,"AAAAAD5N9vQ=")</f>
        <v>#REF!</v>
      </c>
      <c r="IL12" s="1" t="e">
        <f>AND(B_Babonneau!#REF!,"AAAAAD5N9vU=")</f>
        <v>#REF!</v>
      </c>
      <c r="IM12" s="1" t="e">
        <f>AND(B_Babonneau!#REF!,"AAAAAD5N9vY=")</f>
        <v>#REF!</v>
      </c>
      <c r="IN12" s="1" t="e">
        <f>AND(B_Babonneau!#REF!,"AAAAAD5N9vc=")</f>
        <v>#REF!</v>
      </c>
      <c r="IO12" s="1" t="e">
        <f>AND(B_Babonneau!#REF!,"AAAAAD5N9vg=")</f>
        <v>#REF!</v>
      </c>
      <c r="IP12" s="1" t="e">
        <f>AND(B_Babonneau!#REF!,"AAAAAD5N9vk=")</f>
        <v>#REF!</v>
      </c>
      <c r="IQ12" s="1" t="e">
        <f>IF(B_Babonneau!#REF!,"AAAAAD5N9vo=",0)</f>
        <v>#REF!</v>
      </c>
      <c r="IR12" s="1" t="e">
        <f>AND(B_Babonneau!#REF!,"AAAAAD5N9vs=")</f>
        <v>#REF!</v>
      </c>
      <c r="IS12" s="1" t="e">
        <f>AND(B_Babonneau!#REF!,"AAAAAD5N9vw=")</f>
        <v>#REF!</v>
      </c>
      <c r="IT12" s="1" t="e">
        <f>AND(B_Babonneau!#REF!,"AAAAAD5N9v0=")</f>
        <v>#REF!</v>
      </c>
      <c r="IU12" s="1" t="e">
        <f>AND(B_Babonneau!#REF!,"AAAAAD5N9v4=")</f>
        <v>#REF!</v>
      </c>
      <c r="IV12" s="1" t="e">
        <f>AND(B_Babonneau!#REF!,"AAAAAD5N9v8=")</f>
        <v>#REF!</v>
      </c>
    </row>
    <row r="13" spans="1:256" ht="12" customHeight="1" x14ac:dyDescent="0.2">
      <c r="A13" s="1" t="e">
        <f>AND(B_Babonneau!#REF!,"AAAAAGyf/wA=")</f>
        <v>#REF!</v>
      </c>
      <c r="B13" s="1" t="e">
        <f>AND(B_Babonneau!#REF!,"AAAAAGyf/wE=")</f>
        <v>#REF!</v>
      </c>
      <c r="C13" s="1" t="e">
        <f>AND(B_Babonneau!#REF!,"AAAAAGyf/wI=")</f>
        <v>#REF!</v>
      </c>
      <c r="D13" s="1" t="e">
        <f>AND(B_Babonneau!#REF!,"AAAAAGyf/wM=")</f>
        <v>#REF!</v>
      </c>
      <c r="E13" s="1" t="e">
        <f>AND(B_Babonneau!#REF!,"AAAAAGyf/wQ=")</f>
        <v>#REF!</v>
      </c>
      <c r="F13" s="1" t="e">
        <f>AND(B_Babonneau!#REF!,"AAAAAGyf/wU=")</f>
        <v>#REF!</v>
      </c>
      <c r="G13" s="1" t="e">
        <f>AND(B_Babonneau!#REF!,"AAAAAGyf/wY=")</f>
        <v>#REF!</v>
      </c>
      <c r="H13" s="1" t="e">
        <f>IF(B_Babonneau!#REF!,"AAAAAGyf/wc=",0)</f>
        <v>#REF!</v>
      </c>
      <c r="I13" s="1" t="e">
        <f>AND(B_Babonneau!#REF!,"AAAAAGyf/wg=")</f>
        <v>#REF!</v>
      </c>
      <c r="J13" s="1" t="e">
        <f>AND(B_Babonneau!#REF!,"AAAAAGyf/wk=")</f>
        <v>#REF!</v>
      </c>
      <c r="K13" s="1" t="e">
        <f>AND(B_Babonneau!#REF!,"AAAAAGyf/wo=")</f>
        <v>#REF!</v>
      </c>
      <c r="L13" s="1" t="e">
        <f>AND(B_Babonneau!#REF!,"AAAAAGyf/ws=")</f>
        <v>#REF!</v>
      </c>
      <c r="M13" s="1" t="e">
        <f>AND(B_Babonneau!#REF!,"AAAAAGyf/ww=")</f>
        <v>#REF!</v>
      </c>
      <c r="N13" s="1" t="e">
        <f>AND(B_Babonneau!#REF!,"AAAAAGyf/w0=")</f>
        <v>#REF!</v>
      </c>
      <c r="O13" s="1" t="e">
        <f>AND(B_Babonneau!#REF!,"AAAAAGyf/w4=")</f>
        <v>#REF!</v>
      </c>
      <c r="P13" s="1" t="e">
        <f>AND(B_Babonneau!#REF!,"AAAAAGyf/w8=")</f>
        <v>#REF!</v>
      </c>
      <c r="Q13" s="1" t="e">
        <f>AND(B_Babonneau!#REF!,"AAAAAGyf/xA=")</f>
        <v>#REF!</v>
      </c>
      <c r="R13" s="1" t="e">
        <f>AND(B_Babonneau!#REF!,"AAAAAGyf/xE=")</f>
        <v>#REF!</v>
      </c>
      <c r="S13" s="1" t="e">
        <f>AND(B_Babonneau!#REF!,"AAAAAGyf/xI=")</f>
        <v>#REF!</v>
      </c>
      <c r="T13" s="1" t="e">
        <f>AND(B_Babonneau!#REF!,"AAAAAGyf/xM=")</f>
        <v>#REF!</v>
      </c>
      <c r="U13" s="1">
        <f>IF(B_Babonneau!53:53,"AAAAAGyf/xQ=",0)</f>
        <v>0</v>
      </c>
      <c r="V13" s="1" t="e">
        <f>AND(B_Babonneau!A53,"AAAAAGyf/xU=")</f>
        <v>#VALUE!</v>
      </c>
      <c r="W13" s="1" t="b">
        <f>AND(B_Babonneau!B53,"AAAAAGyf/xY=")</f>
        <v>1</v>
      </c>
      <c r="X13" s="1" t="b">
        <f>AND(B_Babonneau!C53,"AAAAAGyf/xc=")</f>
        <v>1</v>
      </c>
      <c r="Y13" s="1" t="b">
        <f>AND(B_Babonneau!D53,"AAAAAGyf/xg=")</f>
        <v>1</v>
      </c>
      <c r="Z13" s="1" t="b">
        <f>AND(B_Babonneau!E53,"AAAAAGyf/xk=")</f>
        <v>1</v>
      </c>
      <c r="AA13" s="1" t="b">
        <f>AND(B_Babonneau!F53,"AAAAAGyf/xo=")</f>
        <v>1</v>
      </c>
      <c r="AB13" s="1" t="b">
        <f>AND(B_Babonneau!G53,"AAAAAGyf/xs=")</f>
        <v>1</v>
      </c>
      <c r="AC13" s="1" t="b">
        <f>AND(B_Babonneau!H53,"AAAAAGyf/xw=")</f>
        <v>1</v>
      </c>
      <c r="AD13" s="1" t="b">
        <f>AND(B_Babonneau!I53,"AAAAAGyf/x0=")</f>
        <v>1</v>
      </c>
      <c r="AE13" s="1" t="b">
        <f>AND(B_Babonneau!J53,"AAAAAGyf/x4=")</f>
        <v>1</v>
      </c>
      <c r="AF13" s="1" t="b">
        <f>AND(B_Babonneau!K53,"AAAAAGyf/x8=")</f>
        <v>1</v>
      </c>
      <c r="AG13" s="1" t="b">
        <f>AND(B_Babonneau!L53,"AAAAAGyf/yA=")</f>
        <v>1</v>
      </c>
      <c r="AH13" s="1">
        <f>IF(B_Babonneau!54:54,"AAAAAGyf/yE=",0)</f>
        <v>0</v>
      </c>
      <c r="AI13" s="1" t="e">
        <f>AND(B_Babonneau!A54,"AAAAAGyf/yI=")</f>
        <v>#VALUE!</v>
      </c>
      <c r="AJ13" s="1" t="b">
        <f>AND(B_Babonneau!B54,"AAAAAGyf/yM=")</f>
        <v>1</v>
      </c>
      <c r="AK13" s="1" t="b">
        <f>AND(B_Babonneau!C54,"AAAAAGyf/yQ=")</f>
        <v>1</v>
      </c>
      <c r="AL13" s="1" t="b">
        <f>AND(B_Babonneau!D54,"AAAAAGyf/yU=")</f>
        <v>1</v>
      </c>
      <c r="AM13" s="1" t="b">
        <f>AND(B_Babonneau!E54,"AAAAAGyf/yY=")</f>
        <v>1</v>
      </c>
      <c r="AN13" s="1" t="b">
        <f>AND(B_Babonneau!F54,"AAAAAGyf/yc=")</f>
        <v>1</v>
      </c>
      <c r="AO13" s="1" t="b">
        <f>AND(B_Babonneau!G54,"AAAAAGyf/yg=")</f>
        <v>1</v>
      </c>
      <c r="AP13" s="1" t="b">
        <f>AND(B_Babonneau!H54,"AAAAAGyf/yk=")</f>
        <v>1</v>
      </c>
      <c r="AQ13" s="1" t="b">
        <f>AND(B_Babonneau!I54,"AAAAAGyf/yo=")</f>
        <v>1</v>
      </c>
      <c r="AR13" s="1" t="b">
        <f>AND(B_Babonneau!J54,"AAAAAGyf/ys=")</f>
        <v>1</v>
      </c>
      <c r="AS13" s="1" t="b">
        <f>AND(B_Babonneau!K54,"AAAAAGyf/yw=")</f>
        <v>1</v>
      </c>
      <c r="AT13" s="1" t="b">
        <f>AND(B_Babonneau!L54,"AAAAAGyf/y0=")</f>
        <v>1</v>
      </c>
      <c r="AU13" s="1">
        <f>IF(B_Babonneau!55:55,"AAAAAGyf/y4=",0)</f>
        <v>0</v>
      </c>
      <c r="AV13" s="1" t="e">
        <f>AND(B_Babonneau!A55,"AAAAAGyf/y8=")</f>
        <v>#VALUE!</v>
      </c>
      <c r="AW13" s="1" t="b">
        <f>AND(B_Babonneau!B55,"AAAAAGyf/zA=")</f>
        <v>1</v>
      </c>
      <c r="AX13" s="1" t="b">
        <f>AND(B_Babonneau!C55,"AAAAAGyf/zE=")</f>
        <v>1</v>
      </c>
      <c r="AY13" s="1" t="b">
        <f>AND(B_Babonneau!D55,"AAAAAGyf/zI=")</f>
        <v>1</v>
      </c>
      <c r="AZ13" s="1" t="b">
        <f>AND(B_Babonneau!E55,"AAAAAGyf/zM=")</f>
        <v>1</v>
      </c>
      <c r="BA13" s="1" t="b">
        <f>AND(B_Babonneau!F55,"AAAAAGyf/zQ=")</f>
        <v>1</v>
      </c>
      <c r="BB13" s="1" t="b">
        <f>AND(B_Babonneau!G55,"AAAAAGyf/zU=")</f>
        <v>1</v>
      </c>
      <c r="BC13" s="1" t="b">
        <f>AND(B_Babonneau!H55,"AAAAAGyf/zY=")</f>
        <v>1</v>
      </c>
      <c r="BD13" s="1" t="b">
        <f>AND(B_Babonneau!I55,"AAAAAGyf/zc=")</f>
        <v>1</v>
      </c>
      <c r="BE13" s="1" t="b">
        <f>AND(B_Babonneau!J55,"AAAAAGyf/zg=")</f>
        <v>1</v>
      </c>
      <c r="BF13" s="1" t="b">
        <f>AND(B_Babonneau!K55,"AAAAAGyf/zk=")</f>
        <v>1</v>
      </c>
      <c r="BG13" s="1" t="b">
        <f>AND(B_Babonneau!L55,"AAAAAGyf/zo=")</f>
        <v>1</v>
      </c>
      <c r="BH13" s="1" t="e">
        <f>IF(B_Babonneau!A:A,"AAAAAGyf/zs=",0)</f>
        <v>#VALUE!</v>
      </c>
      <c r="BI13" s="1" t="str">
        <f>IF(B_Babonneau!B:B,"AAAAAGyf/zw=",0)</f>
        <v>AAAAAGyf/zw=</v>
      </c>
      <c r="BJ13" s="1" t="str">
        <f>IF(B_Babonneau!C:C,"AAAAAGyf/z0=",0)</f>
        <v>AAAAAGyf/z0=</v>
      </c>
      <c r="BK13" s="1" t="str">
        <f>IF(B_Babonneau!D:D,"AAAAAGyf/z4=",0)</f>
        <v>AAAAAGyf/z4=</v>
      </c>
      <c r="BL13" s="1" t="str">
        <f>IF(B_Babonneau!E:E,"AAAAAGyf/z8=",0)</f>
        <v>AAAAAGyf/z8=</v>
      </c>
      <c r="BM13" s="1" t="str">
        <f>IF(B_Babonneau!F:F,"AAAAAGyf/0A=",0)</f>
        <v>AAAAAGyf/0A=</v>
      </c>
      <c r="BN13" s="1" t="str">
        <f>IF(B_Babonneau!G:G,"AAAAAGyf/0E=",0)</f>
        <v>AAAAAGyf/0E=</v>
      </c>
      <c r="BO13" s="1" t="str">
        <f>IF(B_Babonneau!H:H,"AAAAAGyf/0I=",0)</f>
        <v>AAAAAGyf/0I=</v>
      </c>
      <c r="BP13" s="1" t="str">
        <f>IF(B_Babonneau!I:I,"AAAAAGyf/0M=",0)</f>
        <v>AAAAAGyf/0M=</v>
      </c>
      <c r="BQ13" s="1" t="str">
        <f>IF(B_Babonneau!J:J,"AAAAAGyf/0Q=",0)</f>
        <v>AAAAAGyf/0Q=</v>
      </c>
      <c r="BR13" s="1" t="str">
        <f>IF(B_Babonneau!K:K,"AAAAAGyf/0U=",0)</f>
        <v>AAAAAGyf/0U=</v>
      </c>
      <c r="BS13" s="1" t="str">
        <f>IF(B_Babonneau!L:L,"AAAAAGyf/0Y=",0)</f>
        <v>AAAAAGyf/0Y=</v>
      </c>
      <c r="BT13" s="1">
        <f>IF(C_Castries_North!2:2,"AAAAAGyf/0c=",0)</f>
        <v>0</v>
      </c>
      <c r="BU13" s="1" t="e">
        <f>AND(C_Castries_North!A2,"AAAAAGyf/0g=")</f>
        <v>#VALUE!</v>
      </c>
      <c r="BV13" s="1" t="e">
        <f>AND(C_Castries_North!B2,"AAAAAGyf/0k=")</f>
        <v>#VALUE!</v>
      </c>
      <c r="BW13" s="1" t="e">
        <f>AND(C_Castries_North!C2,"AAAAAGyf/0o=")</f>
        <v>#VALUE!</v>
      </c>
      <c r="BX13" s="1" t="e">
        <f>AND(C_Castries_North!D2,"AAAAAGyf/0s=")</f>
        <v>#VALUE!</v>
      </c>
      <c r="BY13" s="1" t="e">
        <f>AND(C_Castries_North!E2,"AAAAAGyf/0w=")</f>
        <v>#VALUE!</v>
      </c>
      <c r="BZ13" s="1" t="e">
        <f>AND(C_Castries_North!F2,"AAAAAGyf/00=")</f>
        <v>#VALUE!</v>
      </c>
      <c r="CA13" s="1" t="e">
        <f>AND(C_Castries_North!#REF!,"AAAAAGyf/04=")</f>
        <v>#REF!</v>
      </c>
      <c r="CB13" s="1" t="e">
        <f>AND(C_Castries_North!#REF!,"AAAAAGyf/08=")</f>
        <v>#REF!</v>
      </c>
      <c r="CC13" s="1" t="e">
        <f>AND(C_Castries_North!G2,"AAAAAGyf/1A=")</f>
        <v>#VALUE!</v>
      </c>
      <c r="CD13" s="1" t="e">
        <f>AND(C_Castries_North!H2,"AAAAAGyf/1E=")</f>
        <v>#VALUE!</v>
      </c>
      <c r="CE13" s="1" t="e">
        <f>AND(C_Castries_North!I2,"AAAAAGyf/1I=")</f>
        <v>#VALUE!</v>
      </c>
      <c r="CF13" s="1" t="e">
        <f>AND(C_Castries_North!J2,"AAAAAGyf/1M=")</f>
        <v>#VALUE!</v>
      </c>
      <c r="CG13" s="1" t="e">
        <f>AND(C_Castries_North!K2,"AAAAAGyf/1Q=")</f>
        <v>#VALUE!</v>
      </c>
      <c r="CH13" s="1" t="e">
        <f>AND(C_Castries_North!L2,"AAAAAGyf/1U=")</f>
        <v>#VALUE!</v>
      </c>
      <c r="CI13" s="1">
        <f>IF(C_Castries_North!3:3,"AAAAAGyf/1Y=",0)</f>
        <v>0</v>
      </c>
      <c r="CJ13" s="1" t="e">
        <f>AND(C_Castries_North!#REF!,"AAAAAGyf/1c=")</f>
        <v>#REF!</v>
      </c>
      <c r="CK13" s="1" t="e">
        <f>AND(C_Castries_North!A3,"AAAAAGyf/1g=")</f>
        <v>#VALUE!</v>
      </c>
      <c r="CL13" s="1" t="e">
        <f>AND(C_Castries_North!C3,"AAAAAGyf/1k=")</f>
        <v>#VALUE!</v>
      </c>
      <c r="CM13" s="1" t="e">
        <f>AND(C_Castries_North!D3,"AAAAAGyf/1o=")</f>
        <v>#VALUE!</v>
      </c>
      <c r="CN13" s="1" t="e">
        <f>AND(C_Castries_North!E3,"AAAAAGyf/1s=")</f>
        <v>#VALUE!</v>
      </c>
      <c r="CO13" s="1" t="e">
        <f>AND(C_Castries_North!F3,"AAAAAGyf/1w=")</f>
        <v>#VALUE!</v>
      </c>
      <c r="CP13" s="1" t="e">
        <f>AND(C_Castries_North!#REF!,"AAAAAGyf/10=")</f>
        <v>#REF!</v>
      </c>
      <c r="CQ13" s="1" t="e">
        <f>AND(C_Castries_North!#REF!,"AAAAAGyf/14=")</f>
        <v>#REF!</v>
      </c>
      <c r="CR13" s="1" t="e">
        <f>AND(C_Castries_North!G3,"AAAAAGyf/18=")</f>
        <v>#VALUE!</v>
      </c>
      <c r="CS13" s="1" t="e">
        <f>AND(C_Castries_North!H3,"AAAAAGyf/2A=")</f>
        <v>#VALUE!</v>
      </c>
      <c r="CT13" s="1" t="e">
        <f>AND(C_Castries_North!I3,"AAAAAGyf/2E=")</f>
        <v>#VALUE!</v>
      </c>
      <c r="CU13" s="1" t="e">
        <f>AND(C_Castries_North!J3,"AAAAAGyf/2I=")</f>
        <v>#VALUE!</v>
      </c>
      <c r="CV13" s="1" t="e">
        <f>AND(C_Castries_North!K3,"AAAAAGyf/2M=")</f>
        <v>#VALUE!</v>
      </c>
      <c r="CW13" s="1" t="e">
        <f>AND(C_Castries_North!L3,"AAAAAGyf/2Q=")</f>
        <v>#VALUE!</v>
      </c>
      <c r="CX13" s="1">
        <f>IF(C_Castries_North!4:4,"AAAAAGyf/2U=",0)</f>
        <v>0</v>
      </c>
      <c r="CY13" s="1" t="e">
        <f>AND(C_Castries_North!A4,"AAAAAGyf/2Y=")</f>
        <v>#VALUE!</v>
      </c>
      <c r="CZ13" s="1" t="b">
        <f>AND(C_Castries_North!B4,"AAAAAGyf/2c=")</f>
        <v>1</v>
      </c>
      <c r="DA13" s="1" t="b">
        <f>AND(C_Castries_North!C4,"AAAAAGyf/2g=")</f>
        <v>1</v>
      </c>
      <c r="DB13" s="1" t="b">
        <f>AND(C_Castries_North!D4,"AAAAAGyf/2k=")</f>
        <v>1</v>
      </c>
      <c r="DC13" s="1" t="b">
        <f>AND(C_Castries_North!E4,"AAAAAGyf/2o=")</f>
        <v>1</v>
      </c>
      <c r="DD13" s="1" t="b">
        <f>AND(C_Castries_North!F4,"AAAAAGyf/2s=")</f>
        <v>1</v>
      </c>
      <c r="DE13" s="1" t="e">
        <f>AND(C_Castries_North!#REF!,"AAAAAGyf/2w=")</f>
        <v>#REF!</v>
      </c>
      <c r="DF13" s="1" t="e">
        <f>AND(C_Castries_North!#REF!,"AAAAAGyf/20=")</f>
        <v>#REF!</v>
      </c>
      <c r="DG13" s="1" t="b">
        <f>AND(C_Castries_North!G4,"AAAAAGyf/24=")</f>
        <v>1</v>
      </c>
      <c r="DH13" s="1" t="b">
        <f>AND(C_Castries_North!H4,"AAAAAGyf/28=")</f>
        <v>1</v>
      </c>
      <c r="DI13" s="1" t="b">
        <f>AND(C_Castries_North!I4,"AAAAAGyf/3A=")</f>
        <v>1</v>
      </c>
      <c r="DJ13" s="1" t="b">
        <f>AND(C_Castries_North!J4,"AAAAAGyf/3E=")</f>
        <v>1</v>
      </c>
      <c r="DK13" s="1" t="b">
        <f>AND(C_Castries_North!K4,"AAAAAGyf/3I=")</f>
        <v>1</v>
      </c>
      <c r="DL13" s="1" t="b">
        <f>AND(C_Castries_North!L4,"AAAAAGyf/3M=")</f>
        <v>1</v>
      </c>
      <c r="DM13" s="1">
        <f>IF(C_Castries_North!5:5,"AAAAAGyf/3Q=",0)</f>
        <v>0</v>
      </c>
      <c r="DN13" s="1" t="e">
        <f>AND(C_Castries_North!A5,"AAAAAGyf/3U=")</f>
        <v>#VALUE!</v>
      </c>
      <c r="DO13" s="1" t="e">
        <f>AND(C_Castries_North!B5,"AAAAAGyf/3Y=")</f>
        <v>#VALUE!</v>
      </c>
      <c r="DP13" s="1" t="e">
        <f>AND(C_Castries_North!C5,"AAAAAGyf/3c=")</f>
        <v>#VALUE!</v>
      </c>
      <c r="DQ13" s="1" t="e">
        <f>AND(C_Castries_North!D5,"AAAAAGyf/3g=")</f>
        <v>#VALUE!</v>
      </c>
      <c r="DR13" s="1" t="e">
        <f>AND(C_Castries_North!E5,"AAAAAGyf/3k=")</f>
        <v>#VALUE!</v>
      </c>
      <c r="DS13" s="1" t="e">
        <f>AND(C_Castries_North!F5,"AAAAAGyf/3o=")</f>
        <v>#VALUE!</v>
      </c>
      <c r="DT13" s="1" t="e">
        <f>AND(C_Castries_North!#REF!,"AAAAAGyf/3s=")</f>
        <v>#REF!</v>
      </c>
      <c r="DU13" s="1" t="e">
        <f>AND(C_Castries_North!#REF!,"AAAAAGyf/3w=")</f>
        <v>#REF!</v>
      </c>
      <c r="DV13" s="1" t="e">
        <f>AND(C_Castries_North!G5,"AAAAAGyf/30=")</f>
        <v>#VALUE!</v>
      </c>
      <c r="DW13" s="1" t="e">
        <f>AND(C_Castries_North!H5,"AAAAAGyf/34=")</f>
        <v>#VALUE!</v>
      </c>
      <c r="DX13" s="1" t="e">
        <f>AND(C_Castries_North!I5,"AAAAAGyf/38=")</f>
        <v>#VALUE!</v>
      </c>
      <c r="DY13" s="1" t="e">
        <f>AND(C_Castries_North!J5,"AAAAAGyf/4A=")</f>
        <v>#VALUE!</v>
      </c>
      <c r="DZ13" s="1" t="e">
        <f>AND(C_Castries_North!K5,"AAAAAGyf/4E=")</f>
        <v>#VALUE!</v>
      </c>
      <c r="EA13" s="1" t="e">
        <f>AND(C_Castries_North!L5,"AAAAAGyf/4I=")</f>
        <v>#VALUE!</v>
      </c>
      <c r="EB13" s="1">
        <f>IF(C_Castries_North!6:6,"AAAAAGyf/4M=",0)</f>
        <v>0</v>
      </c>
      <c r="EC13" s="1" t="e">
        <f>AND(C_Castries_North!A6,"AAAAAGyf/4Q=")</f>
        <v>#VALUE!</v>
      </c>
      <c r="ED13" s="1" t="b">
        <f>AND(C_Castries_North!B6,"AAAAAGyf/4U=")</f>
        <v>1</v>
      </c>
      <c r="EE13" s="1" t="b">
        <f>AND(C_Castries_North!C6,"AAAAAGyf/4Y=")</f>
        <v>1</v>
      </c>
      <c r="EF13" s="1" t="b">
        <f>AND(C_Castries_North!D6,"AAAAAGyf/4c=")</f>
        <v>1</v>
      </c>
      <c r="EG13" s="1" t="b">
        <f>AND(C_Castries_North!E6,"AAAAAGyf/4g=")</f>
        <v>1</v>
      </c>
      <c r="EH13" s="1" t="b">
        <f>AND(C_Castries_North!F6,"AAAAAGyf/4k=")</f>
        <v>1</v>
      </c>
      <c r="EI13" s="1" t="e">
        <f>AND(C_Castries_North!#REF!,"AAAAAGyf/4o=")</f>
        <v>#REF!</v>
      </c>
      <c r="EJ13" s="1" t="e">
        <f>AND(C_Castries_North!#REF!,"AAAAAGyf/4s=")</f>
        <v>#REF!</v>
      </c>
      <c r="EK13" s="1" t="b">
        <f>AND(C_Castries_North!G6,"AAAAAGyf/4w=")</f>
        <v>1</v>
      </c>
      <c r="EL13" s="1" t="b">
        <f>AND(C_Castries_North!H6,"AAAAAGyf/40=")</f>
        <v>1</v>
      </c>
      <c r="EM13" s="1" t="b">
        <f>AND(C_Castries_North!I6,"AAAAAGyf/44=")</f>
        <v>1</v>
      </c>
      <c r="EN13" s="1" t="b">
        <f>AND(C_Castries_North!J6,"AAAAAGyf/48=")</f>
        <v>1</v>
      </c>
      <c r="EO13" s="1" t="b">
        <f>AND(C_Castries_North!K6,"AAAAAGyf/5A=")</f>
        <v>1</v>
      </c>
      <c r="EP13" s="1" t="b">
        <f>AND(C_Castries_North!L6,"AAAAAGyf/5E=")</f>
        <v>1</v>
      </c>
      <c r="EQ13" s="1">
        <f>IF(C_Castries_North!7:7,"AAAAAGyf/5I=",0)</f>
        <v>0</v>
      </c>
      <c r="ER13" s="1" t="e">
        <f>AND(C_Castries_North!A7,"AAAAAGyf/5M=")</f>
        <v>#VALUE!</v>
      </c>
      <c r="ES13" s="1" t="b">
        <f>AND(C_Castries_North!B7,"AAAAAGyf/5Q=")</f>
        <v>1</v>
      </c>
      <c r="ET13" s="1" t="b">
        <f>AND(C_Castries_North!C7,"AAAAAGyf/5U=")</f>
        <v>1</v>
      </c>
      <c r="EU13" s="1" t="b">
        <f>AND(C_Castries_North!D7,"AAAAAGyf/5Y=")</f>
        <v>1</v>
      </c>
      <c r="EV13" s="1" t="b">
        <f>AND(C_Castries_North!E7,"AAAAAGyf/5c=")</f>
        <v>1</v>
      </c>
      <c r="EW13" s="1" t="b">
        <f>AND(C_Castries_North!F7,"AAAAAGyf/5g=")</f>
        <v>1</v>
      </c>
      <c r="EX13" s="1" t="e">
        <f>AND(C_Castries_North!#REF!,"AAAAAGyf/5k=")</f>
        <v>#REF!</v>
      </c>
      <c r="EY13" s="1" t="e">
        <f>AND(C_Castries_North!#REF!,"AAAAAGyf/5o=")</f>
        <v>#REF!</v>
      </c>
      <c r="EZ13" s="1" t="b">
        <f>AND(C_Castries_North!G7,"AAAAAGyf/5s=")</f>
        <v>0</v>
      </c>
      <c r="FA13" s="1" t="b">
        <f>AND(C_Castries_North!H7,"AAAAAGyf/5w=")</f>
        <v>0</v>
      </c>
      <c r="FB13" s="1" t="b">
        <f>AND(C_Castries_North!I7,"AAAAAGyf/50=")</f>
        <v>1</v>
      </c>
      <c r="FC13" s="1" t="b">
        <f>AND(C_Castries_North!J7,"AAAAAGyf/54=")</f>
        <v>1</v>
      </c>
      <c r="FD13" s="1" t="b">
        <f>AND(C_Castries_North!K7,"AAAAAGyf/58=")</f>
        <v>1</v>
      </c>
      <c r="FE13" s="1" t="b">
        <f>AND(C_Castries_North!L7,"AAAAAGyf/6A=")</f>
        <v>1</v>
      </c>
      <c r="FF13" s="1">
        <f>IF(C_Castries_North!8:8,"AAAAAGyf/6E=",0)</f>
        <v>0</v>
      </c>
      <c r="FG13" s="1" t="e">
        <f>AND(C_Castries_North!A8,"AAAAAGyf/6I=")</f>
        <v>#VALUE!</v>
      </c>
      <c r="FH13" s="1" t="b">
        <f>AND(C_Castries_North!B8,"AAAAAGyf/6M=")</f>
        <v>1</v>
      </c>
      <c r="FI13" s="1" t="b">
        <f>AND(C_Castries_North!C8,"AAAAAGyf/6Q=")</f>
        <v>1</v>
      </c>
      <c r="FJ13" s="1" t="b">
        <f>AND(C_Castries_North!D8,"AAAAAGyf/6U=")</f>
        <v>1</v>
      </c>
      <c r="FK13" s="1" t="b">
        <f>AND(C_Castries_North!E8,"AAAAAGyf/6Y=")</f>
        <v>1</v>
      </c>
      <c r="FL13" s="1" t="b">
        <f>AND(C_Castries_North!F8,"AAAAAGyf/6c=")</f>
        <v>1</v>
      </c>
      <c r="FM13" s="1" t="e">
        <f>AND(C_Castries_North!#REF!,"AAAAAGyf/6g=")</f>
        <v>#REF!</v>
      </c>
      <c r="FN13" s="1" t="e">
        <f>AND(C_Castries_North!#REF!,"AAAAAGyf/6k=")</f>
        <v>#REF!</v>
      </c>
      <c r="FO13" s="1" t="b">
        <f>AND(C_Castries_North!G8,"AAAAAGyf/6o=")</f>
        <v>1</v>
      </c>
      <c r="FP13" s="1" t="b">
        <f>AND(C_Castries_North!H8,"AAAAAGyf/6s=")</f>
        <v>1</v>
      </c>
      <c r="FQ13" s="1" t="b">
        <f>AND(C_Castries_North!I8,"AAAAAGyf/6w=")</f>
        <v>1</v>
      </c>
      <c r="FR13" s="1" t="b">
        <f>AND(C_Castries_North!J8,"AAAAAGyf/60=")</f>
        <v>1</v>
      </c>
      <c r="FS13" s="1" t="b">
        <f>AND(C_Castries_North!K8,"AAAAAGyf/64=")</f>
        <v>1</v>
      </c>
      <c r="FT13" s="1" t="b">
        <f>AND(C_Castries_North!L8,"AAAAAGyf/68=")</f>
        <v>1</v>
      </c>
      <c r="FU13" s="1">
        <f>IF(C_Castries_North!9:9,"AAAAAGyf/7A=",0)</f>
        <v>0</v>
      </c>
      <c r="FV13" s="1" t="e">
        <f>AND(C_Castries_North!A9,"AAAAAGyf/7E=")</f>
        <v>#VALUE!</v>
      </c>
      <c r="FW13" s="1" t="b">
        <f>AND(C_Castries_North!B9,"AAAAAGyf/7I=")</f>
        <v>1</v>
      </c>
      <c r="FX13" s="1" t="b">
        <f>AND(C_Castries_North!C9,"AAAAAGyf/7M=")</f>
        <v>1</v>
      </c>
      <c r="FY13" s="1" t="b">
        <f>AND(C_Castries_North!D9,"AAAAAGyf/7Q=")</f>
        <v>1</v>
      </c>
      <c r="FZ13" s="1" t="b">
        <f>AND(C_Castries_North!E9,"AAAAAGyf/7U=")</f>
        <v>1</v>
      </c>
      <c r="GA13" s="1" t="b">
        <f>AND(C_Castries_North!F9,"AAAAAGyf/7Y=")</f>
        <v>1</v>
      </c>
      <c r="GB13" s="1" t="e">
        <f>AND(C_Castries_North!#REF!,"AAAAAGyf/7c=")</f>
        <v>#REF!</v>
      </c>
      <c r="GC13" s="1" t="e">
        <f>AND(C_Castries_North!#REF!,"AAAAAGyf/7g=")</f>
        <v>#REF!</v>
      </c>
      <c r="GD13" s="1" t="b">
        <f>AND(C_Castries_North!G9,"AAAAAGyf/7k=")</f>
        <v>1</v>
      </c>
      <c r="GE13" s="1" t="b">
        <f>AND(C_Castries_North!H9,"AAAAAGyf/7o=")</f>
        <v>1</v>
      </c>
      <c r="GF13" s="1" t="b">
        <f>AND(C_Castries_North!I9,"AAAAAGyf/7s=")</f>
        <v>1</v>
      </c>
      <c r="GG13" s="1" t="b">
        <f>AND(C_Castries_North!J9,"AAAAAGyf/7w=")</f>
        <v>1</v>
      </c>
      <c r="GH13" s="1" t="b">
        <f>AND(C_Castries_North!K9,"AAAAAGyf/70=")</f>
        <v>1</v>
      </c>
      <c r="GI13" s="1" t="b">
        <f>AND(C_Castries_North!L9,"AAAAAGyf/74=")</f>
        <v>1</v>
      </c>
      <c r="GJ13" s="1">
        <f>IF(C_Castries_North!10:10,"AAAAAGyf/78=",0)</f>
        <v>0</v>
      </c>
      <c r="GK13" s="1" t="e">
        <f>AND(C_Castries_North!A10,"AAAAAGyf/8A=")</f>
        <v>#VALUE!</v>
      </c>
      <c r="GL13" s="1" t="b">
        <f>AND(C_Castries_North!B10,"AAAAAGyf/8E=")</f>
        <v>1</v>
      </c>
      <c r="GM13" s="1" t="b">
        <f>AND(C_Castries_North!C10,"AAAAAGyf/8I=")</f>
        <v>1</v>
      </c>
      <c r="GN13" s="1" t="b">
        <f>AND(C_Castries_North!D10,"AAAAAGyf/8M=")</f>
        <v>1</v>
      </c>
      <c r="GO13" s="1" t="b">
        <f>AND(C_Castries_North!E10,"AAAAAGyf/8Q=")</f>
        <v>1</v>
      </c>
      <c r="GP13" s="1" t="b">
        <f>AND(C_Castries_North!F10,"AAAAAGyf/8U=")</f>
        <v>1</v>
      </c>
      <c r="GQ13" s="1" t="e">
        <f>AND(C_Castries_North!#REF!,"AAAAAGyf/8Y=")</f>
        <v>#REF!</v>
      </c>
      <c r="GR13" s="1" t="e">
        <f>AND(C_Castries_North!#REF!,"AAAAAGyf/8c=")</f>
        <v>#REF!</v>
      </c>
      <c r="GS13" s="1" t="b">
        <f>AND(C_Castries_North!G10,"AAAAAGyf/8g=")</f>
        <v>1</v>
      </c>
      <c r="GT13" s="1" t="b">
        <f>AND(C_Castries_North!H10,"AAAAAGyf/8k=")</f>
        <v>1</v>
      </c>
      <c r="GU13" s="1" t="b">
        <f>AND(C_Castries_North!I10,"AAAAAGyf/8o=")</f>
        <v>1</v>
      </c>
      <c r="GV13" s="1" t="b">
        <f>AND(C_Castries_North!J10,"AAAAAGyf/8s=")</f>
        <v>1</v>
      </c>
      <c r="GW13" s="1" t="b">
        <f>AND(C_Castries_North!K10,"AAAAAGyf/8w=")</f>
        <v>1</v>
      </c>
      <c r="GX13" s="1" t="b">
        <f>AND(C_Castries_North!L10,"AAAAAGyf/80=")</f>
        <v>1</v>
      </c>
      <c r="GY13" s="1">
        <f>IF(C_Castries_North!11:11,"AAAAAGyf/84=",0)</f>
        <v>0</v>
      </c>
      <c r="GZ13" s="1" t="e">
        <f>AND(C_Castries_North!A11,"AAAAAGyf/88=")</f>
        <v>#VALUE!</v>
      </c>
      <c r="HA13" s="1" t="b">
        <f>AND(C_Castries_North!B11,"AAAAAGyf/9A=")</f>
        <v>1</v>
      </c>
      <c r="HB13" s="1" t="b">
        <f>AND(C_Castries_North!C11,"AAAAAGyf/9E=")</f>
        <v>1</v>
      </c>
      <c r="HC13" s="1" t="b">
        <f>AND(C_Castries_North!D11,"AAAAAGyf/9I=")</f>
        <v>1</v>
      </c>
      <c r="HD13" s="1" t="b">
        <f>AND(C_Castries_North!E11,"AAAAAGyf/9M=")</f>
        <v>1</v>
      </c>
      <c r="HE13" s="1" t="b">
        <f>AND(C_Castries_North!F11,"AAAAAGyf/9Q=")</f>
        <v>1</v>
      </c>
      <c r="HF13" s="1" t="e">
        <f>AND(C_Castries_North!#REF!,"AAAAAGyf/9U=")</f>
        <v>#REF!</v>
      </c>
      <c r="HG13" s="1" t="e">
        <f>AND(C_Castries_North!#REF!,"AAAAAGyf/9Y=")</f>
        <v>#REF!</v>
      </c>
      <c r="HH13" s="1" t="b">
        <f>AND(C_Castries_North!G11,"AAAAAGyf/9c=")</f>
        <v>0</v>
      </c>
      <c r="HI13" s="1" t="b">
        <f>AND(C_Castries_North!H11,"AAAAAGyf/9g=")</f>
        <v>0</v>
      </c>
      <c r="HJ13" s="1" t="b">
        <f>AND(C_Castries_North!I11,"AAAAAGyf/9k=")</f>
        <v>1</v>
      </c>
      <c r="HK13" s="1" t="b">
        <f>AND(C_Castries_North!J11,"AAAAAGyf/9o=")</f>
        <v>1</v>
      </c>
      <c r="HL13" s="1" t="b">
        <f>AND(C_Castries_North!K11,"AAAAAGyf/9s=")</f>
        <v>1</v>
      </c>
      <c r="HM13" s="1" t="b">
        <f>AND(C_Castries_North!L11,"AAAAAGyf/9w=")</f>
        <v>1</v>
      </c>
      <c r="HN13" s="1" t="e">
        <f>IF(C_Castries_North!#REF!,"AAAAAGyf/90=",0)</f>
        <v>#REF!</v>
      </c>
      <c r="HO13" s="1" t="e">
        <f>AND(C_Castries_North!#REF!,"AAAAAGyf/94=")</f>
        <v>#REF!</v>
      </c>
      <c r="HP13" s="1" t="e">
        <f>AND(C_Castries_North!#REF!,"AAAAAGyf/98=")</f>
        <v>#REF!</v>
      </c>
      <c r="HQ13" s="1" t="e">
        <f>AND(C_Castries_North!#REF!,"AAAAAGyf/+A=")</f>
        <v>#REF!</v>
      </c>
      <c r="HR13" s="1" t="e">
        <f>AND(C_Castries_North!#REF!,"AAAAAGyf/+E=")</f>
        <v>#REF!</v>
      </c>
      <c r="HS13" s="1" t="e">
        <f>AND(C_Castries_North!#REF!,"AAAAAGyf/+I=")</f>
        <v>#REF!</v>
      </c>
      <c r="HT13" s="1" t="e">
        <f>AND(C_Castries_North!#REF!,"AAAAAGyf/+M=")</f>
        <v>#REF!</v>
      </c>
      <c r="HU13" s="1" t="e">
        <f>AND(C_Castries_North!#REF!,"AAAAAGyf/+Q=")</f>
        <v>#REF!</v>
      </c>
      <c r="HV13" s="1" t="e">
        <f>AND(C_Castries_North!#REF!,"AAAAAGyf/+U=")</f>
        <v>#REF!</v>
      </c>
      <c r="HW13" s="1" t="e">
        <f>AND(C_Castries_North!#REF!,"AAAAAGyf/+Y=")</f>
        <v>#REF!</v>
      </c>
      <c r="HX13" s="1" t="e">
        <f>AND(C_Castries_North!#REF!,"AAAAAGyf/+c=")</f>
        <v>#REF!</v>
      </c>
      <c r="HY13" s="1" t="e">
        <f>AND(C_Castries_North!#REF!,"AAAAAGyf/+g=")</f>
        <v>#REF!</v>
      </c>
      <c r="HZ13" s="1" t="e">
        <f>AND(C_Castries_North!#REF!,"AAAAAGyf/+k=")</f>
        <v>#REF!</v>
      </c>
      <c r="IA13" s="1" t="e">
        <f>AND(C_Castries_North!#REF!,"AAAAAGyf/+o=")</f>
        <v>#REF!</v>
      </c>
      <c r="IB13" s="1" t="e">
        <f>AND(C_Castries_North!#REF!,"AAAAAGyf/+s=")</f>
        <v>#REF!</v>
      </c>
      <c r="IC13" s="1">
        <f>IF(C_Castries_North!12:12,"AAAAAGyf/+w=",0)</f>
        <v>0</v>
      </c>
      <c r="ID13" s="1" t="e">
        <f>AND(C_Castries_North!A12,"AAAAAGyf/+0=")</f>
        <v>#VALUE!</v>
      </c>
      <c r="IE13" s="1" t="b">
        <f>AND(C_Castries_North!B12,"AAAAAGyf/+4=")</f>
        <v>1</v>
      </c>
      <c r="IF13" s="1" t="b">
        <f>AND(C_Castries_North!C12,"AAAAAGyf/+8=")</f>
        <v>1</v>
      </c>
      <c r="IG13" s="1" t="b">
        <f>AND(C_Castries_North!D12,"AAAAAGyf//A=")</f>
        <v>1</v>
      </c>
      <c r="IH13" s="1" t="b">
        <f>AND(C_Castries_North!E12,"AAAAAGyf//E=")</f>
        <v>1</v>
      </c>
      <c r="II13" s="1" t="b">
        <f>AND(C_Castries_North!F12,"AAAAAGyf//I=")</f>
        <v>1</v>
      </c>
      <c r="IJ13" s="1" t="e">
        <f>AND(C_Castries_North!#REF!,"AAAAAGyf//M=")</f>
        <v>#REF!</v>
      </c>
      <c r="IK13" s="1" t="e">
        <f>AND(C_Castries_North!#REF!,"AAAAAGyf//Q=")</f>
        <v>#REF!</v>
      </c>
      <c r="IL13" s="1" t="b">
        <f>AND(C_Castries_North!G12,"AAAAAGyf//U=")</f>
        <v>1</v>
      </c>
      <c r="IM13" s="1" t="b">
        <f>AND(C_Castries_North!H12,"AAAAAGyf//Y=")</f>
        <v>1</v>
      </c>
      <c r="IN13" s="1" t="b">
        <f>AND(C_Castries_North!I12,"AAAAAGyf//c=")</f>
        <v>1</v>
      </c>
      <c r="IO13" s="1" t="b">
        <f>AND(C_Castries_North!J12,"AAAAAGyf//g=")</f>
        <v>1</v>
      </c>
      <c r="IP13" s="1" t="b">
        <f>AND(C_Castries_North!K12,"AAAAAGyf//k=")</f>
        <v>1</v>
      </c>
      <c r="IQ13" s="1" t="b">
        <f>AND(C_Castries_North!L12,"AAAAAGyf//o=")</f>
        <v>1</v>
      </c>
      <c r="IR13" s="1">
        <f>IF(C_Castries_North!14:14,"AAAAAGyf//s=",0)</f>
        <v>0</v>
      </c>
      <c r="IS13" s="1" t="e">
        <f>AND(C_Castries_North!A14,"AAAAAGyf//w=")</f>
        <v>#VALUE!</v>
      </c>
      <c r="IT13" s="1" t="e">
        <f>AND(C_Castries_North!B14,"AAAAAGyf//0=")</f>
        <v>#VALUE!</v>
      </c>
      <c r="IU13" s="1" t="e">
        <f>AND(C_Castries_North!C14,"AAAAAGyf//4=")</f>
        <v>#VALUE!</v>
      </c>
      <c r="IV13" s="1" t="e">
        <f>AND(C_Castries_North!D14,"AAAAAGyf//8=")</f>
        <v>#VALUE!</v>
      </c>
    </row>
    <row r="14" spans="1:256" ht="12" customHeight="1" x14ac:dyDescent="0.2">
      <c r="A14" s="1" t="e">
        <f>AND(C_Castries_North!E14,"AAAAAGT9ewA=")</f>
        <v>#VALUE!</v>
      </c>
      <c r="B14" s="1" t="e">
        <f>AND(C_Castries_North!F14,"AAAAAGT9ewE=")</f>
        <v>#VALUE!</v>
      </c>
      <c r="C14" s="1" t="e">
        <f>AND(C_Castries_North!#REF!,"AAAAAGT9ewI=")</f>
        <v>#REF!</v>
      </c>
      <c r="D14" s="1" t="e">
        <f>AND(C_Castries_North!#REF!,"AAAAAGT9ewM=")</f>
        <v>#REF!</v>
      </c>
      <c r="E14" s="1" t="e">
        <f>AND(C_Castries_North!G14,"AAAAAGT9ewQ=")</f>
        <v>#VALUE!</v>
      </c>
      <c r="F14" s="1" t="e">
        <f>AND(C_Castries_North!H14,"AAAAAGT9ewU=")</f>
        <v>#VALUE!</v>
      </c>
      <c r="G14" s="1" t="e">
        <f>AND(C_Castries_North!I14,"AAAAAGT9ewY=")</f>
        <v>#VALUE!</v>
      </c>
      <c r="H14" s="1" t="e">
        <f>AND(C_Castries_North!J14,"AAAAAGT9ewc=")</f>
        <v>#VALUE!</v>
      </c>
      <c r="I14" s="1" t="e">
        <f>AND(C_Castries_North!K14,"AAAAAGT9ewg=")</f>
        <v>#VALUE!</v>
      </c>
      <c r="J14" s="1" t="e">
        <f>AND(C_Castries_North!L14,"AAAAAGT9ewk=")</f>
        <v>#VALUE!</v>
      </c>
      <c r="K14" s="1" t="str">
        <f>IF(C_Castries_North!15:15,"AAAAAGT9ewo=",0)</f>
        <v>AAAAAGT9ewo=</v>
      </c>
      <c r="L14" s="1" t="e">
        <f>AND(C_Castries_North!A15,"AAAAAGT9ews=")</f>
        <v>#VALUE!</v>
      </c>
      <c r="M14" s="1" t="b">
        <f>AND(C_Castries_North!B15,"AAAAAGT9eww=")</f>
        <v>1</v>
      </c>
      <c r="N14" s="1" t="b">
        <f>AND(C_Castries_North!C15,"AAAAAGT9ew0=")</f>
        <v>1</v>
      </c>
      <c r="O14" s="1" t="b">
        <f>AND(C_Castries_North!D15,"AAAAAGT9ew4=")</f>
        <v>1</v>
      </c>
      <c r="P14" s="1" t="b">
        <f>AND(C_Castries_North!E15,"AAAAAGT9ew8=")</f>
        <v>1</v>
      </c>
      <c r="Q14" s="1" t="b">
        <f>AND(C_Castries_North!F15,"AAAAAGT9exA=")</f>
        <v>1</v>
      </c>
      <c r="R14" s="1" t="e">
        <f>AND(C_Castries_North!#REF!,"AAAAAGT9exE=")</f>
        <v>#REF!</v>
      </c>
      <c r="S14" s="1" t="e">
        <f>AND(C_Castries_North!#REF!,"AAAAAGT9exI=")</f>
        <v>#REF!</v>
      </c>
      <c r="T14" s="1" t="b">
        <f>AND(C_Castries_North!G15,"AAAAAGT9exM=")</f>
        <v>1</v>
      </c>
      <c r="U14" s="1" t="b">
        <f>AND(C_Castries_North!H15,"AAAAAGT9exQ=")</f>
        <v>1</v>
      </c>
      <c r="V14" s="1" t="b">
        <f>AND(C_Castries_North!I15,"AAAAAGT9exU=")</f>
        <v>1</v>
      </c>
      <c r="W14" s="1" t="b">
        <f>AND(C_Castries_North!J15,"AAAAAGT9exY=")</f>
        <v>1</v>
      </c>
      <c r="X14" s="1" t="b">
        <f>AND(C_Castries_North!K15,"AAAAAGT9exc=")</f>
        <v>1</v>
      </c>
      <c r="Y14" s="1" t="b">
        <f>AND(C_Castries_North!L15,"AAAAAGT9exg=")</f>
        <v>1</v>
      </c>
      <c r="Z14" s="1">
        <f>IF(C_Castries_North!16:16,"AAAAAGT9exk=",0)</f>
        <v>0</v>
      </c>
      <c r="AA14" s="1" t="e">
        <f>AND(C_Castries_North!A16,"AAAAAGT9exo=")</f>
        <v>#VALUE!</v>
      </c>
      <c r="AB14" s="1" t="b">
        <f>AND(C_Castries_North!B16,"AAAAAGT9exs=")</f>
        <v>1</v>
      </c>
      <c r="AC14" s="1" t="b">
        <f>AND(C_Castries_North!C16,"AAAAAGT9exw=")</f>
        <v>1</v>
      </c>
      <c r="AD14" s="1" t="b">
        <f>AND(C_Castries_North!D16,"AAAAAGT9ex0=")</f>
        <v>1</v>
      </c>
      <c r="AE14" s="1" t="b">
        <f>AND(C_Castries_North!E16,"AAAAAGT9ex4=")</f>
        <v>1</v>
      </c>
      <c r="AF14" s="1" t="b">
        <f>AND(C_Castries_North!F16,"AAAAAGT9ex8=")</f>
        <v>1</v>
      </c>
      <c r="AG14" s="1" t="e">
        <f>AND(C_Castries_North!#REF!,"AAAAAGT9eyA=")</f>
        <v>#REF!</v>
      </c>
      <c r="AH14" s="1" t="e">
        <f>AND(C_Castries_North!#REF!,"AAAAAGT9eyE=")</f>
        <v>#REF!</v>
      </c>
      <c r="AI14" s="1" t="b">
        <f>AND(C_Castries_North!G16,"AAAAAGT9eyI=")</f>
        <v>1</v>
      </c>
      <c r="AJ14" s="1" t="b">
        <f>AND(C_Castries_North!H16,"AAAAAGT9eyM=")</f>
        <v>1</v>
      </c>
      <c r="AK14" s="1" t="b">
        <f>AND(C_Castries_North!I16,"AAAAAGT9eyQ=")</f>
        <v>1</v>
      </c>
      <c r="AL14" s="1" t="b">
        <f>AND(C_Castries_North!J16,"AAAAAGT9eyU=")</f>
        <v>1</v>
      </c>
      <c r="AM14" s="1" t="b">
        <f>AND(C_Castries_North!K16,"AAAAAGT9eyY=")</f>
        <v>1</v>
      </c>
      <c r="AN14" s="1" t="b">
        <f>AND(C_Castries_North!L16,"AAAAAGT9eyc=")</f>
        <v>1</v>
      </c>
      <c r="AO14" s="1">
        <f>IF(C_Castries_North!17:17,"AAAAAGT9eyg=",0)</f>
        <v>0</v>
      </c>
      <c r="AP14" s="1" t="e">
        <f>AND(C_Castries_North!A17,"AAAAAGT9eyk=")</f>
        <v>#VALUE!</v>
      </c>
      <c r="AQ14" s="1" t="b">
        <f>AND(C_Castries_North!B17,"AAAAAGT9eyo=")</f>
        <v>1</v>
      </c>
      <c r="AR14" s="1" t="b">
        <f>AND(C_Castries_North!C17,"AAAAAGT9eys=")</f>
        <v>1</v>
      </c>
      <c r="AS14" s="1" t="b">
        <f>AND(C_Castries_North!D17,"AAAAAGT9eyw=")</f>
        <v>1</v>
      </c>
      <c r="AT14" s="1" t="b">
        <f>AND(C_Castries_North!E17,"AAAAAGT9ey0=")</f>
        <v>1</v>
      </c>
      <c r="AU14" s="1" t="b">
        <f>AND(C_Castries_North!F17,"AAAAAGT9ey4=")</f>
        <v>1</v>
      </c>
      <c r="AV14" s="1" t="e">
        <f>AND(C_Castries_North!#REF!,"AAAAAGT9ey8=")</f>
        <v>#REF!</v>
      </c>
      <c r="AW14" s="1" t="e">
        <f>AND(C_Castries_North!#REF!,"AAAAAGT9ezA=")</f>
        <v>#REF!</v>
      </c>
      <c r="AX14" s="1" t="b">
        <f>AND(C_Castries_North!G17,"AAAAAGT9ezE=")</f>
        <v>1</v>
      </c>
      <c r="AY14" s="1" t="b">
        <f>AND(C_Castries_North!H17,"AAAAAGT9ezI=")</f>
        <v>1</v>
      </c>
      <c r="AZ14" s="1" t="b">
        <f>AND(C_Castries_North!I17,"AAAAAGT9ezM=")</f>
        <v>1</v>
      </c>
      <c r="BA14" s="1" t="b">
        <f>AND(C_Castries_North!J17,"AAAAAGT9ezQ=")</f>
        <v>1</v>
      </c>
      <c r="BB14" s="1" t="b">
        <f>AND(C_Castries_North!K17,"AAAAAGT9ezU=")</f>
        <v>1</v>
      </c>
      <c r="BC14" s="1" t="b">
        <f>AND(C_Castries_North!L17,"AAAAAGT9ezY=")</f>
        <v>1</v>
      </c>
      <c r="BD14" s="1">
        <f>IF(C_Castries_North!18:18,"AAAAAGT9ezc=",0)</f>
        <v>0</v>
      </c>
      <c r="BE14" s="1" t="e">
        <f>AND(C_Castries_North!A18,"AAAAAGT9ezg=")</f>
        <v>#VALUE!</v>
      </c>
      <c r="BF14" s="1" t="b">
        <f>AND(C_Castries_North!B18,"AAAAAGT9ezk=")</f>
        <v>1</v>
      </c>
      <c r="BG14" s="1" t="b">
        <f>AND(C_Castries_North!C18,"AAAAAGT9ezo=")</f>
        <v>1</v>
      </c>
      <c r="BH14" s="1" t="b">
        <f>AND(C_Castries_North!D18,"AAAAAGT9ezs=")</f>
        <v>1</v>
      </c>
      <c r="BI14" s="1" t="b">
        <f>AND(C_Castries_North!E18,"AAAAAGT9ezw=")</f>
        <v>1</v>
      </c>
      <c r="BJ14" s="1" t="b">
        <f>AND(C_Castries_North!F18,"AAAAAGT9ez0=")</f>
        <v>1</v>
      </c>
      <c r="BK14" s="1" t="e">
        <f>AND(C_Castries_North!#REF!,"AAAAAGT9ez4=")</f>
        <v>#REF!</v>
      </c>
      <c r="BL14" s="1" t="e">
        <f>AND(C_Castries_North!#REF!,"AAAAAGT9ez8=")</f>
        <v>#REF!</v>
      </c>
      <c r="BM14" s="1" t="b">
        <f>AND(C_Castries_North!G18,"AAAAAGT9e0A=")</f>
        <v>1</v>
      </c>
      <c r="BN14" s="1" t="b">
        <f>AND(C_Castries_North!H18,"AAAAAGT9e0E=")</f>
        <v>1</v>
      </c>
      <c r="BO14" s="1" t="b">
        <f>AND(C_Castries_North!I18,"AAAAAGT9e0I=")</f>
        <v>1</v>
      </c>
      <c r="BP14" s="1" t="b">
        <f>AND(C_Castries_North!J18,"AAAAAGT9e0M=")</f>
        <v>1</v>
      </c>
      <c r="BQ14" s="1" t="b">
        <f>AND(C_Castries_North!K18,"AAAAAGT9e0Q=")</f>
        <v>1</v>
      </c>
      <c r="BR14" s="1" t="b">
        <f>AND(C_Castries_North!L18,"AAAAAGT9e0U=")</f>
        <v>1</v>
      </c>
      <c r="BS14" s="1">
        <f>IF(C_Castries_North!19:19,"AAAAAGT9e0Y=",0)</f>
        <v>0</v>
      </c>
      <c r="BT14" s="1" t="e">
        <f>AND(C_Castries_North!A19,"AAAAAGT9e0c=")</f>
        <v>#VALUE!</v>
      </c>
      <c r="BU14" s="1" t="b">
        <f>AND(C_Castries_North!B19,"AAAAAGT9e0g=")</f>
        <v>1</v>
      </c>
      <c r="BV14" s="1" t="b">
        <f>AND(C_Castries_North!C19,"AAAAAGT9e0k=")</f>
        <v>1</v>
      </c>
      <c r="BW14" s="1" t="b">
        <f>AND(C_Castries_North!D19,"AAAAAGT9e0o=")</f>
        <v>1</v>
      </c>
      <c r="BX14" s="1" t="b">
        <f>AND(C_Castries_North!E19,"AAAAAGT9e0s=")</f>
        <v>1</v>
      </c>
      <c r="BY14" s="1" t="b">
        <f>AND(C_Castries_North!F19,"AAAAAGT9e0w=")</f>
        <v>1</v>
      </c>
      <c r="BZ14" s="1" t="e">
        <f>AND(C_Castries_North!#REF!,"AAAAAGT9e00=")</f>
        <v>#REF!</v>
      </c>
      <c r="CA14" s="1" t="e">
        <f>AND(C_Castries_North!#REF!,"AAAAAGT9e04=")</f>
        <v>#REF!</v>
      </c>
      <c r="CB14" s="1" t="b">
        <f>AND(C_Castries_North!G19,"AAAAAGT9e08=")</f>
        <v>1</v>
      </c>
      <c r="CC14" s="1" t="b">
        <f>AND(C_Castries_North!H19,"AAAAAGT9e1A=")</f>
        <v>1</v>
      </c>
      <c r="CD14" s="1" t="b">
        <f>AND(C_Castries_North!I19,"AAAAAGT9e1E=")</f>
        <v>1</v>
      </c>
      <c r="CE14" s="1" t="b">
        <f>AND(C_Castries_North!J19,"AAAAAGT9e1I=")</f>
        <v>1</v>
      </c>
      <c r="CF14" s="1" t="b">
        <f>AND(C_Castries_North!K19,"AAAAAGT9e1M=")</f>
        <v>1</v>
      </c>
      <c r="CG14" s="1" t="b">
        <f>AND(C_Castries_North!L19,"AAAAAGT9e1Q=")</f>
        <v>1</v>
      </c>
      <c r="CH14" s="1">
        <f>IF(C_Castries_North!20:20,"AAAAAGT9e1U=",0)</f>
        <v>0</v>
      </c>
      <c r="CI14" s="1" t="e">
        <f>AND(C_Castries_North!A20,"AAAAAGT9e1Y=")</f>
        <v>#VALUE!</v>
      </c>
      <c r="CJ14" s="1" t="b">
        <f>AND(C_Castries_North!B20,"AAAAAGT9e1c=")</f>
        <v>1</v>
      </c>
      <c r="CK14" s="1" t="b">
        <f>AND(C_Castries_North!C20,"AAAAAGT9e1g=")</f>
        <v>1</v>
      </c>
      <c r="CL14" s="1" t="b">
        <f>AND(C_Castries_North!D20,"AAAAAGT9e1k=")</f>
        <v>1</v>
      </c>
      <c r="CM14" s="1" t="b">
        <f>AND(C_Castries_North!E20,"AAAAAGT9e1o=")</f>
        <v>1</v>
      </c>
      <c r="CN14" s="1" t="b">
        <f>AND(C_Castries_North!F20,"AAAAAGT9e1s=")</f>
        <v>1</v>
      </c>
      <c r="CO14" s="1" t="e">
        <f>AND(C_Castries_North!#REF!,"AAAAAGT9e1w=")</f>
        <v>#REF!</v>
      </c>
      <c r="CP14" s="1" t="e">
        <f>AND(C_Castries_North!#REF!,"AAAAAGT9e10=")</f>
        <v>#REF!</v>
      </c>
      <c r="CQ14" s="1" t="b">
        <f>AND(C_Castries_North!G20,"AAAAAGT9e14=")</f>
        <v>1</v>
      </c>
      <c r="CR14" s="1" t="b">
        <f>AND(C_Castries_North!H20,"AAAAAGT9e18=")</f>
        <v>1</v>
      </c>
      <c r="CS14" s="1" t="b">
        <f>AND(C_Castries_North!I20,"AAAAAGT9e2A=")</f>
        <v>1</v>
      </c>
      <c r="CT14" s="1" t="b">
        <f>AND(C_Castries_North!J20,"AAAAAGT9e2E=")</f>
        <v>1</v>
      </c>
      <c r="CU14" s="1" t="b">
        <f>AND(C_Castries_North!K20,"AAAAAGT9e2I=")</f>
        <v>1</v>
      </c>
      <c r="CV14" s="1" t="b">
        <f>AND(C_Castries_North!L20,"AAAAAGT9e2M=")</f>
        <v>1</v>
      </c>
      <c r="CW14" s="1">
        <f>IF(C_Castries_North!21:21,"AAAAAGT9e2Q=",0)</f>
        <v>0</v>
      </c>
      <c r="CX14" s="1" t="e">
        <f>AND(C_Castries_North!A21,"AAAAAGT9e2U=")</f>
        <v>#VALUE!</v>
      </c>
      <c r="CY14" s="1" t="b">
        <f>AND(C_Castries_North!B21,"AAAAAGT9e2Y=")</f>
        <v>1</v>
      </c>
      <c r="CZ14" s="1" t="b">
        <f>AND(C_Castries_North!C21,"AAAAAGT9e2c=")</f>
        <v>1</v>
      </c>
      <c r="DA14" s="1" t="b">
        <f>AND(C_Castries_North!D21,"AAAAAGT9e2g=")</f>
        <v>1</v>
      </c>
      <c r="DB14" s="1" t="b">
        <f>AND(C_Castries_North!E21,"AAAAAGT9e2k=")</f>
        <v>1</v>
      </c>
      <c r="DC14" s="1" t="b">
        <f>AND(C_Castries_North!F21,"AAAAAGT9e2o=")</f>
        <v>1</v>
      </c>
      <c r="DD14" s="1" t="e">
        <f>AND(C_Castries_North!#REF!,"AAAAAGT9e2s=")</f>
        <v>#REF!</v>
      </c>
      <c r="DE14" s="1" t="e">
        <f>AND(C_Castries_North!#REF!,"AAAAAGT9e2w=")</f>
        <v>#REF!</v>
      </c>
      <c r="DF14" s="1" t="b">
        <f>AND(C_Castries_North!G21,"AAAAAGT9e20=")</f>
        <v>0</v>
      </c>
      <c r="DG14" s="1" t="b">
        <f>AND(C_Castries_North!H21,"AAAAAGT9e24=")</f>
        <v>0</v>
      </c>
      <c r="DH14" s="1" t="b">
        <f>AND(C_Castries_North!I21,"AAAAAGT9e28=")</f>
        <v>1</v>
      </c>
      <c r="DI14" s="1" t="b">
        <f>AND(C_Castries_North!J21,"AAAAAGT9e3A=")</f>
        <v>1</v>
      </c>
      <c r="DJ14" s="1" t="b">
        <f>AND(C_Castries_North!K21,"AAAAAGT9e3E=")</f>
        <v>1</v>
      </c>
      <c r="DK14" s="1" t="b">
        <f>AND(C_Castries_North!L21,"AAAAAGT9e3I=")</f>
        <v>1</v>
      </c>
      <c r="DL14" s="1">
        <f>IF(C_Castries_North!22:22,"AAAAAGT9e3M=",0)</f>
        <v>0</v>
      </c>
      <c r="DM14" s="1" t="e">
        <f>AND(C_Castries_North!A22,"AAAAAGT9e3Q=")</f>
        <v>#VALUE!</v>
      </c>
      <c r="DN14" s="1" t="b">
        <f>AND(C_Castries_North!B22,"AAAAAGT9e3U=")</f>
        <v>1</v>
      </c>
      <c r="DO14" s="1" t="b">
        <f>AND(C_Castries_North!C22,"AAAAAGT9e3Y=")</f>
        <v>1</v>
      </c>
      <c r="DP14" s="1" t="b">
        <f>AND(C_Castries_North!D22,"AAAAAGT9e3c=")</f>
        <v>1</v>
      </c>
      <c r="DQ14" s="1" t="b">
        <f>AND(C_Castries_North!E22,"AAAAAGT9e3g=")</f>
        <v>1</v>
      </c>
      <c r="DR14" s="1" t="b">
        <f>AND(C_Castries_North!F22,"AAAAAGT9e3k=")</f>
        <v>1</v>
      </c>
      <c r="DS14" s="1" t="e">
        <f>AND(C_Castries_North!#REF!,"AAAAAGT9e3o=")</f>
        <v>#REF!</v>
      </c>
      <c r="DT14" s="1" t="e">
        <f>AND(C_Castries_North!#REF!,"AAAAAGT9e3s=")</f>
        <v>#REF!</v>
      </c>
      <c r="DU14" s="1" t="b">
        <f>AND(C_Castries_North!G22,"AAAAAGT9e3w=")</f>
        <v>1</v>
      </c>
      <c r="DV14" s="1" t="b">
        <f>AND(C_Castries_North!H22,"AAAAAGT9e30=")</f>
        <v>1</v>
      </c>
      <c r="DW14" s="1" t="b">
        <f>AND(C_Castries_North!I22,"AAAAAGT9e34=")</f>
        <v>1</v>
      </c>
      <c r="DX14" s="1" t="b">
        <f>AND(C_Castries_North!J22,"AAAAAGT9e38=")</f>
        <v>1</v>
      </c>
      <c r="DY14" s="1" t="b">
        <f>AND(C_Castries_North!K22,"AAAAAGT9e4A=")</f>
        <v>1</v>
      </c>
      <c r="DZ14" s="1" t="b">
        <f>AND(C_Castries_North!L22,"AAAAAGT9e4E=")</f>
        <v>1</v>
      </c>
      <c r="EA14" s="1" t="e">
        <f>IF(C_Castries_North!#REF!,"AAAAAGT9e4I=",0)</f>
        <v>#REF!</v>
      </c>
      <c r="EB14" s="1" t="e">
        <f>AND(C_Castries_North!#REF!,"AAAAAGT9e4M=")</f>
        <v>#REF!</v>
      </c>
      <c r="EC14" s="1" t="e">
        <f>AND(C_Castries_North!#REF!,"AAAAAGT9e4Q=")</f>
        <v>#REF!</v>
      </c>
      <c r="ED14" s="1" t="e">
        <f>AND(C_Castries_North!#REF!,"AAAAAGT9e4U=")</f>
        <v>#REF!</v>
      </c>
      <c r="EE14" s="1" t="e">
        <f>AND(C_Castries_North!#REF!,"AAAAAGT9e4Y=")</f>
        <v>#REF!</v>
      </c>
      <c r="EF14" s="1" t="e">
        <f>AND(C_Castries_North!#REF!,"AAAAAGT9e4c=")</f>
        <v>#REF!</v>
      </c>
      <c r="EG14" s="1" t="e">
        <f>AND(C_Castries_North!#REF!,"AAAAAGT9e4g=")</f>
        <v>#REF!</v>
      </c>
      <c r="EH14" s="1" t="e">
        <f>AND(C_Castries_North!#REF!,"AAAAAGT9e4k=")</f>
        <v>#REF!</v>
      </c>
      <c r="EI14" s="1" t="e">
        <f>AND(C_Castries_North!#REF!,"AAAAAGT9e4o=")</f>
        <v>#REF!</v>
      </c>
      <c r="EJ14" s="1" t="e">
        <f>AND(C_Castries_North!#REF!,"AAAAAGT9e4s=")</f>
        <v>#REF!</v>
      </c>
      <c r="EK14" s="1" t="e">
        <f>AND(C_Castries_North!#REF!,"AAAAAGT9e4w=")</f>
        <v>#REF!</v>
      </c>
      <c r="EL14" s="1" t="e">
        <f>AND(C_Castries_North!#REF!,"AAAAAGT9e40=")</f>
        <v>#REF!</v>
      </c>
      <c r="EM14" s="1" t="e">
        <f>AND(C_Castries_North!#REF!,"AAAAAGT9e44=")</f>
        <v>#REF!</v>
      </c>
      <c r="EN14" s="1" t="e">
        <f>AND(C_Castries_North!#REF!,"AAAAAGT9e48=")</f>
        <v>#REF!</v>
      </c>
      <c r="EO14" s="1" t="e">
        <f>AND(C_Castries_North!#REF!,"AAAAAGT9e5A=")</f>
        <v>#REF!</v>
      </c>
      <c r="EP14" s="1">
        <f>IF(C_Castries_North!23:23,"AAAAAGT9e5E=",0)</f>
        <v>0</v>
      </c>
      <c r="EQ14" s="1" t="e">
        <f>AND(C_Castries_North!A23,"AAAAAGT9e5I=")</f>
        <v>#VALUE!</v>
      </c>
      <c r="ER14" s="1" t="b">
        <f>AND(C_Castries_North!B23,"AAAAAGT9e5M=")</f>
        <v>1</v>
      </c>
      <c r="ES14" s="1" t="b">
        <f>AND(C_Castries_North!C23,"AAAAAGT9e5Q=")</f>
        <v>1</v>
      </c>
      <c r="ET14" s="1" t="b">
        <f>AND(C_Castries_North!D23,"AAAAAGT9e5U=")</f>
        <v>1</v>
      </c>
      <c r="EU14" s="1" t="b">
        <f>AND(C_Castries_North!E23,"AAAAAGT9e5Y=")</f>
        <v>1</v>
      </c>
      <c r="EV14" s="1" t="b">
        <f>AND(C_Castries_North!F23,"AAAAAGT9e5c=")</f>
        <v>1</v>
      </c>
      <c r="EW14" s="1" t="e">
        <f>AND(C_Castries_North!#REF!,"AAAAAGT9e5g=")</f>
        <v>#REF!</v>
      </c>
      <c r="EX14" s="1" t="e">
        <f>AND(C_Castries_North!#REF!,"AAAAAGT9e5k=")</f>
        <v>#REF!</v>
      </c>
      <c r="EY14" s="1" t="b">
        <f>AND(C_Castries_North!G23,"AAAAAGT9e5o=")</f>
        <v>1</v>
      </c>
      <c r="EZ14" s="1" t="b">
        <f>AND(C_Castries_North!H23,"AAAAAGT9e5s=")</f>
        <v>1</v>
      </c>
      <c r="FA14" s="1" t="b">
        <f>AND(C_Castries_North!I23,"AAAAAGT9e5w=")</f>
        <v>1</v>
      </c>
      <c r="FB14" s="1" t="b">
        <f>AND(C_Castries_North!J23,"AAAAAGT9e50=")</f>
        <v>1</v>
      </c>
      <c r="FC14" s="1" t="b">
        <f>AND(C_Castries_North!K23,"AAAAAGT9e54=")</f>
        <v>1</v>
      </c>
      <c r="FD14" s="1" t="b">
        <f>AND(C_Castries_North!L23,"AAAAAGT9e58=")</f>
        <v>1</v>
      </c>
      <c r="FE14" s="1">
        <f>IF(C_Castries_North!25:25,"AAAAAGT9e6A=",0)</f>
        <v>0</v>
      </c>
      <c r="FF14" s="1" t="e">
        <f>AND(C_Castries_North!A25,"AAAAAGT9e6E=")</f>
        <v>#VALUE!</v>
      </c>
      <c r="FG14" s="1" t="e">
        <f>AND(C_Castries_North!B25,"AAAAAGT9e6I=")</f>
        <v>#VALUE!</v>
      </c>
      <c r="FH14" s="1" t="e">
        <f>AND(C_Castries_North!C25,"AAAAAGT9e6M=")</f>
        <v>#VALUE!</v>
      </c>
      <c r="FI14" s="1" t="e">
        <f>AND(C_Castries_North!D25,"AAAAAGT9e6Q=")</f>
        <v>#VALUE!</v>
      </c>
      <c r="FJ14" s="1" t="e">
        <f>AND(C_Castries_North!E25,"AAAAAGT9e6U=")</f>
        <v>#VALUE!</v>
      </c>
      <c r="FK14" s="1" t="e">
        <f>AND(C_Castries_North!F25,"AAAAAGT9e6Y=")</f>
        <v>#VALUE!</v>
      </c>
      <c r="FL14" s="1" t="e">
        <f>AND(C_Castries_North!#REF!,"AAAAAGT9e6c=")</f>
        <v>#REF!</v>
      </c>
      <c r="FM14" s="1" t="e">
        <f>AND(C_Castries_North!#REF!,"AAAAAGT9e6g=")</f>
        <v>#REF!</v>
      </c>
      <c r="FN14" s="1" t="e">
        <f>AND(C_Castries_North!G25,"AAAAAGT9e6k=")</f>
        <v>#VALUE!</v>
      </c>
      <c r="FO14" s="1" t="e">
        <f>AND(C_Castries_North!H25,"AAAAAGT9e6o=")</f>
        <v>#VALUE!</v>
      </c>
      <c r="FP14" s="1" t="e">
        <f>AND(C_Castries_North!I25,"AAAAAGT9e6s=")</f>
        <v>#VALUE!</v>
      </c>
      <c r="FQ14" s="1" t="e">
        <f>AND(C_Castries_North!J25,"AAAAAGT9e6w=")</f>
        <v>#VALUE!</v>
      </c>
      <c r="FR14" s="1" t="e">
        <f>AND(C_Castries_North!K25,"AAAAAGT9e60=")</f>
        <v>#VALUE!</v>
      </c>
      <c r="FS14" s="1" t="e">
        <f>AND(C_Castries_North!L25,"AAAAAGT9e64=")</f>
        <v>#VALUE!</v>
      </c>
      <c r="FT14" s="1">
        <f>IF(C_Castries_North!26:26,"AAAAAGT9e68=",0)</f>
        <v>0</v>
      </c>
      <c r="FU14" s="1" t="e">
        <f>AND(C_Castries_North!A26,"AAAAAGT9e7A=")</f>
        <v>#VALUE!</v>
      </c>
      <c r="FV14" s="1" t="b">
        <f>AND(C_Castries_North!B26,"AAAAAGT9e7E=")</f>
        <v>1</v>
      </c>
      <c r="FW14" s="1" t="b">
        <f>AND(C_Castries_North!C26,"AAAAAGT9e7I=")</f>
        <v>1</v>
      </c>
      <c r="FX14" s="1" t="b">
        <f>AND(C_Castries_North!D26,"AAAAAGT9e7M=")</f>
        <v>1</v>
      </c>
      <c r="FY14" s="1" t="b">
        <f>AND(C_Castries_North!E26,"AAAAAGT9e7Q=")</f>
        <v>1</v>
      </c>
      <c r="FZ14" s="1" t="b">
        <f>AND(C_Castries_North!F26,"AAAAAGT9e7U=")</f>
        <v>1</v>
      </c>
      <c r="GA14" s="1" t="e">
        <f>AND(C_Castries_North!#REF!,"AAAAAGT9e7Y=")</f>
        <v>#REF!</v>
      </c>
      <c r="GB14" s="1" t="e">
        <f>AND(C_Castries_North!#REF!,"AAAAAGT9e7c=")</f>
        <v>#REF!</v>
      </c>
      <c r="GC14" s="1" t="b">
        <f>AND(C_Castries_North!G26,"AAAAAGT9e7g=")</f>
        <v>1</v>
      </c>
      <c r="GD14" s="1" t="b">
        <f>AND(C_Castries_North!H26,"AAAAAGT9e7k=")</f>
        <v>1</v>
      </c>
      <c r="GE14" s="1" t="b">
        <f>AND(C_Castries_North!I26,"AAAAAGT9e7o=")</f>
        <v>1</v>
      </c>
      <c r="GF14" s="1" t="b">
        <f>AND(C_Castries_North!J26,"AAAAAGT9e7s=")</f>
        <v>1</v>
      </c>
      <c r="GG14" s="1" t="b">
        <f>AND(C_Castries_North!K26,"AAAAAGT9e7w=")</f>
        <v>1</v>
      </c>
      <c r="GH14" s="1" t="b">
        <f>AND(C_Castries_North!L26,"AAAAAGT9e70=")</f>
        <v>1</v>
      </c>
      <c r="GI14" s="1">
        <f>IF(C_Castries_North!27:27,"AAAAAGT9e74=",0)</f>
        <v>0</v>
      </c>
      <c r="GJ14" s="1" t="e">
        <f>AND(C_Castries_North!A27,"AAAAAGT9e78=")</f>
        <v>#VALUE!</v>
      </c>
      <c r="GK14" s="1" t="b">
        <f>AND(C_Castries_North!B27,"AAAAAGT9e8A=")</f>
        <v>1</v>
      </c>
      <c r="GL14" s="1" t="b">
        <f>AND(C_Castries_North!C27,"AAAAAGT9e8E=")</f>
        <v>1</v>
      </c>
      <c r="GM14" s="1" t="b">
        <f>AND(C_Castries_North!D27,"AAAAAGT9e8I=")</f>
        <v>1</v>
      </c>
      <c r="GN14" s="1" t="b">
        <f>AND(C_Castries_North!E27,"AAAAAGT9e8M=")</f>
        <v>1</v>
      </c>
      <c r="GO14" s="1" t="b">
        <f>AND(C_Castries_North!F27,"AAAAAGT9e8Q=")</f>
        <v>1</v>
      </c>
      <c r="GP14" s="1" t="e">
        <f>AND(C_Castries_North!#REF!,"AAAAAGT9e8U=")</f>
        <v>#REF!</v>
      </c>
      <c r="GQ14" s="1" t="e">
        <f>AND(C_Castries_North!#REF!,"AAAAAGT9e8Y=")</f>
        <v>#REF!</v>
      </c>
      <c r="GR14" s="1" t="b">
        <f>AND(C_Castries_North!G27,"AAAAAGT9e8c=")</f>
        <v>1</v>
      </c>
      <c r="GS14" s="1" t="b">
        <f>AND(C_Castries_North!H27,"AAAAAGT9e8g=")</f>
        <v>1</v>
      </c>
      <c r="GT14" s="1" t="b">
        <f>AND(C_Castries_North!I27,"AAAAAGT9e8k=")</f>
        <v>1</v>
      </c>
      <c r="GU14" s="1" t="b">
        <f>AND(C_Castries_North!J27,"AAAAAGT9e8o=")</f>
        <v>1</v>
      </c>
      <c r="GV14" s="1" t="b">
        <f>AND(C_Castries_North!K27,"AAAAAGT9e8s=")</f>
        <v>1</v>
      </c>
      <c r="GW14" s="1" t="b">
        <f>AND(C_Castries_North!L27,"AAAAAGT9e8w=")</f>
        <v>1</v>
      </c>
      <c r="GX14" s="1">
        <f>IF(C_Castries_North!28:28,"AAAAAGT9e80=",0)</f>
        <v>0</v>
      </c>
      <c r="GY14" s="1" t="e">
        <f>AND(C_Castries_North!A28,"AAAAAGT9e84=")</f>
        <v>#VALUE!</v>
      </c>
      <c r="GZ14" s="1" t="b">
        <f>AND(C_Castries_North!B28,"AAAAAGT9e88=")</f>
        <v>1</v>
      </c>
      <c r="HA14" s="1" t="b">
        <f>AND(C_Castries_North!C28,"AAAAAGT9e9A=")</f>
        <v>1</v>
      </c>
      <c r="HB14" s="1" t="b">
        <f>AND(C_Castries_North!D28,"AAAAAGT9e9E=")</f>
        <v>1</v>
      </c>
      <c r="HC14" s="1" t="b">
        <f>AND(C_Castries_North!E28,"AAAAAGT9e9I=")</f>
        <v>1</v>
      </c>
      <c r="HD14" s="1" t="b">
        <f>AND(C_Castries_North!F28,"AAAAAGT9e9M=")</f>
        <v>1</v>
      </c>
      <c r="HE14" s="1" t="e">
        <f>AND(C_Castries_North!#REF!,"AAAAAGT9e9Q=")</f>
        <v>#REF!</v>
      </c>
      <c r="HF14" s="1" t="e">
        <f>AND(C_Castries_North!#REF!,"AAAAAGT9e9U=")</f>
        <v>#REF!</v>
      </c>
      <c r="HG14" s="1" t="b">
        <f>AND(C_Castries_North!G28,"AAAAAGT9e9Y=")</f>
        <v>1</v>
      </c>
      <c r="HH14" s="1" t="b">
        <f>AND(C_Castries_North!H28,"AAAAAGT9e9c=")</f>
        <v>1</v>
      </c>
      <c r="HI14" s="1" t="b">
        <f>AND(C_Castries_North!I28,"AAAAAGT9e9g=")</f>
        <v>1</v>
      </c>
      <c r="HJ14" s="1" t="b">
        <f>AND(C_Castries_North!J28,"AAAAAGT9e9k=")</f>
        <v>1</v>
      </c>
      <c r="HK14" s="1" t="b">
        <f>AND(C_Castries_North!K28,"AAAAAGT9e9o=")</f>
        <v>1</v>
      </c>
      <c r="HL14" s="1" t="b">
        <f>AND(C_Castries_North!L28,"AAAAAGT9e9s=")</f>
        <v>1</v>
      </c>
      <c r="HM14" s="1">
        <f>IF(C_Castries_North!29:29,"AAAAAGT9e9w=",0)</f>
        <v>0</v>
      </c>
      <c r="HN14" s="1" t="e">
        <f>AND(C_Castries_North!A29,"AAAAAGT9e90=")</f>
        <v>#VALUE!</v>
      </c>
      <c r="HO14" s="1" t="b">
        <f>AND(C_Castries_North!B29,"AAAAAGT9e94=")</f>
        <v>1</v>
      </c>
      <c r="HP14" s="1" t="b">
        <f>AND(C_Castries_North!C29,"AAAAAGT9e98=")</f>
        <v>1</v>
      </c>
      <c r="HQ14" s="1" t="b">
        <f>AND(C_Castries_North!D29,"AAAAAGT9e+A=")</f>
        <v>1</v>
      </c>
      <c r="HR14" s="1" t="b">
        <f>AND(C_Castries_North!E29,"AAAAAGT9e+E=")</f>
        <v>1</v>
      </c>
      <c r="HS14" s="1" t="b">
        <f>AND(C_Castries_North!F29,"AAAAAGT9e+I=")</f>
        <v>1</v>
      </c>
      <c r="HT14" s="1" t="e">
        <f>AND(C_Castries_North!#REF!,"AAAAAGT9e+M=")</f>
        <v>#REF!</v>
      </c>
      <c r="HU14" s="1" t="e">
        <f>AND(C_Castries_North!#REF!,"AAAAAGT9e+Q=")</f>
        <v>#REF!</v>
      </c>
      <c r="HV14" s="1" t="b">
        <f>AND(C_Castries_North!G29,"AAAAAGT9e+U=")</f>
        <v>1</v>
      </c>
      <c r="HW14" s="1" t="b">
        <f>AND(C_Castries_North!H29,"AAAAAGT9e+Y=")</f>
        <v>1</v>
      </c>
      <c r="HX14" s="1" t="b">
        <f>AND(C_Castries_North!I29,"AAAAAGT9e+c=")</f>
        <v>1</v>
      </c>
      <c r="HY14" s="1" t="b">
        <f>AND(C_Castries_North!J29,"AAAAAGT9e+g=")</f>
        <v>1</v>
      </c>
      <c r="HZ14" s="1" t="b">
        <f>AND(C_Castries_North!K29,"AAAAAGT9e+k=")</f>
        <v>1</v>
      </c>
      <c r="IA14" s="1" t="b">
        <f>AND(C_Castries_North!L29,"AAAAAGT9e+o=")</f>
        <v>1</v>
      </c>
      <c r="IB14" s="1">
        <f>IF(C_Castries_North!30:30,"AAAAAGT9e+s=",0)</f>
        <v>0</v>
      </c>
      <c r="IC14" s="1" t="e">
        <f>AND(C_Castries_North!A30,"AAAAAGT9e+w=")</f>
        <v>#VALUE!</v>
      </c>
      <c r="ID14" s="1" t="b">
        <f>AND(C_Castries_North!B30,"AAAAAGT9e+0=")</f>
        <v>1</v>
      </c>
      <c r="IE14" s="1" t="b">
        <f>AND(C_Castries_North!C30,"AAAAAGT9e+4=")</f>
        <v>1</v>
      </c>
      <c r="IF14" s="1" t="b">
        <f>AND(C_Castries_North!D30,"AAAAAGT9e+8=")</f>
        <v>1</v>
      </c>
      <c r="IG14" s="1" t="b">
        <f>AND(C_Castries_North!E30,"AAAAAGT9e/A=")</f>
        <v>1</v>
      </c>
      <c r="IH14" s="1" t="b">
        <f>AND(C_Castries_North!F30,"AAAAAGT9e/E=")</f>
        <v>1</v>
      </c>
      <c r="II14" s="1" t="e">
        <f>AND(C_Castries_North!#REF!,"AAAAAGT9e/I=")</f>
        <v>#REF!</v>
      </c>
      <c r="IJ14" s="1" t="e">
        <f>AND(C_Castries_North!#REF!,"AAAAAGT9e/M=")</f>
        <v>#REF!</v>
      </c>
      <c r="IK14" s="1" t="b">
        <f>AND(C_Castries_North!G30,"AAAAAGT9e/Q=")</f>
        <v>1</v>
      </c>
      <c r="IL14" s="1" t="b">
        <f>AND(C_Castries_North!H30,"AAAAAGT9e/U=")</f>
        <v>1</v>
      </c>
      <c r="IM14" s="1" t="b">
        <f>AND(C_Castries_North!I30,"AAAAAGT9e/Y=")</f>
        <v>1</v>
      </c>
      <c r="IN14" s="1" t="b">
        <f>AND(C_Castries_North!J30,"AAAAAGT9e/c=")</f>
        <v>1</v>
      </c>
      <c r="IO14" s="1" t="b">
        <f>AND(C_Castries_North!K30,"AAAAAGT9e/g=")</f>
        <v>1</v>
      </c>
      <c r="IP14" s="1" t="b">
        <f>AND(C_Castries_North!L30,"AAAAAGT9e/k=")</f>
        <v>1</v>
      </c>
      <c r="IQ14" s="1">
        <f>IF(C_Castries_North!32:32,"AAAAAGT9e/o=",0)</f>
        <v>0</v>
      </c>
      <c r="IR14" s="1" t="e">
        <f>AND(C_Castries_North!A32,"AAAAAGT9e/s=")</f>
        <v>#VALUE!</v>
      </c>
      <c r="IS14" s="1" t="e">
        <f>AND(C_Castries_North!B32,"AAAAAGT9e/w=")</f>
        <v>#VALUE!</v>
      </c>
      <c r="IT14" s="1" t="e">
        <f>AND(C_Castries_North!C32,"AAAAAGT9e/0=")</f>
        <v>#VALUE!</v>
      </c>
      <c r="IU14" s="1" t="e">
        <f>AND(C_Castries_North!D32,"AAAAAGT9e/4=")</f>
        <v>#VALUE!</v>
      </c>
      <c r="IV14" s="1" t="e">
        <f>AND(C_Castries_North!E32,"AAAAAGT9e/8=")</f>
        <v>#VALUE!</v>
      </c>
    </row>
    <row r="15" spans="1:256" ht="12" customHeight="1" x14ac:dyDescent="0.2">
      <c r="A15" s="1" t="e">
        <f>AND(C_Castries_North!F32,"AAAAAFaa/wA=")</f>
        <v>#VALUE!</v>
      </c>
      <c r="B15" s="1" t="e">
        <f>AND(C_Castries_North!#REF!,"AAAAAFaa/wE=")</f>
        <v>#REF!</v>
      </c>
      <c r="C15" s="1" t="e">
        <f>AND(C_Castries_North!#REF!,"AAAAAFaa/wI=")</f>
        <v>#REF!</v>
      </c>
      <c r="D15" s="1" t="e">
        <f>AND(C_Castries_North!G32,"AAAAAFaa/wM=")</f>
        <v>#VALUE!</v>
      </c>
      <c r="E15" s="1" t="e">
        <f>AND(C_Castries_North!H32,"AAAAAFaa/wQ=")</f>
        <v>#VALUE!</v>
      </c>
      <c r="F15" s="1" t="e">
        <f>AND(C_Castries_North!I32,"AAAAAFaa/wU=")</f>
        <v>#VALUE!</v>
      </c>
      <c r="G15" s="1" t="e">
        <f>AND(C_Castries_North!J32,"AAAAAFaa/wY=")</f>
        <v>#VALUE!</v>
      </c>
      <c r="H15" s="1" t="e">
        <f>AND(C_Castries_North!K32,"AAAAAFaa/wc=")</f>
        <v>#VALUE!</v>
      </c>
      <c r="I15" s="1" t="e">
        <f>AND(C_Castries_North!L32,"AAAAAFaa/wg=")</f>
        <v>#VALUE!</v>
      </c>
      <c r="J15" s="1" t="str">
        <f>IF(C_Castries_North!33:33,"AAAAAFaa/wk=",0)</f>
        <v>AAAAAFaa/wk=</v>
      </c>
      <c r="K15" s="1" t="e">
        <f>AND(C_Castries_North!A33,"AAAAAFaa/wo=")</f>
        <v>#VALUE!</v>
      </c>
      <c r="L15" s="1" t="b">
        <f>AND(C_Castries_North!B33,"AAAAAFaa/ws=")</f>
        <v>1</v>
      </c>
      <c r="M15" s="1" t="b">
        <f>AND(C_Castries_North!C33,"AAAAAFaa/ww=")</f>
        <v>1</v>
      </c>
      <c r="N15" s="1" t="b">
        <f>AND(C_Castries_North!D33,"AAAAAFaa/w0=")</f>
        <v>1</v>
      </c>
      <c r="O15" s="1" t="b">
        <f>AND(C_Castries_North!E33,"AAAAAFaa/w4=")</f>
        <v>1</v>
      </c>
      <c r="P15" s="1" t="b">
        <f>AND(C_Castries_North!F33,"AAAAAFaa/w8=")</f>
        <v>1</v>
      </c>
      <c r="Q15" s="1" t="e">
        <f>AND(C_Castries_North!#REF!,"AAAAAFaa/xA=")</f>
        <v>#REF!</v>
      </c>
      <c r="R15" s="1" t="e">
        <f>AND(C_Castries_North!#REF!,"AAAAAFaa/xE=")</f>
        <v>#REF!</v>
      </c>
      <c r="S15" s="1" t="b">
        <f>AND(C_Castries_North!G33,"AAAAAFaa/xI=")</f>
        <v>1</v>
      </c>
      <c r="T15" s="1" t="b">
        <f>AND(C_Castries_North!H33,"AAAAAFaa/xM=")</f>
        <v>1</v>
      </c>
      <c r="U15" s="1" t="b">
        <f>AND(C_Castries_North!I33,"AAAAAFaa/xQ=")</f>
        <v>1</v>
      </c>
      <c r="V15" s="1" t="b">
        <f>AND(C_Castries_North!J33,"AAAAAFaa/xU=")</f>
        <v>1</v>
      </c>
      <c r="W15" s="1" t="b">
        <f>AND(C_Castries_North!K33,"AAAAAFaa/xY=")</f>
        <v>1</v>
      </c>
      <c r="X15" s="1" t="b">
        <f>AND(C_Castries_North!L33,"AAAAAFaa/xc=")</f>
        <v>1</v>
      </c>
      <c r="Y15" s="1">
        <f>IF(C_Castries_North!34:34,"AAAAAFaa/xg=",0)</f>
        <v>0</v>
      </c>
      <c r="Z15" s="1" t="e">
        <f>AND(C_Castries_North!A34,"AAAAAFaa/xk=")</f>
        <v>#VALUE!</v>
      </c>
      <c r="AA15" s="1" t="b">
        <f>AND(C_Castries_North!B34,"AAAAAFaa/xo=")</f>
        <v>1</v>
      </c>
      <c r="AB15" s="1" t="b">
        <f>AND(C_Castries_North!C34,"AAAAAFaa/xs=")</f>
        <v>1</v>
      </c>
      <c r="AC15" s="1" t="b">
        <f>AND(C_Castries_North!D34,"AAAAAFaa/xw=")</f>
        <v>1</v>
      </c>
      <c r="AD15" s="1" t="b">
        <f>AND(C_Castries_North!E34,"AAAAAFaa/x0=")</f>
        <v>1</v>
      </c>
      <c r="AE15" s="1" t="b">
        <f>AND(C_Castries_North!F34,"AAAAAFaa/x4=")</f>
        <v>1</v>
      </c>
      <c r="AF15" s="1" t="e">
        <f>AND(C_Castries_North!#REF!,"AAAAAFaa/x8=")</f>
        <v>#REF!</v>
      </c>
      <c r="AG15" s="1" t="e">
        <f>AND(C_Castries_North!#REF!,"AAAAAFaa/yA=")</f>
        <v>#REF!</v>
      </c>
      <c r="AH15" s="1" t="b">
        <f>AND(C_Castries_North!G34,"AAAAAFaa/yE=")</f>
        <v>1</v>
      </c>
      <c r="AI15" s="1" t="b">
        <f>AND(C_Castries_North!H34,"AAAAAFaa/yI=")</f>
        <v>1</v>
      </c>
      <c r="AJ15" s="1" t="b">
        <f>AND(C_Castries_North!I34,"AAAAAFaa/yM=")</f>
        <v>1</v>
      </c>
      <c r="AK15" s="1" t="b">
        <f>AND(C_Castries_North!J34,"AAAAAFaa/yQ=")</f>
        <v>1</v>
      </c>
      <c r="AL15" s="1" t="b">
        <f>AND(C_Castries_North!K34,"AAAAAFaa/yU=")</f>
        <v>1</v>
      </c>
      <c r="AM15" s="1" t="b">
        <f>AND(C_Castries_North!L34,"AAAAAFaa/yY=")</f>
        <v>1</v>
      </c>
      <c r="AN15" s="1">
        <f>IF(C_Castries_North!35:35,"AAAAAFaa/yc=",0)</f>
        <v>0</v>
      </c>
      <c r="AO15" s="1" t="e">
        <f>AND(C_Castries_North!A35,"AAAAAFaa/yg=")</f>
        <v>#VALUE!</v>
      </c>
      <c r="AP15" s="1" t="b">
        <f>AND(C_Castries_North!B35,"AAAAAFaa/yk=")</f>
        <v>1</v>
      </c>
      <c r="AQ15" s="1" t="b">
        <f>AND(C_Castries_North!C35,"AAAAAFaa/yo=")</f>
        <v>1</v>
      </c>
      <c r="AR15" s="1" t="b">
        <f>AND(C_Castries_North!D35,"AAAAAFaa/ys=")</f>
        <v>1</v>
      </c>
      <c r="AS15" s="1" t="b">
        <f>AND(C_Castries_North!E35,"AAAAAFaa/yw=")</f>
        <v>1</v>
      </c>
      <c r="AT15" s="1" t="b">
        <f>AND(C_Castries_North!F35,"AAAAAFaa/y0=")</f>
        <v>1</v>
      </c>
      <c r="AU15" s="1" t="e">
        <f>AND(C_Castries_North!#REF!,"AAAAAFaa/y4=")</f>
        <v>#REF!</v>
      </c>
      <c r="AV15" s="1" t="e">
        <f>AND(C_Castries_North!#REF!,"AAAAAFaa/y8=")</f>
        <v>#REF!</v>
      </c>
      <c r="AW15" s="1" t="b">
        <f>AND(C_Castries_North!G35,"AAAAAFaa/zA=")</f>
        <v>1</v>
      </c>
      <c r="AX15" s="1" t="b">
        <f>AND(C_Castries_North!H35,"AAAAAFaa/zE=")</f>
        <v>1</v>
      </c>
      <c r="AY15" s="1" t="b">
        <f>AND(C_Castries_North!I35,"AAAAAFaa/zI=")</f>
        <v>1</v>
      </c>
      <c r="AZ15" s="1" t="b">
        <f>AND(C_Castries_North!J35,"AAAAAFaa/zM=")</f>
        <v>1</v>
      </c>
      <c r="BA15" s="1" t="b">
        <f>AND(C_Castries_North!K35,"AAAAAFaa/zQ=")</f>
        <v>1</v>
      </c>
      <c r="BB15" s="1" t="b">
        <f>AND(C_Castries_North!L35,"AAAAAFaa/zU=")</f>
        <v>1</v>
      </c>
      <c r="BC15" s="1">
        <f>IF(C_Castries_North!36:36,"AAAAAFaa/zY=",0)</f>
        <v>0</v>
      </c>
      <c r="BD15" s="1" t="e">
        <f>AND(C_Castries_North!A36,"AAAAAFaa/zc=")</f>
        <v>#VALUE!</v>
      </c>
      <c r="BE15" s="1" t="b">
        <f>AND(C_Castries_North!B36,"AAAAAFaa/zg=")</f>
        <v>1</v>
      </c>
      <c r="BF15" s="1" t="b">
        <f>AND(C_Castries_North!C36,"AAAAAFaa/zk=")</f>
        <v>1</v>
      </c>
      <c r="BG15" s="1" t="b">
        <f>AND(C_Castries_North!D36,"AAAAAFaa/zo=")</f>
        <v>1</v>
      </c>
      <c r="BH15" s="1" t="b">
        <f>AND(C_Castries_North!E36,"AAAAAFaa/zs=")</f>
        <v>1</v>
      </c>
      <c r="BI15" s="1" t="b">
        <f>AND(C_Castries_North!F36,"AAAAAFaa/zw=")</f>
        <v>1</v>
      </c>
      <c r="BJ15" s="1" t="e">
        <f>AND(C_Castries_North!#REF!,"AAAAAFaa/z0=")</f>
        <v>#REF!</v>
      </c>
      <c r="BK15" s="1" t="e">
        <f>AND(C_Castries_North!#REF!,"AAAAAFaa/z4=")</f>
        <v>#REF!</v>
      </c>
      <c r="BL15" s="1" t="b">
        <f>AND(C_Castries_North!G36,"AAAAAFaa/z8=")</f>
        <v>0</v>
      </c>
      <c r="BM15" s="1" t="b">
        <f>AND(C_Castries_North!H36,"AAAAAFaa/0A=")</f>
        <v>0</v>
      </c>
      <c r="BN15" s="1" t="b">
        <f>AND(C_Castries_North!I36,"AAAAAFaa/0E=")</f>
        <v>1</v>
      </c>
      <c r="BO15" s="1" t="b">
        <f>AND(C_Castries_North!J36,"AAAAAFaa/0I=")</f>
        <v>1</v>
      </c>
      <c r="BP15" s="1" t="b">
        <f>AND(C_Castries_North!K36,"AAAAAFaa/0M=")</f>
        <v>1</v>
      </c>
      <c r="BQ15" s="1" t="b">
        <f>AND(C_Castries_North!L36,"AAAAAFaa/0Q=")</f>
        <v>1</v>
      </c>
      <c r="BR15" s="1">
        <f>IF(C_Castries_North!37:37,"AAAAAFaa/0U=",0)</f>
        <v>0</v>
      </c>
      <c r="BS15" s="1" t="e">
        <f>AND(C_Castries_North!A37,"AAAAAFaa/0Y=")</f>
        <v>#VALUE!</v>
      </c>
      <c r="BT15" s="1" t="b">
        <f>AND(C_Castries_North!B37,"AAAAAFaa/0c=")</f>
        <v>1</v>
      </c>
      <c r="BU15" s="1" t="b">
        <f>AND(C_Castries_North!C37,"AAAAAFaa/0g=")</f>
        <v>1</v>
      </c>
      <c r="BV15" s="1" t="b">
        <f>AND(C_Castries_North!D37,"AAAAAFaa/0k=")</f>
        <v>1</v>
      </c>
      <c r="BW15" s="1" t="b">
        <f>AND(C_Castries_North!E37,"AAAAAFaa/0o=")</f>
        <v>1</v>
      </c>
      <c r="BX15" s="1" t="b">
        <f>AND(C_Castries_North!F37,"AAAAAFaa/0s=")</f>
        <v>1</v>
      </c>
      <c r="BY15" s="1" t="e">
        <f>AND(C_Castries_North!#REF!,"AAAAAFaa/0w=")</f>
        <v>#REF!</v>
      </c>
      <c r="BZ15" s="1" t="e">
        <f>AND(C_Castries_North!#REF!,"AAAAAFaa/00=")</f>
        <v>#REF!</v>
      </c>
      <c r="CA15" s="1" t="b">
        <f>AND(C_Castries_North!G37,"AAAAAFaa/04=")</f>
        <v>0</v>
      </c>
      <c r="CB15" s="1" t="b">
        <f>AND(C_Castries_North!H37,"AAAAAFaa/08=")</f>
        <v>0</v>
      </c>
      <c r="CC15" s="1" t="b">
        <f>AND(C_Castries_North!I37,"AAAAAFaa/1A=")</f>
        <v>1</v>
      </c>
      <c r="CD15" s="1" t="b">
        <f>AND(C_Castries_North!J37,"AAAAAFaa/1E=")</f>
        <v>1</v>
      </c>
      <c r="CE15" s="1" t="b">
        <f>AND(C_Castries_North!K37,"AAAAAFaa/1I=")</f>
        <v>1</v>
      </c>
      <c r="CF15" s="1" t="b">
        <f>AND(C_Castries_North!L37,"AAAAAFaa/1M=")</f>
        <v>1</v>
      </c>
      <c r="CG15" s="1">
        <f>IF(C_Castries_North!38:38,"AAAAAFaa/1Q=",0)</f>
        <v>0</v>
      </c>
      <c r="CH15" s="1" t="e">
        <f>AND(C_Castries_North!A38,"AAAAAFaa/1U=")</f>
        <v>#VALUE!</v>
      </c>
      <c r="CI15" s="1" t="b">
        <f>AND(C_Castries_North!B38,"AAAAAFaa/1Y=")</f>
        <v>1</v>
      </c>
      <c r="CJ15" s="1" t="b">
        <f>AND(C_Castries_North!C38,"AAAAAFaa/1c=")</f>
        <v>1</v>
      </c>
      <c r="CK15" s="1" t="b">
        <f>AND(C_Castries_North!D38,"AAAAAFaa/1g=")</f>
        <v>1</v>
      </c>
      <c r="CL15" s="1" t="b">
        <f>AND(C_Castries_North!E38,"AAAAAFaa/1k=")</f>
        <v>1</v>
      </c>
      <c r="CM15" s="1" t="b">
        <f>AND(C_Castries_North!F38,"AAAAAFaa/1o=")</f>
        <v>1</v>
      </c>
      <c r="CN15" s="1" t="e">
        <f>AND(C_Castries_North!#REF!,"AAAAAFaa/1s=")</f>
        <v>#REF!</v>
      </c>
      <c r="CO15" s="1" t="e">
        <f>AND(C_Castries_North!#REF!,"AAAAAFaa/1w=")</f>
        <v>#REF!</v>
      </c>
      <c r="CP15" s="1" t="b">
        <f>AND(C_Castries_North!G38,"AAAAAFaa/10=")</f>
        <v>1</v>
      </c>
      <c r="CQ15" s="1" t="b">
        <f>AND(C_Castries_North!H38,"AAAAAFaa/14=")</f>
        <v>1</v>
      </c>
      <c r="CR15" s="1" t="b">
        <f>AND(C_Castries_North!I38,"AAAAAFaa/18=")</f>
        <v>1</v>
      </c>
      <c r="CS15" s="1" t="b">
        <f>AND(C_Castries_North!J38,"AAAAAFaa/2A=")</f>
        <v>1</v>
      </c>
      <c r="CT15" s="1" t="b">
        <f>AND(C_Castries_North!K38,"AAAAAFaa/2E=")</f>
        <v>1</v>
      </c>
      <c r="CU15" s="1" t="b">
        <f>AND(C_Castries_North!L38,"AAAAAFaa/2I=")</f>
        <v>1</v>
      </c>
      <c r="CV15" s="1">
        <f>IF(C_Castries_North!39:39,"AAAAAFaa/2M=",0)</f>
        <v>0</v>
      </c>
      <c r="CW15" s="1" t="e">
        <f>AND(C_Castries_North!A39,"AAAAAFaa/2Q=")</f>
        <v>#VALUE!</v>
      </c>
      <c r="CX15" s="1" t="b">
        <f>AND(C_Castries_North!B39,"AAAAAFaa/2U=")</f>
        <v>1</v>
      </c>
      <c r="CY15" s="1" t="b">
        <f>AND(C_Castries_North!C39,"AAAAAFaa/2Y=")</f>
        <v>1</v>
      </c>
      <c r="CZ15" s="1" t="b">
        <f>AND(C_Castries_North!D39,"AAAAAFaa/2c=")</f>
        <v>1</v>
      </c>
      <c r="DA15" s="1" t="b">
        <f>AND(C_Castries_North!E39,"AAAAAFaa/2g=")</f>
        <v>1</v>
      </c>
      <c r="DB15" s="1" t="b">
        <f>AND(C_Castries_North!F39,"AAAAAFaa/2k=")</f>
        <v>1</v>
      </c>
      <c r="DC15" s="1" t="e">
        <f>AND(C_Castries_North!#REF!,"AAAAAFaa/2o=")</f>
        <v>#REF!</v>
      </c>
      <c r="DD15" s="1" t="e">
        <f>AND(C_Castries_North!#REF!,"AAAAAFaa/2s=")</f>
        <v>#REF!</v>
      </c>
      <c r="DE15" s="1" t="b">
        <f>AND(C_Castries_North!G39,"AAAAAFaa/2w=")</f>
        <v>1</v>
      </c>
      <c r="DF15" s="1" t="b">
        <f>AND(C_Castries_North!H39,"AAAAAFaa/20=")</f>
        <v>1</v>
      </c>
      <c r="DG15" s="1" t="b">
        <f>AND(C_Castries_North!I39,"AAAAAFaa/24=")</f>
        <v>1</v>
      </c>
      <c r="DH15" s="1" t="b">
        <f>AND(C_Castries_North!J39,"AAAAAFaa/28=")</f>
        <v>1</v>
      </c>
      <c r="DI15" s="1" t="b">
        <f>AND(C_Castries_North!K39,"AAAAAFaa/3A=")</f>
        <v>1</v>
      </c>
      <c r="DJ15" s="1" t="b">
        <f>AND(C_Castries_North!L39,"AAAAAFaa/3E=")</f>
        <v>1</v>
      </c>
      <c r="DK15" s="1" t="e">
        <f>IF(C_Castries_North!#REF!,"AAAAAFaa/3I=",0)</f>
        <v>#REF!</v>
      </c>
      <c r="DL15" s="1" t="e">
        <f>AND(C_Castries_North!#REF!,"AAAAAFaa/3M=")</f>
        <v>#REF!</v>
      </c>
      <c r="DM15" s="1" t="e">
        <f>AND(C_Castries_North!#REF!,"AAAAAFaa/3Q=")</f>
        <v>#REF!</v>
      </c>
      <c r="DN15" s="1" t="e">
        <f>AND(C_Castries_North!#REF!,"AAAAAFaa/3U=")</f>
        <v>#REF!</v>
      </c>
      <c r="DO15" s="1" t="e">
        <f>AND(C_Castries_North!#REF!,"AAAAAFaa/3Y=")</f>
        <v>#REF!</v>
      </c>
      <c r="DP15" s="1" t="e">
        <f>AND(C_Castries_North!#REF!,"AAAAAFaa/3c=")</f>
        <v>#REF!</v>
      </c>
      <c r="DQ15" s="1" t="e">
        <f>AND(C_Castries_North!#REF!,"AAAAAFaa/3g=")</f>
        <v>#REF!</v>
      </c>
      <c r="DR15" s="1" t="e">
        <f>AND(C_Castries_North!#REF!,"AAAAAFaa/3k=")</f>
        <v>#REF!</v>
      </c>
      <c r="DS15" s="1" t="e">
        <f>AND(C_Castries_North!#REF!,"AAAAAFaa/3o=")</f>
        <v>#REF!</v>
      </c>
      <c r="DT15" s="1" t="e">
        <f>AND(C_Castries_North!#REF!,"AAAAAFaa/3s=")</f>
        <v>#REF!</v>
      </c>
      <c r="DU15" s="1" t="e">
        <f>AND(C_Castries_North!#REF!,"AAAAAFaa/3w=")</f>
        <v>#REF!</v>
      </c>
      <c r="DV15" s="1" t="e">
        <f>AND(C_Castries_North!#REF!,"AAAAAFaa/30=")</f>
        <v>#REF!</v>
      </c>
      <c r="DW15" s="1" t="e">
        <f>AND(C_Castries_North!#REF!,"AAAAAFaa/34=")</f>
        <v>#REF!</v>
      </c>
      <c r="DX15" s="1" t="e">
        <f>AND(C_Castries_North!#REF!,"AAAAAFaa/38=")</f>
        <v>#REF!</v>
      </c>
      <c r="DY15" s="1" t="e">
        <f>AND(C_Castries_North!#REF!,"AAAAAFaa/4A=")</f>
        <v>#REF!</v>
      </c>
      <c r="DZ15" s="1">
        <f>IF(C_Castries_North!40:40,"AAAAAFaa/4E=",0)</f>
        <v>0</v>
      </c>
      <c r="EA15" s="1" t="e">
        <f>AND(C_Castries_North!A40,"AAAAAFaa/4I=")</f>
        <v>#VALUE!</v>
      </c>
      <c r="EB15" s="1" t="b">
        <f>AND(C_Castries_North!B40,"AAAAAFaa/4M=")</f>
        <v>1</v>
      </c>
      <c r="EC15" s="1" t="b">
        <f>AND(C_Castries_North!C40,"AAAAAFaa/4Q=")</f>
        <v>1</v>
      </c>
      <c r="ED15" s="1" t="b">
        <f>AND(C_Castries_North!D40,"AAAAAFaa/4U=")</f>
        <v>1</v>
      </c>
      <c r="EE15" s="1" t="b">
        <f>AND(C_Castries_North!E40,"AAAAAFaa/4Y=")</f>
        <v>1</v>
      </c>
      <c r="EF15" s="1" t="b">
        <f>AND(C_Castries_North!F40,"AAAAAFaa/4c=")</f>
        <v>1</v>
      </c>
      <c r="EG15" s="1" t="e">
        <f>AND(C_Castries_North!#REF!,"AAAAAFaa/4g=")</f>
        <v>#REF!</v>
      </c>
      <c r="EH15" s="1" t="e">
        <f>AND(C_Castries_North!#REF!,"AAAAAFaa/4k=")</f>
        <v>#REF!</v>
      </c>
      <c r="EI15" s="1" t="b">
        <f>AND(C_Castries_North!G40,"AAAAAFaa/4o=")</f>
        <v>1</v>
      </c>
      <c r="EJ15" s="1" t="b">
        <f>AND(C_Castries_North!H40,"AAAAAFaa/4s=")</f>
        <v>1</v>
      </c>
      <c r="EK15" s="1" t="b">
        <f>AND(C_Castries_North!I40,"AAAAAFaa/4w=")</f>
        <v>1</v>
      </c>
      <c r="EL15" s="1" t="b">
        <f>AND(C_Castries_North!J40,"AAAAAFaa/40=")</f>
        <v>1</v>
      </c>
      <c r="EM15" s="1" t="b">
        <f>AND(C_Castries_North!K40,"AAAAAFaa/44=")</f>
        <v>1</v>
      </c>
      <c r="EN15" s="1" t="b">
        <f>AND(C_Castries_North!L40,"AAAAAFaa/48=")</f>
        <v>1</v>
      </c>
      <c r="EO15" s="1">
        <f>IF(C_Castries_North!42:42,"AAAAAFaa/5A=",0)</f>
        <v>0</v>
      </c>
      <c r="EP15" s="1" t="e">
        <f>AND(C_Castries_North!A42,"AAAAAFaa/5E=")</f>
        <v>#VALUE!</v>
      </c>
      <c r="EQ15" s="1" t="e">
        <f>AND(C_Castries_North!B42,"AAAAAFaa/5I=")</f>
        <v>#VALUE!</v>
      </c>
      <c r="ER15" s="1" t="e">
        <f>AND(C_Castries_North!C42,"AAAAAFaa/5M=")</f>
        <v>#VALUE!</v>
      </c>
      <c r="ES15" s="1" t="e">
        <f>AND(C_Castries_North!D42,"AAAAAFaa/5Q=")</f>
        <v>#VALUE!</v>
      </c>
      <c r="ET15" s="1" t="e">
        <f>AND(C_Castries_North!E42,"AAAAAFaa/5U=")</f>
        <v>#VALUE!</v>
      </c>
      <c r="EU15" s="1" t="e">
        <f>AND(C_Castries_North!F42,"AAAAAFaa/5Y=")</f>
        <v>#VALUE!</v>
      </c>
      <c r="EV15" s="1" t="e">
        <f>AND(C_Castries_North!#REF!,"AAAAAFaa/5c=")</f>
        <v>#REF!</v>
      </c>
      <c r="EW15" s="1" t="e">
        <f>AND(C_Castries_North!#REF!,"AAAAAFaa/5g=")</f>
        <v>#REF!</v>
      </c>
      <c r="EX15" s="1" t="e">
        <f>AND(C_Castries_North!G42,"AAAAAFaa/5k=")</f>
        <v>#VALUE!</v>
      </c>
      <c r="EY15" s="1" t="e">
        <f>AND(C_Castries_North!H42,"AAAAAFaa/5o=")</f>
        <v>#VALUE!</v>
      </c>
      <c r="EZ15" s="1" t="e">
        <f>AND(C_Castries_North!I42,"AAAAAFaa/5s=")</f>
        <v>#VALUE!</v>
      </c>
      <c r="FA15" s="1" t="e">
        <f>AND(C_Castries_North!J42,"AAAAAFaa/5w=")</f>
        <v>#VALUE!</v>
      </c>
      <c r="FB15" s="1" t="e">
        <f>AND(C_Castries_North!K42,"AAAAAFaa/50=")</f>
        <v>#VALUE!</v>
      </c>
      <c r="FC15" s="1" t="e">
        <f>AND(C_Castries_North!L42,"AAAAAFaa/54=")</f>
        <v>#VALUE!</v>
      </c>
      <c r="FD15" s="1">
        <f>IF(C_Castries_North!43:43,"AAAAAFaa/58=",0)</f>
        <v>0</v>
      </c>
      <c r="FE15" s="1" t="e">
        <f>AND(C_Castries_North!A43,"AAAAAFaa/6A=")</f>
        <v>#VALUE!</v>
      </c>
      <c r="FF15" s="1" t="b">
        <f>AND(C_Castries_North!B43,"AAAAAFaa/6E=")</f>
        <v>1</v>
      </c>
      <c r="FG15" s="1" t="b">
        <f>AND(C_Castries_North!C43,"AAAAAFaa/6I=")</f>
        <v>1</v>
      </c>
      <c r="FH15" s="1" t="b">
        <f>AND(C_Castries_North!D43,"AAAAAFaa/6M=")</f>
        <v>1</v>
      </c>
      <c r="FI15" s="1" t="b">
        <f>AND(C_Castries_North!E43,"AAAAAFaa/6Q=")</f>
        <v>1</v>
      </c>
      <c r="FJ15" s="1" t="b">
        <f>AND(C_Castries_North!F43,"AAAAAFaa/6U=")</f>
        <v>1</v>
      </c>
      <c r="FK15" s="1" t="e">
        <f>AND(C_Castries_North!#REF!,"AAAAAFaa/6Y=")</f>
        <v>#REF!</v>
      </c>
      <c r="FL15" s="1" t="e">
        <f>AND(C_Castries_North!#REF!,"AAAAAFaa/6c=")</f>
        <v>#REF!</v>
      </c>
      <c r="FM15" s="1" t="b">
        <f>AND(C_Castries_North!G43,"AAAAAFaa/6g=")</f>
        <v>1</v>
      </c>
      <c r="FN15" s="1" t="b">
        <f>AND(C_Castries_North!H43,"AAAAAFaa/6k=")</f>
        <v>1</v>
      </c>
      <c r="FO15" s="1" t="b">
        <f>AND(C_Castries_North!I43,"AAAAAFaa/6o=")</f>
        <v>1</v>
      </c>
      <c r="FP15" s="1" t="b">
        <f>AND(C_Castries_North!J43,"AAAAAFaa/6s=")</f>
        <v>1</v>
      </c>
      <c r="FQ15" s="1" t="b">
        <f>AND(C_Castries_North!K43,"AAAAAFaa/6w=")</f>
        <v>1</v>
      </c>
      <c r="FR15" s="1" t="b">
        <f>AND(C_Castries_North!L43,"AAAAAFaa/60=")</f>
        <v>1</v>
      </c>
      <c r="FS15" s="1">
        <f>IF(C_Castries_North!44:44,"AAAAAFaa/64=",0)</f>
        <v>0</v>
      </c>
      <c r="FT15" s="1" t="e">
        <f>AND(C_Castries_North!A44,"AAAAAFaa/68=")</f>
        <v>#VALUE!</v>
      </c>
      <c r="FU15" s="1" t="b">
        <f>AND(C_Castries_North!B44,"AAAAAFaa/7A=")</f>
        <v>1</v>
      </c>
      <c r="FV15" s="1" t="b">
        <f>AND(C_Castries_North!C44,"AAAAAFaa/7E=")</f>
        <v>1</v>
      </c>
      <c r="FW15" s="1" t="b">
        <f>AND(C_Castries_North!D44,"AAAAAFaa/7I=")</f>
        <v>1</v>
      </c>
      <c r="FX15" s="1" t="b">
        <f>AND(C_Castries_North!E44,"AAAAAFaa/7M=")</f>
        <v>1</v>
      </c>
      <c r="FY15" s="1" t="b">
        <f>AND(C_Castries_North!F44,"AAAAAFaa/7Q=")</f>
        <v>1</v>
      </c>
      <c r="FZ15" s="1" t="e">
        <f>AND(C_Castries_North!#REF!,"AAAAAFaa/7U=")</f>
        <v>#REF!</v>
      </c>
      <c r="GA15" s="1" t="e">
        <f>AND(C_Castries_North!#REF!,"AAAAAFaa/7Y=")</f>
        <v>#REF!</v>
      </c>
      <c r="GB15" s="1" t="b">
        <f>AND(C_Castries_North!G44,"AAAAAFaa/7c=")</f>
        <v>1</v>
      </c>
      <c r="GC15" s="1" t="b">
        <f>AND(C_Castries_North!H44,"AAAAAFaa/7g=")</f>
        <v>1</v>
      </c>
      <c r="GD15" s="1" t="b">
        <f>AND(C_Castries_North!I44,"AAAAAFaa/7k=")</f>
        <v>1</v>
      </c>
      <c r="GE15" s="1" t="b">
        <f>AND(C_Castries_North!J44,"AAAAAFaa/7o=")</f>
        <v>1</v>
      </c>
      <c r="GF15" s="1" t="b">
        <f>AND(C_Castries_North!K44,"AAAAAFaa/7s=")</f>
        <v>1</v>
      </c>
      <c r="GG15" s="1" t="b">
        <f>AND(C_Castries_North!L44,"AAAAAFaa/7w=")</f>
        <v>1</v>
      </c>
      <c r="GH15" s="1">
        <f>IF(C_Castries_North!45:45,"AAAAAFaa/70=",0)</f>
        <v>0</v>
      </c>
      <c r="GI15" s="1" t="e">
        <f>AND(C_Castries_North!A45,"AAAAAFaa/74=")</f>
        <v>#VALUE!</v>
      </c>
      <c r="GJ15" s="1" t="b">
        <f>AND(C_Castries_North!B45,"AAAAAFaa/78=")</f>
        <v>1</v>
      </c>
      <c r="GK15" s="1" t="b">
        <f>AND(C_Castries_North!C45,"AAAAAFaa/8A=")</f>
        <v>1</v>
      </c>
      <c r="GL15" s="1" t="b">
        <f>AND(C_Castries_North!D45,"AAAAAFaa/8E=")</f>
        <v>1</v>
      </c>
      <c r="GM15" s="1" t="b">
        <f>AND(C_Castries_North!E45,"AAAAAFaa/8I=")</f>
        <v>1</v>
      </c>
      <c r="GN15" s="1" t="b">
        <f>AND(C_Castries_North!F45,"AAAAAFaa/8M=")</f>
        <v>1</v>
      </c>
      <c r="GO15" s="1" t="e">
        <f>AND(C_Castries_North!#REF!,"AAAAAFaa/8Q=")</f>
        <v>#REF!</v>
      </c>
      <c r="GP15" s="1" t="e">
        <f>AND(C_Castries_North!#REF!,"AAAAAFaa/8U=")</f>
        <v>#REF!</v>
      </c>
      <c r="GQ15" s="1" t="b">
        <f>AND(C_Castries_North!G45,"AAAAAFaa/8Y=")</f>
        <v>1</v>
      </c>
      <c r="GR15" s="1" t="b">
        <f>AND(C_Castries_North!H45,"AAAAAFaa/8c=")</f>
        <v>1</v>
      </c>
      <c r="GS15" s="1" t="b">
        <f>AND(C_Castries_North!I45,"AAAAAFaa/8g=")</f>
        <v>1</v>
      </c>
      <c r="GT15" s="1" t="b">
        <f>AND(C_Castries_North!J45,"AAAAAFaa/8k=")</f>
        <v>1</v>
      </c>
      <c r="GU15" s="1" t="b">
        <f>AND(C_Castries_North!K45,"AAAAAFaa/8o=")</f>
        <v>1</v>
      </c>
      <c r="GV15" s="1" t="b">
        <f>AND(C_Castries_North!L45,"AAAAAFaa/8s=")</f>
        <v>1</v>
      </c>
      <c r="GW15" s="1">
        <f>IF(C_Castries_North!46:46,"AAAAAFaa/8w=",0)</f>
        <v>0</v>
      </c>
      <c r="GX15" s="1" t="e">
        <f>AND(C_Castries_North!A46,"AAAAAFaa/80=")</f>
        <v>#VALUE!</v>
      </c>
      <c r="GY15" s="1" t="b">
        <f>AND(C_Castries_North!B46,"AAAAAFaa/84=")</f>
        <v>1</v>
      </c>
      <c r="GZ15" s="1" t="b">
        <f>AND(C_Castries_North!C46,"AAAAAFaa/88=")</f>
        <v>1</v>
      </c>
      <c r="HA15" s="1" t="b">
        <f>AND(C_Castries_North!D46,"AAAAAFaa/9A=")</f>
        <v>1</v>
      </c>
      <c r="HB15" s="1" t="b">
        <f>AND(C_Castries_North!E46,"AAAAAFaa/9E=")</f>
        <v>1</v>
      </c>
      <c r="HC15" s="1" t="b">
        <f>AND(C_Castries_North!F46,"AAAAAFaa/9I=")</f>
        <v>1</v>
      </c>
      <c r="HD15" s="1" t="e">
        <f>AND(C_Castries_North!#REF!,"AAAAAFaa/9M=")</f>
        <v>#REF!</v>
      </c>
      <c r="HE15" s="1" t="e">
        <f>AND(C_Castries_North!#REF!,"AAAAAFaa/9Q=")</f>
        <v>#REF!</v>
      </c>
      <c r="HF15" s="1" t="b">
        <f>AND(C_Castries_North!G46,"AAAAAFaa/9U=")</f>
        <v>1</v>
      </c>
      <c r="HG15" s="1" t="b">
        <f>AND(C_Castries_North!H46,"AAAAAFaa/9Y=")</f>
        <v>1</v>
      </c>
      <c r="HH15" s="1" t="b">
        <f>AND(C_Castries_North!I46,"AAAAAFaa/9c=")</f>
        <v>1</v>
      </c>
      <c r="HI15" s="1" t="b">
        <f>AND(C_Castries_North!J46,"AAAAAFaa/9g=")</f>
        <v>1</v>
      </c>
      <c r="HJ15" s="1" t="b">
        <f>AND(C_Castries_North!K46,"AAAAAFaa/9k=")</f>
        <v>1</v>
      </c>
      <c r="HK15" s="1" t="b">
        <f>AND(C_Castries_North!L46,"AAAAAFaa/9o=")</f>
        <v>1</v>
      </c>
      <c r="HL15" s="1" t="e">
        <f>IF(C_Castries_North!A:A,"AAAAAFaa/9s=",0)</f>
        <v>#VALUE!</v>
      </c>
      <c r="HM15" s="1" t="str">
        <f>IF(C_Castries_North!B:B,"AAAAAFaa/9w=",0)</f>
        <v>AAAAAFaa/9w=</v>
      </c>
      <c r="HN15" s="1" t="str">
        <f>IF(C_Castries_North!C:C,"AAAAAFaa/90=",0)</f>
        <v>AAAAAFaa/90=</v>
      </c>
      <c r="HO15" s="1" t="str">
        <f>IF(C_Castries_North!D:D,"AAAAAFaa/94=",0)</f>
        <v>AAAAAFaa/94=</v>
      </c>
      <c r="HP15" s="1" t="str">
        <f>IF(C_Castries_North!E:E,"AAAAAFaa/98=",0)</f>
        <v>AAAAAFaa/98=</v>
      </c>
      <c r="HQ15" s="1" t="str">
        <f>IF(C_Castries_North!F:F,"AAAAAFaa/+A=",0)</f>
        <v>AAAAAFaa/+A=</v>
      </c>
      <c r="HR15" s="1" t="e">
        <f>IF(C_Castries_North!#REF!,"AAAAAFaa/+E=",0)</f>
        <v>#REF!</v>
      </c>
      <c r="HS15" s="1" t="e">
        <f>IF(C_Castries_North!#REF!,"AAAAAFaa/+I=",0)</f>
        <v>#REF!</v>
      </c>
      <c r="HT15" s="1" t="str">
        <f>IF(C_Castries_North!G:G,"AAAAAFaa/+M=",0)</f>
        <v>AAAAAFaa/+M=</v>
      </c>
      <c r="HU15" s="1" t="str">
        <f>IF(C_Castries_North!H:H,"AAAAAFaa/+Q=",0)</f>
        <v>AAAAAFaa/+Q=</v>
      </c>
      <c r="HV15" s="1" t="str">
        <f>IF(C_Castries_North!I:I,"AAAAAFaa/+U=",0)</f>
        <v>AAAAAFaa/+U=</v>
      </c>
      <c r="HW15" s="1" t="str">
        <f>IF(C_Castries_North!J:J,"AAAAAFaa/+Y=",0)</f>
        <v>AAAAAFaa/+Y=</v>
      </c>
      <c r="HX15" s="1" t="str">
        <f>IF(C_Castries_North!K:K,"AAAAAFaa/+c=",0)</f>
        <v>AAAAAFaa/+c=</v>
      </c>
      <c r="HY15" s="1" t="str">
        <f>IF(C_Castries_North!L:L,"AAAAAFaa/+g=",0)</f>
        <v>AAAAAFaa/+g=</v>
      </c>
      <c r="HZ15" s="1">
        <f>IF(D_Castries_East!2:2,"AAAAAFaa/+k=",0)</f>
        <v>0</v>
      </c>
      <c r="IA15" s="1" t="e">
        <f>AND(D_Castries_East!A2,"AAAAAFaa/+o=")</f>
        <v>#VALUE!</v>
      </c>
      <c r="IB15" s="1" t="e">
        <f>AND(D_Castries_East!B2,"AAAAAFaa/+s=")</f>
        <v>#VALUE!</v>
      </c>
      <c r="IC15" s="1" t="e">
        <f>AND(D_Castries_East!C2,"AAAAAFaa/+w=")</f>
        <v>#VALUE!</v>
      </c>
      <c r="ID15" s="1" t="e">
        <f>AND(D_Castries_East!D2,"AAAAAFaa/+0=")</f>
        <v>#VALUE!</v>
      </c>
      <c r="IE15" s="1" t="e">
        <f>AND(D_Castries_East!E2,"AAAAAFaa/+4=")</f>
        <v>#VALUE!</v>
      </c>
      <c r="IF15" s="1" t="e">
        <f>AND(D_Castries_East!F2,"AAAAAFaa/+8=")</f>
        <v>#VALUE!</v>
      </c>
      <c r="IG15" s="1" t="e">
        <f>AND(D_Castries_East!G2,"AAAAAFaa//A=")</f>
        <v>#VALUE!</v>
      </c>
      <c r="IH15" s="1" t="e">
        <f>AND(D_Castries_East!H2,"AAAAAFaa//E=")</f>
        <v>#VALUE!</v>
      </c>
      <c r="II15" s="1" t="e">
        <f>AND(D_Castries_East!I2,"AAAAAFaa//I=")</f>
        <v>#VALUE!</v>
      </c>
      <c r="IJ15" s="1" t="e">
        <f>AND(D_Castries_East!J2,"AAAAAFaa//M=")</f>
        <v>#VALUE!</v>
      </c>
      <c r="IK15" s="1" t="e">
        <f>AND(D_Castries_East!K2,"AAAAAFaa//Q=")</f>
        <v>#VALUE!</v>
      </c>
      <c r="IL15" s="1" t="e">
        <f>AND(D_Castries_East!L2,"AAAAAFaa//U=")</f>
        <v>#VALUE!</v>
      </c>
      <c r="IM15" s="1">
        <f>IF(D_Castries_East!3:3,"AAAAAFaa//Y=",0)</f>
        <v>0</v>
      </c>
      <c r="IN15" s="1" t="e">
        <f>AND(D_Castries_East!#REF!,"AAAAAFaa//c=")</f>
        <v>#REF!</v>
      </c>
      <c r="IO15" s="1" t="e">
        <f>AND(D_Castries_East!A3,"AAAAAFaa//g=")</f>
        <v>#VALUE!</v>
      </c>
      <c r="IP15" s="1" t="e">
        <f>AND(D_Castries_East!C3,"AAAAAFaa//k=")</f>
        <v>#VALUE!</v>
      </c>
      <c r="IQ15" s="1" t="e">
        <f>AND(D_Castries_East!D3,"AAAAAFaa//o=")</f>
        <v>#VALUE!</v>
      </c>
      <c r="IR15" s="1" t="e">
        <f>AND(D_Castries_East!E3,"AAAAAFaa//s=")</f>
        <v>#VALUE!</v>
      </c>
      <c r="IS15" s="1" t="e">
        <f>AND(D_Castries_East!F3,"AAAAAFaa//w=")</f>
        <v>#VALUE!</v>
      </c>
      <c r="IT15" s="1" t="e">
        <f>AND(D_Castries_East!G3,"AAAAAFaa//0=")</f>
        <v>#VALUE!</v>
      </c>
      <c r="IU15" s="1" t="e">
        <f>AND(D_Castries_East!H3,"AAAAAFaa//4=")</f>
        <v>#VALUE!</v>
      </c>
      <c r="IV15" s="1" t="e">
        <f>AND(D_Castries_East!I3,"AAAAAFaa//8=")</f>
        <v>#VALUE!</v>
      </c>
    </row>
    <row r="16" spans="1:256" ht="12" customHeight="1" x14ac:dyDescent="0.2">
      <c r="A16" s="1" t="e">
        <f>AND(D_Castries_East!J3,"AAAAAD//nwA=")</f>
        <v>#VALUE!</v>
      </c>
      <c r="B16" s="1" t="e">
        <f>AND(D_Castries_East!K3,"AAAAAD//nwE=")</f>
        <v>#VALUE!</v>
      </c>
      <c r="C16" s="1" t="e">
        <f>AND(D_Castries_East!L3,"AAAAAD//nwI=")</f>
        <v>#VALUE!</v>
      </c>
      <c r="D16" s="1" t="str">
        <f>IF(D_Castries_East!4:4,"AAAAAD//nwM=",0)</f>
        <v>AAAAAD//nwM=</v>
      </c>
      <c r="E16" s="1" t="e">
        <f>AND(D_Castries_East!A4,"AAAAAD//nwQ=")</f>
        <v>#VALUE!</v>
      </c>
      <c r="F16" s="1" t="b">
        <f>AND(D_Castries_East!B4,"AAAAAD//nwU=")</f>
        <v>1</v>
      </c>
      <c r="G16" s="1" t="b">
        <f>AND(D_Castries_East!C4,"AAAAAD//nwY=")</f>
        <v>1</v>
      </c>
      <c r="H16" s="1" t="b">
        <f>AND(D_Castries_East!D4,"AAAAAD//nwc=")</f>
        <v>1</v>
      </c>
      <c r="I16" s="1" t="b">
        <f>AND(D_Castries_East!E4,"AAAAAD//nwg=")</f>
        <v>1</v>
      </c>
      <c r="J16" s="1" t="b">
        <f>AND(D_Castries_East!F4,"AAAAAD//nwk=")</f>
        <v>1</v>
      </c>
      <c r="K16" s="1" t="b">
        <f>AND(D_Castries_East!G4,"AAAAAD//nwo=")</f>
        <v>1</v>
      </c>
      <c r="L16" s="1" t="b">
        <f>AND(D_Castries_East!H4,"AAAAAD//nws=")</f>
        <v>1</v>
      </c>
      <c r="M16" s="1" t="b">
        <f>AND(D_Castries_East!I4,"AAAAAD//nww=")</f>
        <v>1</v>
      </c>
      <c r="N16" s="1" t="b">
        <f>AND(D_Castries_East!J4,"AAAAAD//nw0=")</f>
        <v>1</v>
      </c>
      <c r="O16" s="1" t="b">
        <f>AND(D_Castries_East!K4,"AAAAAD//nw4=")</f>
        <v>1</v>
      </c>
      <c r="P16" s="1" t="b">
        <f>AND(D_Castries_East!L4,"AAAAAD//nw8=")</f>
        <v>1</v>
      </c>
      <c r="Q16" s="1">
        <f>IF(D_Castries_East!5:5,"AAAAAD//nxA=",0)</f>
        <v>0</v>
      </c>
      <c r="R16" s="1" t="e">
        <f>AND(D_Castries_East!A5,"AAAAAD//nxE=")</f>
        <v>#VALUE!</v>
      </c>
      <c r="S16" s="1" t="e">
        <f>AND(D_Castries_East!B5,"AAAAAD//nxI=")</f>
        <v>#VALUE!</v>
      </c>
      <c r="T16" s="1" t="e">
        <f>AND(D_Castries_East!C5,"AAAAAD//nxM=")</f>
        <v>#VALUE!</v>
      </c>
      <c r="U16" s="1" t="e">
        <f>AND(D_Castries_East!D5,"AAAAAD//nxQ=")</f>
        <v>#VALUE!</v>
      </c>
      <c r="V16" s="1" t="e">
        <f>AND(D_Castries_East!E5,"AAAAAD//nxU=")</f>
        <v>#VALUE!</v>
      </c>
      <c r="W16" s="1" t="e">
        <f>AND(D_Castries_East!F5,"AAAAAD//nxY=")</f>
        <v>#VALUE!</v>
      </c>
      <c r="X16" s="1" t="e">
        <f>AND(D_Castries_East!G5,"AAAAAD//nxc=")</f>
        <v>#VALUE!</v>
      </c>
      <c r="Y16" s="1" t="e">
        <f>AND(D_Castries_East!H5,"AAAAAD//nxg=")</f>
        <v>#VALUE!</v>
      </c>
      <c r="Z16" s="1" t="e">
        <f>AND(D_Castries_East!I5,"AAAAAD//nxk=")</f>
        <v>#VALUE!</v>
      </c>
      <c r="AA16" s="1" t="e">
        <f>AND(D_Castries_East!J5,"AAAAAD//nxo=")</f>
        <v>#VALUE!</v>
      </c>
      <c r="AB16" s="1" t="e">
        <f>AND(D_Castries_East!K5,"AAAAAD//nxs=")</f>
        <v>#VALUE!</v>
      </c>
      <c r="AC16" s="1" t="e">
        <f>AND(D_Castries_East!L5,"AAAAAD//nxw=")</f>
        <v>#VALUE!</v>
      </c>
      <c r="AD16" s="1">
        <f>IF(D_Castries_East!6:6,"AAAAAD//nx0=",0)</f>
        <v>0</v>
      </c>
      <c r="AE16" s="1" t="e">
        <f>AND(D_Castries_East!A6,"AAAAAD//nx4=")</f>
        <v>#VALUE!</v>
      </c>
      <c r="AF16" s="1" t="b">
        <f>AND(D_Castries_East!B6,"AAAAAD//nx8=")</f>
        <v>1</v>
      </c>
      <c r="AG16" s="1" t="b">
        <f>AND(D_Castries_East!C6,"AAAAAD//nyA=")</f>
        <v>1</v>
      </c>
      <c r="AH16" s="1" t="b">
        <f>AND(D_Castries_East!D6,"AAAAAD//nyE=")</f>
        <v>1</v>
      </c>
      <c r="AI16" s="1" t="b">
        <f>AND(D_Castries_East!E6,"AAAAAD//nyI=")</f>
        <v>1</v>
      </c>
      <c r="AJ16" s="1" t="b">
        <f>AND(D_Castries_East!F6,"AAAAAD//nyM=")</f>
        <v>1</v>
      </c>
      <c r="AK16" s="1" t="b">
        <f>AND(D_Castries_East!G6,"AAAAAD//nyQ=")</f>
        <v>1</v>
      </c>
      <c r="AL16" s="1" t="b">
        <f>AND(D_Castries_East!H6,"AAAAAD//nyU=")</f>
        <v>1</v>
      </c>
      <c r="AM16" s="1" t="b">
        <f>AND(D_Castries_East!I6,"AAAAAD//nyY=")</f>
        <v>1</v>
      </c>
      <c r="AN16" s="1" t="b">
        <f>AND(D_Castries_East!J6,"AAAAAD//nyc=")</f>
        <v>1</v>
      </c>
      <c r="AO16" s="1" t="b">
        <f>AND(D_Castries_East!K6,"AAAAAD//nyg=")</f>
        <v>1</v>
      </c>
      <c r="AP16" s="1" t="b">
        <f>AND(D_Castries_East!L6,"AAAAAD//nyk=")</f>
        <v>1</v>
      </c>
      <c r="AQ16" s="1">
        <f>IF(D_Castries_East!7:7,"AAAAAD//nyo=",0)</f>
        <v>0</v>
      </c>
      <c r="AR16" s="1" t="e">
        <f>AND(D_Castries_East!A7,"AAAAAD//nys=")</f>
        <v>#VALUE!</v>
      </c>
      <c r="AS16" s="1" t="b">
        <f>AND(D_Castries_East!B7,"AAAAAD//nyw=")</f>
        <v>1</v>
      </c>
      <c r="AT16" s="1" t="b">
        <f>AND(D_Castries_East!C7,"AAAAAD//ny0=")</f>
        <v>1</v>
      </c>
      <c r="AU16" s="1" t="b">
        <f>AND(D_Castries_East!D7,"AAAAAD//ny4=")</f>
        <v>1</v>
      </c>
      <c r="AV16" s="1" t="b">
        <f>AND(D_Castries_East!E7,"AAAAAD//ny8=")</f>
        <v>1</v>
      </c>
      <c r="AW16" s="1" t="b">
        <f>AND(D_Castries_East!F7,"AAAAAD//nzA=")</f>
        <v>1</v>
      </c>
      <c r="AX16" s="1" t="b">
        <f>AND(D_Castries_East!G7,"AAAAAD//nzE=")</f>
        <v>1</v>
      </c>
      <c r="AY16" s="1" t="b">
        <f>AND(D_Castries_East!H7,"AAAAAD//nzI=")</f>
        <v>1</v>
      </c>
      <c r="AZ16" s="1" t="b">
        <f>AND(D_Castries_East!I7,"AAAAAD//nzM=")</f>
        <v>1</v>
      </c>
      <c r="BA16" s="1" t="b">
        <f>AND(D_Castries_East!J7,"AAAAAD//nzQ=")</f>
        <v>1</v>
      </c>
      <c r="BB16" s="1" t="b">
        <f>AND(D_Castries_East!K7,"AAAAAD//nzU=")</f>
        <v>1</v>
      </c>
      <c r="BC16" s="1" t="b">
        <f>AND(D_Castries_East!L7,"AAAAAD//nzY=")</f>
        <v>1</v>
      </c>
      <c r="BD16" s="1">
        <f>IF(D_Castries_East!8:8,"AAAAAD//nzc=",0)</f>
        <v>0</v>
      </c>
      <c r="BE16" s="1" t="e">
        <f>AND(D_Castries_East!A8,"AAAAAD//nzg=")</f>
        <v>#VALUE!</v>
      </c>
      <c r="BF16" s="1" t="b">
        <f>AND(D_Castries_East!B8,"AAAAAD//nzk=")</f>
        <v>1</v>
      </c>
      <c r="BG16" s="1" t="b">
        <f>AND(D_Castries_East!C8,"AAAAAD//nzo=")</f>
        <v>1</v>
      </c>
      <c r="BH16" s="1" t="b">
        <f>AND(D_Castries_East!D8,"AAAAAD//nzs=")</f>
        <v>1</v>
      </c>
      <c r="BI16" s="1" t="b">
        <f>AND(D_Castries_East!E8,"AAAAAD//nzw=")</f>
        <v>1</v>
      </c>
      <c r="BJ16" s="1" t="b">
        <f>AND(D_Castries_East!F8,"AAAAAD//nz0=")</f>
        <v>1</v>
      </c>
      <c r="BK16" s="1" t="b">
        <f>AND(D_Castries_East!G8,"AAAAAD//nz4=")</f>
        <v>1</v>
      </c>
      <c r="BL16" s="1" t="b">
        <f>AND(D_Castries_East!H8,"AAAAAD//nz8=")</f>
        <v>1</v>
      </c>
      <c r="BM16" s="1" t="b">
        <f>AND(D_Castries_East!I8,"AAAAAD//n0A=")</f>
        <v>1</v>
      </c>
      <c r="BN16" s="1" t="b">
        <f>AND(D_Castries_East!J8,"AAAAAD//n0E=")</f>
        <v>1</v>
      </c>
      <c r="BO16" s="1" t="b">
        <f>AND(D_Castries_East!K8,"AAAAAD//n0I=")</f>
        <v>1</v>
      </c>
      <c r="BP16" s="1" t="b">
        <f>AND(D_Castries_East!L8,"AAAAAD//n0M=")</f>
        <v>1</v>
      </c>
      <c r="BQ16" s="1">
        <f>IF(D_Castries_East!9:9,"AAAAAD//n0Q=",0)</f>
        <v>0</v>
      </c>
      <c r="BR16" s="1" t="e">
        <f>AND(D_Castries_East!A9,"AAAAAD//n0U=")</f>
        <v>#VALUE!</v>
      </c>
      <c r="BS16" s="1" t="b">
        <f>AND(D_Castries_East!B9,"AAAAAD//n0Y=")</f>
        <v>1</v>
      </c>
      <c r="BT16" s="1" t="b">
        <f>AND(D_Castries_East!C9,"AAAAAD//n0c=")</f>
        <v>1</v>
      </c>
      <c r="BU16" s="1" t="b">
        <f>AND(D_Castries_East!D9,"AAAAAD//n0g=")</f>
        <v>1</v>
      </c>
      <c r="BV16" s="1" t="b">
        <f>AND(D_Castries_East!E9,"AAAAAD//n0k=")</f>
        <v>1</v>
      </c>
      <c r="BW16" s="1" t="b">
        <f>AND(D_Castries_East!F9,"AAAAAD//n0o=")</f>
        <v>1</v>
      </c>
      <c r="BX16" s="1" t="b">
        <f>AND(D_Castries_East!G9,"AAAAAD//n0s=")</f>
        <v>1</v>
      </c>
      <c r="BY16" s="1" t="b">
        <f>AND(D_Castries_East!H9,"AAAAAD//n0w=")</f>
        <v>1</v>
      </c>
      <c r="BZ16" s="1" t="b">
        <f>AND(D_Castries_East!I9,"AAAAAD//n00=")</f>
        <v>1</v>
      </c>
      <c r="CA16" s="1" t="b">
        <f>AND(D_Castries_East!J9,"AAAAAD//n04=")</f>
        <v>1</v>
      </c>
      <c r="CB16" s="1" t="b">
        <f>AND(D_Castries_East!K9,"AAAAAD//n08=")</f>
        <v>1</v>
      </c>
      <c r="CC16" s="1" t="b">
        <f>AND(D_Castries_East!L9,"AAAAAD//n1A=")</f>
        <v>1</v>
      </c>
      <c r="CD16" s="1">
        <f>IF(D_Castries_East!11:11,"AAAAAD//n1E=",0)</f>
        <v>0</v>
      </c>
      <c r="CE16" s="1" t="e">
        <f>AND(D_Castries_East!A11,"AAAAAD//n1I=")</f>
        <v>#VALUE!</v>
      </c>
      <c r="CF16" s="1" t="e">
        <f>AND(D_Castries_East!B11,"AAAAAD//n1M=")</f>
        <v>#VALUE!</v>
      </c>
      <c r="CG16" s="1" t="e">
        <f>AND(D_Castries_East!C11,"AAAAAD//n1Q=")</f>
        <v>#VALUE!</v>
      </c>
      <c r="CH16" s="1" t="e">
        <f>AND(D_Castries_East!D11,"AAAAAD//n1U=")</f>
        <v>#VALUE!</v>
      </c>
      <c r="CI16" s="1" t="e">
        <f>AND(D_Castries_East!E11,"AAAAAD//n1Y=")</f>
        <v>#VALUE!</v>
      </c>
      <c r="CJ16" s="1" t="e">
        <f>AND(D_Castries_East!F11,"AAAAAD//n1c=")</f>
        <v>#VALUE!</v>
      </c>
      <c r="CK16" s="1" t="e">
        <f>AND(D_Castries_East!G11,"AAAAAD//n1g=")</f>
        <v>#VALUE!</v>
      </c>
      <c r="CL16" s="1" t="e">
        <f>AND(D_Castries_East!H11,"AAAAAD//n1k=")</f>
        <v>#VALUE!</v>
      </c>
      <c r="CM16" s="1" t="e">
        <f>AND(D_Castries_East!I11,"AAAAAD//n1o=")</f>
        <v>#VALUE!</v>
      </c>
      <c r="CN16" s="1" t="e">
        <f>AND(D_Castries_East!J11,"AAAAAD//n1s=")</f>
        <v>#VALUE!</v>
      </c>
      <c r="CO16" s="1" t="e">
        <f>AND(D_Castries_East!K11,"AAAAAD//n1w=")</f>
        <v>#VALUE!</v>
      </c>
      <c r="CP16" s="1" t="e">
        <f>AND(D_Castries_East!L11,"AAAAAD//n10=")</f>
        <v>#VALUE!</v>
      </c>
      <c r="CQ16" s="1">
        <f>IF(D_Castries_East!12:12,"AAAAAD//n14=",0)</f>
        <v>0</v>
      </c>
      <c r="CR16" s="1" t="e">
        <f>AND(D_Castries_East!A12,"AAAAAD//n18=")</f>
        <v>#VALUE!</v>
      </c>
      <c r="CS16" s="1" t="b">
        <f>AND(D_Castries_East!B12,"AAAAAD//n2A=")</f>
        <v>1</v>
      </c>
      <c r="CT16" s="1" t="b">
        <f>AND(D_Castries_East!C12,"AAAAAD//n2E=")</f>
        <v>1</v>
      </c>
      <c r="CU16" s="1" t="b">
        <f>AND(D_Castries_East!D12,"AAAAAD//n2I=")</f>
        <v>1</v>
      </c>
      <c r="CV16" s="1" t="b">
        <f>AND(D_Castries_East!E12,"AAAAAD//n2M=")</f>
        <v>1</v>
      </c>
      <c r="CW16" s="1" t="b">
        <f>AND(D_Castries_East!F12,"AAAAAD//n2Q=")</f>
        <v>1</v>
      </c>
      <c r="CX16" s="1" t="b">
        <f>AND(D_Castries_East!G12,"AAAAAD//n2U=")</f>
        <v>0</v>
      </c>
      <c r="CY16" s="1" t="b">
        <f>AND(D_Castries_East!H12,"AAAAAD//n2Y=")</f>
        <v>0</v>
      </c>
      <c r="CZ16" s="1" t="b">
        <f>AND(D_Castries_East!I12,"AAAAAD//n2c=")</f>
        <v>1</v>
      </c>
      <c r="DA16" s="1" t="b">
        <f>AND(D_Castries_East!J12,"AAAAAD//n2g=")</f>
        <v>1</v>
      </c>
      <c r="DB16" s="1" t="b">
        <f>AND(D_Castries_East!K12,"AAAAAD//n2k=")</f>
        <v>1</v>
      </c>
      <c r="DC16" s="1" t="b">
        <f>AND(D_Castries_East!L12,"AAAAAD//n2o=")</f>
        <v>1</v>
      </c>
      <c r="DD16" s="1">
        <f>IF(D_Castries_East!13:13,"AAAAAD//n2s=",0)</f>
        <v>0</v>
      </c>
      <c r="DE16" s="1" t="e">
        <f>AND(D_Castries_East!A13,"AAAAAD//n2w=")</f>
        <v>#VALUE!</v>
      </c>
      <c r="DF16" s="1" t="b">
        <f>AND(D_Castries_East!B13,"AAAAAD//n20=")</f>
        <v>1</v>
      </c>
      <c r="DG16" s="1" t="b">
        <f>AND(D_Castries_East!C13,"AAAAAD//n24=")</f>
        <v>1</v>
      </c>
      <c r="DH16" s="1" t="b">
        <f>AND(D_Castries_East!D13,"AAAAAD//n28=")</f>
        <v>1</v>
      </c>
      <c r="DI16" s="1" t="b">
        <f>AND(D_Castries_East!E13,"AAAAAD//n3A=")</f>
        <v>1</v>
      </c>
      <c r="DJ16" s="1" t="b">
        <f>AND(D_Castries_East!F13,"AAAAAD//n3E=")</f>
        <v>1</v>
      </c>
      <c r="DK16" s="1" t="b">
        <f>AND(D_Castries_East!G13,"AAAAAD//n3I=")</f>
        <v>0</v>
      </c>
      <c r="DL16" s="1" t="b">
        <f>AND(D_Castries_East!H13,"AAAAAD//n3M=")</f>
        <v>0</v>
      </c>
      <c r="DM16" s="1" t="b">
        <f>AND(D_Castries_East!I13,"AAAAAD//n3Q=")</f>
        <v>1</v>
      </c>
      <c r="DN16" s="1" t="b">
        <f>AND(D_Castries_East!J13,"AAAAAD//n3U=")</f>
        <v>1</v>
      </c>
      <c r="DO16" s="1" t="b">
        <f>AND(D_Castries_East!K13,"AAAAAD//n3Y=")</f>
        <v>1</v>
      </c>
      <c r="DP16" s="1" t="b">
        <f>AND(D_Castries_East!L13,"AAAAAD//n3c=")</f>
        <v>1</v>
      </c>
      <c r="DQ16" s="1">
        <f>IF(D_Castries_East!14:14,"AAAAAD//n3g=",0)</f>
        <v>0</v>
      </c>
      <c r="DR16" s="1" t="e">
        <f>AND(D_Castries_East!A14,"AAAAAD//n3k=")</f>
        <v>#VALUE!</v>
      </c>
      <c r="DS16" s="1" t="b">
        <f>AND(D_Castries_East!B14,"AAAAAD//n3o=")</f>
        <v>1</v>
      </c>
      <c r="DT16" s="1" t="b">
        <f>AND(D_Castries_East!C14,"AAAAAD//n3s=")</f>
        <v>1</v>
      </c>
      <c r="DU16" s="1" t="b">
        <f>AND(D_Castries_East!D14,"AAAAAD//n3w=")</f>
        <v>1</v>
      </c>
      <c r="DV16" s="1" t="b">
        <f>AND(D_Castries_East!E14,"AAAAAD//n30=")</f>
        <v>1</v>
      </c>
      <c r="DW16" s="1" t="b">
        <f>AND(D_Castries_East!F14,"AAAAAD//n34=")</f>
        <v>1</v>
      </c>
      <c r="DX16" s="1" t="b">
        <f>AND(D_Castries_East!G14,"AAAAAD//n38=")</f>
        <v>1</v>
      </c>
      <c r="DY16" s="1" t="b">
        <f>AND(D_Castries_East!H14,"AAAAAD//n4A=")</f>
        <v>1</v>
      </c>
      <c r="DZ16" s="1" t="b">
        <f>AND(D_Castries_East!I14,"AAAAAD//n4E=")</f>
        <v>1</v>
      </c>
      <c r="EA16" s="1" t="b">
        <f>AND(D_Castries_East!J14,"AAAAAD//n4I=")</f>
        <v>1</v>
      </c>
      <c r="EB16" s="1" t="b">
        <f>AND(D_Castries_East!K14,"AAAAAD//n4M=")</f>
        <v>1</v>
      </c>
      <c r="EC16" s="1" t="b">
        <f>AND(D_Castries_East!L14,"AAAAAD//n4Q=")</f>
        <v>1</v>
      </c>
      <c r="ED16" s="1">
        <f>IF(D_Castries_East!15:15,"AAAAAD//n4U=",0)</f>
        <v>0</v>
      </c>
      <c r="EE16" s="1" t="e">
        <f>AND(D_Castries_East!A15,"AAAAAD//n4Y=")</f>
        <v>#VALUE!</v>
      </c>
      <c r="EF16" s="1" t="b">
        <f>AND(D_Castries_East!B15,"AAAAAD//n4c=")</f>
        <v>1</v>
      </c>
      <c r="EG16" s="1" t="b">
        <f>AND(D_Castries_East!C15,"AAAAAD//n4g=")</f>
        <v>1</v>
      </c>
      <c r="EH16" s="1" t="b">
        <f>AND(D_Castries_East!D15,"AAAAAD//n4k=")</f>
        <v>1</v>
      </c>
      <c r="EI16" s="1" t="b">
        <f>AND(D_Castries_East!E15,"AAAAAD//n4o=")</f>
        <v>1</v>
      </c>
      <c r="EJ16" s="1" t="b">
        <f>AND(D_Castries_East!F15,"AAAAAD//n4s=")</f>
        <v>1</v>
      </c>
      <c r="EK16" s="1" t="b">
        <f>AND(D_Castries_East!G15,"AAAAAD//n4w=")</f>
        <v>0</v>
      </c>
      <c r="EL16" s="1" t="b">
        <f>AND(D_Castries_East!H15,"AAAAAD//n40=")</f>
        <v>0</v>
      </c>
      <c r="EM16" s="1" t="b">
        <f>AND(D_Castries_East!I15,"AAAAAD//n44=")</f>
        <v>1</v>
      </c>
      <c r="EN16" s="1" t="b">
        <f>AND(D_Castries_East!J15,"AAAAAD//n48=")</f>
        <v>1</v>
      </c>
      <c r="EO16" s="1" t="b">
        <f>AND(D_Castries_East!K15,"AAAAAD//n5A=")</f>
        <v>1</v>
      </c>
      <c r="EP16" s="1" t="b">
        <f>AND(D_Castries_East!L15,"AAAAAD//n5E=")</f>
        <v>1</v>
      </c>
      <c r="EQ16" s="1">
        <f>IF(D_Castries_East!16:16,"AAAAAD//n5I=",0)</f>
        <v>0</v>
      </c>
      <c r="ER16" s="1" t="e">
        <f>AND(D_Castries_East!A16,"AAAAAD//n5M=")</f>
        <v>#VALUE!</v>
      </c>
      <c r="ES16" s="1" t="b">
        <f>AND(D_Castries_East!B16,"AAAAAD//n5Q=")</f>
        <v>1</v>
      </c>
      <c r="ET16" s="1" t="b">
        <f>AND(D_Castries_East!C16,"AAAAAD//n5U=")</f>
        <v>1</v>
      </c>
      <c r="EU16" s="1" t="b">
        <f>AND(D_Castries_East!D16,"AAAAAD//n5Y=")</f>
        <v>1</v>
      </c>
      <c r="EV16" s="1" t="b">
        <f>AND(D_Castries_East!E16,"AAAAAD//n5c=")</f>
        <v>1</v>
      </c>
      <c r="EW16" s="1" t="b">
        <f>AND(D_Castries_East!F16,"AAAAAD//n5g=")</f>
        <v>1</v>
      </c>
      <c r="EX16" s="1" t="b">
        <f>AND(D_Castries_East!G16,"AAAAAD//n5k=")</f>
        <v>0</v>
      </c>
      <c r="EY16" s="1" t="b">
        <f>AND(D_Castries_East!H16,"AAAAAD//n5o=")</f>
        <v>0</v>
      </c>
      <c r="EZ16" s="1" t="b">
        <f>AND(D_Castries_East!I16,"AAAAAD//n5s=")</f>
        <v>1</v>
      </c>
      <c r="FA16" s="1" t="b">
        <f>AND(D_Castries_East!J16,"AAAAAD//n5w=")</f>
        <v>1</v>
      </c>
      <c r="FB16" s="1" t="b">
        <f>AND(D_Castries_East!K16,"AAAAAD//n50=")</f>
        <v>1</v>
      </c>
      <c r="FC16" s="1" t="b">
        <f>AND(D_Castries_East!L16,"AAAAAD//n54=")</f>
        <v>1</v>
      </c>
      <c r="FD16" s="1">
        <f>IF(D_Castries_East!17:17,"AAAAAD//n58=",0)</f>
        <v>0</v>
      </c>
      <c r="FE16" s="1" t="e">
        <f>AND(D_Castries_East!A17,"AAAAAD//n6A=")</f>
        <v>#VALUE!</v>
      </c>
      <c r="FF16" s="1" t="b">
        <f>AND(D_Castries_East!B17,"AAAAAD//n6E=")</f>
        <v>1</v>
      </c>
      <c r="FG16" s="1" t="b">
        <f>AND(D_Castries_East!C17,"AAAAAD//n6I=")</f>
        <v>1</v>
      </c>
      <c r="FH16" s="1" t="b">
        <f>AND(D_Castries_East!D17,"AAAAAD//n6M=")</f>
        <v>1</v>
      </c>
      <c r="FI16" s="1" t="b">
        <f>AND(D_Castries_East!E17,"AAAAAD//n6Q=")</f>
        <v>1</v>
      </c>
      <c r="FJ16" s="1" t="b">
        <f>AND(D_Castries_East!F17,"AAAAAD//n6U=")</f>
        <v>1</v>
      </c>
      <c r="FK16" s="1" t="b">
        <f>AND(D_Castries_East!G17,"AAAAAD//n6Y=")</f>
        <v>1</v>
      </c>
      <c r="FL16" s="1" t="b">
        <f>AND(D_Castries_East!H17,"AAAAAD//n6c=")</f>
        <v>1</v>
      </c>
      <c r="FM16" s="1" t="b">
        <f>AND(D_Castries_East!I17,"AAAAAD//n6g=")</f>
        <v>1</v>
      </c>
      <c r="FN16" s="1" t="b">
        <f>AND(D_Castries_East!J17,"AAAAAD//n6k=")</f>
        <v>1</v>
      </c>
      <c r="FO16" s="1" t="b">
        <f>AND(D_Castries_East!K17,"AAAAAD//n6o=")</f>
        <v>1</v>
      </c>
      <c r="FP16" s="1" t="b">
        <f>AND(D_Castries_East!L17,"AAAAAD//n6s=")</f>
        <v>1</v>
      </c>
      <c r="FQ16" s="1">
        <f>IF(D_Castries_East!18:18,"AAAAAD//n6w=",0)</f>
        <v>0</v>
      </c>
      <c r="FR16" s="1" t="e">
        <f>AND(D_Castries_East!A18,"AAAAAD//n60=")</f>
        <v>#VALUE!</v>
      </c>
      <c r="FS16" s="1" t="b">
        <f>AND(D_Castries_East!B18,"AAAAAD//n64=")</f>
        <v>1</v>
      </c>
      <c r="FT16" s="1" t="b">
        <f>AND(D_Castries_East!C18,"AAAAAD//n68=")</f>
        <v>1</v>
      </c>
      <c r="FU16" s="1" t="b">
        <f>AND(D_Castries_East!D18,"AAAAAD//n7A=")</f>
        <v>1</v>
      </c>
      <c r="FV16" s="1" t="b">
        <f>AND(D_Castries_East!E18,"AAAAAD//n7E=")</f>
        <v>1</v>
      </c>
      <c r="FW16" s="1" t="b">
        <f>AND(D_Castries_East!F18,"AAAAAD//n7I=")</f>
        <v>1</v>
      </c>
      <c r="FX16" s="1" t="b">
        <f>AND(D_Castries_East!G18,"AAAAAD//n7M=")</f>
        <v>1</v>
      </c>
      <c r="FY16" s="1" t="b">
        <f>AND(D_Castries_East!H18,"AAAAAD//n7Q=")</f>
        <v>1</v>
      </c>
      <c r="FZ16" s="1" t="b">
        <f>AND(D_Castries_East!I18,"AAAAAD//n7U=")</f>
        <v>1</v>
      </c>
      <c r="GA16" s="1" t="b">
        <f>AND(D_Castries_East!J18,"AAAAAD//n7Y=")</f>
        <v>1</v>
      </c>
      <c r="GB16" s="1" t="b">
        <f>AND(D_Castries_East!K18,"AAAAAD//n7c=")</f>
        <v>1</v>
      </c>
      <c r="GC16" s="1" t="b">
        <f>AND(D_Castries_East!L18,"AAAAAD//n7g=")</f>
        <v>1</v>
      </c>
      <c r="GD16" s="1">
        <f>IF(D_Castries_East!19:19,"AAAAAD//n7k=",0)</f>
        <v>0</v>
      </c>
      <c r="GE16" s="1" t="e">
        <f>AND(D_Castries_East!A19,"AAAAAD//n7o=")</f>
        <v>#VALUE!</v>
      </c>
      <c r="GF16" s="1" t="b">
        <f>AND(D_Castries_East!B19,"AAAAAD//n7s=")</f>
        <v>1</v>
      </c>
      <c r="GG16" s="1" t="b">
        <f>AND(D_Castries_East!C19,"AAAAAD//n7w=")</f>
        <v>1</v>
      </c>
      <c r="GH16" s="1" t="b">
        <f>AND(D_Castries_East!D19,"AAAAAD//n70=")</f>
        <v>1</v>
      </c>
      <c r="GI16" s="1" t="b">
        <f>AND(D_Castries_East!E19,"AAAAAD//n74=")</f>
        <v>1</v>
      </c>
      <c r="GJ16" s="1" t="b">
        <f>AND(D_Castries_East!F19,"AAAAAD//n78=")</f>
        <v>1</v>
      </c>
      <c r="GK16" s="1" t="b">
        <f>AND(D_Castries_East!G19,"AAAAAD//n8A=")</f>
        <v>0</v>
      </c>
      <c r="GL16" s="1" t="b">
        <f>AND(D_Castries_East!H19,"AAAAAD//n8E=")</f>
        <v>0</v>
      </c>
      <c r="GM16" s="1" t="b">
        <f>AND(D_Castries_East!I19,"AAAAAD//n8I=")</f>
        <v>1</v>
      </c>
      <c r="GN16" s="1" t="b">
        <f>AND(D_Castries_East!J19,"AAAAAD//n8M=")</f>
        <v>1</v>
      </c>
      <c r="GO16" s="1" t="b">
        <f>AND(D_Castries_East!K19,"AAAAAD//n8Q=")</f>
        <v>1</v>
      </c>
      <c r="GP16" s="1" t="b">
        <f>AND(D_Castries_East!L19,"AAAAAD//n8U=")</f>
        <v>1</v>
      </c>
      <c r="GQ16" s="1">
        <f>IF(D_Castries_East!20:20,"AAAAAD//n8Y=",0)</f>
        <v>0</v>
      </c>
      <c r="GR16" s="1" t="e">
        <f>AND(D_Castries_East!A20,"AAAAAD//n8c=")</f>
        <v>#VALUE!</v>
      </c>
      <c r="GS16" s="1" t="b">
        <f>AND(D_Castries_East!B20,"AAAAAD//n8g=")</f>
        <v>1</v>
      </c>
      <c r="GT16" s="1" t="b">
        <f>AND(D_Castries_East!C20,"AAAAAD//n8k=")</f>
        <v>1</v>
      </c>
      <c r="GU16" s="1" t="b">
        <f>AND(D_Castries_East!D20,"AAAAAD//n8o=")</f>
        <v>1</v>
      </c>
      <c r="GV16" s="1" t="b">
        <f>AND(D_Castries_East!E20,"AAAAAD//n8s=")</f>
        <v>1</v>
      </c>
      <c r="GW16" s="1" t="b">
        <f>AND(D_Castries_East!F20,"AAAAAD//n8w=")</f>
        <v>1</v>
      </c>
      <c r="GX16" s="1" t="b">
        <f>AND(D_Castries_East!G20,"AAAAAD//n80=")</f>
        <v>0</v>
      </c>
      <c r="GY16" s="1" t="b">
        <f>AND(D_Castries_East!H20,"AAAAAD//n84=")</f>
        <v>0</v>
      </c>
      <c r="GZ16" s="1" t="b">
        <f>AND(D_Castries_East!I20,"AAAAAD//n88=")</f>
        <v>1</v>
      </c>
      <c r="HA16" s="1" t="b">
        <f>AND(D_Castries_East!J20,"AAAAAD//n9A=")</f>
        <v>1</v>
      </c>
      <c r="HB16" s="1" t="b">
        <f>AND(D_Castries_East!K20,"AAAAAD//n9E=")</f>
        <v>1</v>
      </c>
      <c r="HC16" s="1" t="b">
        <f>AND(D_Castries_East!L20,"AAAAAD//n9I=")</f>
        <v>1</v>
      </c>
      <c r="HD16" s="1" t="e">
        <f>IF(D_Castries_East!#REF!,"AAAAAD//n9M=",0)</f>
        <v>#REF!</v>
      </c>
      <c r="HE16" s="1" t="e">
        <f>AND(D_Castries_East!#REF!,"AAAAAD//n9Q=")</f>
        <v>#REF!</v>
      </c>
      <c r="HF16" s="1" t="e">
        <f>AND(D_Castries_East!#REF!,"AAAAAD//n9U=")</f>
        <v>#REF!</v>
      </c>
      <c r="HG16" s="1" t="e">
        <f>AND(D_Castries_East!#REF!,"AAAAAD//n9Y=")</f>
        <v>#REF!</v>
      </c>
      <c r="HH16" s="1" t="e">
        <f>AND(D_Castries_East!#REF!,"AAAAAD//n9c=")</f>
        <v>#REF!</v>
      </c>
      <c r="HI16" s="1" t="e">
        <f>AND(D_Castries_East!#REF!,"AAAAAD//n9g=")</f>
        <v>#REF!</v>
      </c>
      <c r="HJ16" s="1" t="e">
        <f>AND(D_Castries_East!#REF!,"AAAAAD//n9k=")</f>
        <v>#REF!</v>
      </c>
      <c r="HK16" s="1" t="e">
        <f>AND(D_Castries_East!#REF!,"AAAAAD//n9o=")</f>
        <v>#REF!</v>
      </c>
      <c r="HL16" s="1" t="e">
        <f>AND(D_Castries_East!#REF!,"AAAAAD//n9s=")</f>
        <v>#REF!</v>
      </c>
      <c r="HM16" s="1" t="e">
        <f>AND(D_Castries_East!#REF!,"AAAAAD//n9w=")</f>
        <v>#REF!</v>
      </c>
      <c r="HN16" s="1" t="e">
        <f>AND(D_Castries_East!#REF!,"AAAAAD//n90=")</f>
        <v>#REF!</v>
      </c>
      <c r="HO16" s="1" t="e">
        <f>AND(D_Castries_East!#REF!,"AAAAAD//n94=")</f>
        <v>#REF!</v>
      </c>
      <c r="HP16" s="1" t="e">
        <f>AND(D_Castries_East!#REF!,"AAAAAD//n98=")</f>
        <v>#REF!</v>
      </c>
      <c r="HQ16" s="1" t="e">
        <f>IF(D_Castries_East!#REF!,"AAAAAD//n+A=",0)</f>
        <v>#REF!</v>
      </c>
      <c r="HR16" s="1" t="e">
        <f>AND(D_Castries_East!#REF!,"AAAAAD//n+E=")</f>
        <v>#REF!</v>
      </c>
      <c r="HS16" s="1" t="e">
        <f>AND(D_Castries_East!#REF!,"AAAAAD//n+I=")</f>
        <v>#REF!</v>
      </c>
      <c r="HT16" s="1" t="e">
        <f>AND(D_Castries_East!#REF!,"AAAAAD//n+M=")</f>
        <v>#REF!</v>
      </c>
      <c r="HU16" s="1" t="e">
        <f>AND(D_Castries_East!#REF!,"AAAAAD//n+Q=")</f>
        <v>#REF!</v>
      </c>
      <c r="HV16" s="1" t="e">
        <f>AND(D_Castries_East!#REF!,"AAAAAD//n+U=")</f>
        <v>#REF!</v>
      </c>
      <c r="HW16" s="1" t="e">
        <f>AND(D_Castries_East!#REF!,"AAAAAD//n+Y=")</f>
        <v>#REF!</v>
      </c>
      <c r="HX16" s="1" t="e">
        <f>AND(D_Castries_East!#REF!,"AAAAAD//n+c=")</f>
        <v>#REF!</v>
      </c>
      <c r="HY16" s="1" t="e">
        <f>AND(D_Castries_East!#REF!,"AAAAAD//n+g=")</f>
        <v>#REF!</v>
      </c>
      <c r="HZ16" s="1" t="e">
        <f>AND(D_Castries_East!#REF!,"AAAAAD//n+k=")</f>
        <v>#REF!</v>
      </c>
      <c r="IA16" s="1" t="e">
        <f>AND(D_Castries_East!#REF!,"AAAAAD//n+o=")</f>
        <v>#REF!</v>
      </c>
      <c r="IB16" s="1" t="e">
        <f>AND(D_Castries_East!#REF!,"AAAAAD//n+s=")</f>
        <v>#REF!</v>
      </c>
      <c r="IC16" s="1" t="e">
        <f>AND(D_Castries_East!#REF!,"AAAAAD//n+w=")</f>
        <v>#REF!</v>
      </c>
      <c r="ID16" s="1">
        <f>IF(D_Castries_East!21:21,"AAAAAD//n+0=",0)</f>
        <v>0</v>
      </c>
      <c r="IE16" s="1" t="e">
        <f>AND(D_Castries_East!A21,"AAAAAD//n+4=")</f>
        <v>#VALUE!</v>
      </c>
      <c r="IF16" s="1" t="b">
        <f>AND(D_Castries_East!B21,"AAAAAD//n+8=")</f>
        <v>1</v>
      </c>
      <c r="IG16" s="1" t="b">
        <f>AND(D_Castries_East!C21,"AAAAAD//n/A=")</f>
        <v>1</v>
      </c>
      <c r="IH16" s="1" t="b">
        <f>AND(D_Castries_East!D21,"AAAAAD//n/E=")</f>
        <v>1</v>
      </c>
      <c r="II16" s="1" t="b">
        <f>AND(D_Castries_East!E21,"AAAAAD//n/I=")</f>
        <v>1</v>
      </c>
      <c r="IJ16" s="1" t="b">
        <f>AND(D_Castries_East!F21,"AAAAAD//n/M=")</f>
        <v>1</v>
      </c>
      <c r="IK16" s="1" t="b">
        <f>AND(D_Castries_East!G21,"AAAAAD//n/Q=")</f>
        <v>1</v>
      </c>
      <c r="IL16" s="1" t="b">
        <f>AND(D_Castries_East!H21,"AAAAAD//n/U=")</f>
        <v>1</v>
      </c>
      <c r="IM16" s="1" t="b">
        <f>AND(D_Castries_East!I21,"AAAAAD//n/Y=")</f>
        <v>1</v>
      </c>
      <c r="IN16" s="1" t="b">
        <f>AND(D_Castries_East!J21,"AAAAAD//n/c=")</f>
        <v>1</v>
      </c>
      <c r="IO16" s="1" t="b">
        <f>AND(D_Castries_East!K21,"AAAAAD//n/g=")</f>
        <v>1</v>
      </c>
      <c r="IP16" s="1" t="b">
        <f>AND(D_Castries_East!L21,"AAAAAD//n/k=")</f>
        <v>1</v>
      </c>
      <c r="IQ16" s="1">
        <f>IF(D_Castries_East!23:23,"AAAAAD//n/o=",0)</f>
        <v>0</v>
      </c>
      <c r="IR16" s="1" t="e">
        <f>AND(D_Castries_East!A23,"AAAAAD//n/s=")</f>
        <v>#VALUE!</v>
      </c>
      <c r="IS16" s="1" t="e">
        <f>AND(D_Castries_East!B23,"AAAAAD//n/w=")</f>
        <v>#VALUE!</v>
      </c>
      <c r="IT16" s="1" t="e">
        <f>AND(D_Castries_East!C23,"AAAAAD//n/0=")</f>
        <v>#VALUE!</v>
      </c>
      <c r="IU16" s="1" t="e">
        <f>AND(D_Castries_East!D23,"AAAAAD//n/4=")</f>
        <v>#VALUE!</v>
      </c>
      <c r="IV16" s="1" t="e">
        <f>AND(D_Castries_East!E23,"AAAAAD//n/8=")</f>
        <v>#VALUE!</v>
      </c>
    </row>
    <row r="17" spans="1:256" ht="12" customHeight="1" x14ac:dyDescent="0.2">
      <c r="A17" s="1" t="e">
        <f>AND(D_Castries_East!F23,"AAAAAGqH1wA=")</f>
        <v>#VALUE!</v>
      </c>
      <c r="B17" s="1" t="e">
        <f>AND(D_Castries_East!G23,"AAAAAGqH1wE=")</f>
        <v>#VALUE!</v>
      </c>
      <c r="C17" s="1" t="e">
        <f>AND(D_Castries_East!H23,"AAAAAGqH1wI=")</f>
        <v>#VALUE!</v>
      </c>
      <c r="D17" s="1" t="e">
        <f>AND(D_Castries_East!I23,"AAAAAGqH1wM=")</f>
        <v>#VALUE!</v>
      </c>
      <c r="E17" s="1" t="e">
        <f>AND(D_Castries_East!J23,"AAAAAGqH1wQ=")</f>
        <v>#VALUE!</v>
      </c>
      <c r="F17" s="1" t="e">
        <f>AND(D_Castries_East!K23,"AAAAAGqH1wU=")</f>
        <v>#VALUE!</v>
      </c>
      <c r="G17" s="1" t="e">
        <f>AND(D_Castries_East!L23,"AAAAAGqH1wY=")</f>
        <v>#VALUE!</v>
      </c>
      <c r="H17" s="1">
        <f>IF(D_Castries_East!24:24,"AAAAAGqH1wc=",0)</f>
        <v>0</v>
      </c>
      <c r="I17" s="1" t="e">
        <f>AND(D_Castries_East!A24,"AAAAAGqH1wg=")</f>
        <v>#VALUE!</v>
      </c>
      <c r="J17" s="1" t="b">
        <f>AND(D_Castries_East!B24,"AAAAAGqH1wk=")</f>
        <v>1</v>
      </c>
      <c r="K17" s="1" t="b">
        <f>AND(D_Castries_East!C24,"AAAAAGqH1wo=")</f>
        <v>1</v>
      </c>
      <c r="L17" s="1" t="b">
        <f>AND(D_Castries_East!D24,"AAAAAGqH1ws=")</f>
        <v>1</v>
      </c>
      <c r="M17" s="1" t="b">
        <f>AND(D_Castries_East!E24,"AAAAAGqH1ww=")</f>
        <v>1</v>
      </c>
      <c r="N17" s="1" t="b">
        <f>AND(D_Castries_East!F24,"AAAAAGqH1w0=")</f>
        <v>1</v>
      </c>
      <c r="O17" s="1" t="b">
        <f>AND(D_Castries_East!G24,"AAAAAGqH1w4=")</f>
        <v>0</v>
      </c>
      <c r="P17" s="1" t="b">
        <f>AND(D_Castries_East!H24,"AAAAAGqH1w8=")</f>
        <v>0</v>
      </c>
      <c r="Q17" s="1" t="b">
        <f>AND(D_Castries_East!I24,"AAAAAGqH1xA=")</f>
        <v>1</v>
      </c>
      <c r="R17" s="1" t="b">
        <f>AND(D_Castries_East!J24,"AAAAAGqH1xE=")</f>
        <v>1</v>
      </c>
      <c r="S17" s="1" t="b">
        <f>AND(D_Castries_East!K24,"AAAAAGqH1xI=")</f>
        <v>1</v>
      </c>
      <c r="T17" s="1" t="b">
        <f>AND(D_Castries_East!L24,"AAAAAGqH1xM=")</f>
        <v>1</v>
      </c>
      <c r="U17" s="1">
        <f>IF(D_Castries_East!25:25,"AAAAAGqH1xQ=",0)</f>
        <v>0</v>
      </c>
      <c r="V17" s="1" t="e">
        <f>AND(D_Castries_East!A25,"AAAAAGqH1xU=")</f>
        <v>#VALUE!</v>
      </c>
      <c r="W17" s="1" t="b">
        <f>AND(D_Castries_East!B25,"AAAAAGqH1xY=")</f>
        <v>1</v>
      </c>
      <c r="X17" s="1" t="b">
        <f>AND(D_Castries_East!C25,"AAAAAGqH1xc=")</f>
        <v>1</v>
      </c>
      <c r="Y17" s="1" t="b">
        <f>AND(D_Castries_East!D25,"AAAAAGqH1xg=")</f>
        <v>1</v>
      </c>
      <c r="Z17" s="1" t="b">
        <f>AND(D_Castries_East!E25,"AAAAAGqH1xk=")</f>
        <v>1</v>
      </c>
      <c r="AA17" s="1" t="b">
        <f>AND(D_Castries_East!F25,"AAAAAGqH1xo=")</f>
        <v>1</v>
      </c>
      <c r="AB17" s="1" t="b">
        <f>AND(D_Castries_East!G25,"AAAAAGqH1xs=")</f>
        <v>1</v>
      </c>
      <c r="AC17" s="1" t="b">
        <f>AND(D_Castries_East!H25,"AAAAAGqH1xw=")</f>
        <v>1</v>
      </c>
      <c r="AD17" s="1" t="b">
        <f>AND(D_Castries_East!I25,"AAAAAGqH1x0=")</f>
        <v>1</v>
      </c>
      <c r="AE17" s="1" t="b">
        <f>AND(D_Castries_East!J25,"AAAAAGqH1x4=")</f>
        <v>1</v>
      </c>
      <c r="AF17" s="1" t="b">
        <f>AND(D_Castries_East!K25,"AAAAAGqH1x8=")</f>
        <v>1</v>
      </c>
      <c r="AG17" s="1" t="b">
        <f>AND(D_Castries_East!L25,"AAAAAGqH1yA=")</f>
        <v>1</v>
      </c>
      <c r="AH17" s="1">
        <f>IF(D_Castries_East!26:26,"AAAAAGqH1yE=",0)</f>
        <v>0</v>
      </c>
      <c r="AI17" s="1" t="e">
        <f>AND(D_Castries_East!A26,"AAAAAGqH1yI=")</f>
        <v>#VALUE!</v>
      </c>
      <c r="AJ17" s="1" t="b">
        <f>AND(D_Castries_East!B26,"AAAAAGqH1yM=")</f>
        <v>1</v>
      </c>
      <c r="AK17" s="1" t="b">
        <f>AND(D_Castries_East!C26,"AAAAAGqH1yQ=")</f>
        <v>1</v>
      </c>
      <c r="AL17" s="1" t="b">
        <f>AND(D_Castries_East!D26,"AAAAAGqH1yU=")</f>
        <v>1</v>
      </c>
      <c r="AM17" s="1" t="b">
        <f>AND(D_Castries_East!E26,"AAAAAGqH1yY=")</f>
        <v>1</v>
      </c>
      <c r="AN17" s="1" t="b">
        <f>AND(D_Castries_East!F26,"AAAAAGqH1yc=")</f>
        <v>1</v>
      </c>
      <c r="AO17" s="1" t="b">
        <f>AND(D_Castries_East!G26,"AAAAAGqH1yg=")</f>
        <v>1</v>
      </c>
      <c r="AP17" s="1" t="b">
        <f>AND(D_Castries_East!H26,"AAAAAGqH1yk=")</f>
        <v>1</v>
      </c>
      <c r="AQ17" s="1" t="b">
        <f>AND(D_Castries_East!I26,"AAAAAGqH1yo=")</f>
        <v>1</v>
      </c>
      <c r="AR17" s="1" t="b">
        <f>AND(D_Castries_East!J26,"AAAAAGqH1ys=")</f>
        <v>1</v>
      </c>
      <c r="AS17" s="1" t="b">
        <f>AND(D_Castries_East!K26,"AAAAAGqH1yw=")</f>
        <v>1</v>
      </c>
      <c r="AT17" s="1" t="b">
        <f>AND(D_Castries_East!L26,"AAAAAGqH1y0=")</f>
        <v>1</v>
      </c>
      <c r="AU17" s="1">
        <f>IF(D_Castries_East!28:28,"AAAAAGqH1y4=",0)</f>
        <v>0</v>
      </c>
      <c r="AV17" s="1" t="e">
        <f>AND(D_Castries_East!A28,"AAAAAGqH1y8=")</f>
        <v>#VALUE!</v>
      </c>
      <c r="AW17" s="1" t="e">
        <f>AND(D_Castries_East!B28,"AAAAAGqH1zA=")</f>
        <v>#VALUE!</v>
      </c>
      <c r="AX17" s="1" t="e">
        <f>AND(D_Castries_East!C28,"AAAAAGqH1zE=")</f>
        <v>#VALUE!</v>
      </c>
      <c r="AY17" s="1" t="e">
        <f>AND(D_Castries_East!D28,"AAAAAGqH1zI=")</f>
        <v>#VALUE!</v>
      </c>
      <c r="AZ17" s="1" t="e">
        <f>AND(D_Castries_East!E28,"AAAAAGqH1zM=")</f>
        <v>#VALUE!</v>
      </c>
      <c r="BA17" s="1" t="e">
        <f>AND(D_Castries_East!F28,"AAAAAGqH1zQ=")</f>
        <v>#VALUE!</v>
      </c>
      <c r="BB17" s="1" t="e">
        <f>AND(D_Castries_East!G28,"AAAAAGqH1zU=")</f>
        <v>#VALUE!</v>
      </c>
      <c r="BC17" s="1" t="e">
        <f>AND(D_Castries_East!H28,"AAAAAGqH1zY=")</f>
        <v>#VALUE!</v>
      </c>
      <c r="BD17" s="1" t="e">
        <f>AND(D_Castries_East!I28,"AAAAAGqH1zc=")</f>
        <v>#VALUE!</v>
      </c>
      <c r="BE17" s="1" t="e">
        <f>AND(D_Castries_East!J28,"AAAAAGqH1zg=")</f>
        <v>#VALUE!</v>
      </c>
      <c r="BF17" s="1" t="e">
        <f>AND(D_Castries_East!K28,"AAAAAGqH1zk=")</f>
        <v>#VALUE!</v>
      </c>
      <c r="BG17" s="1" t="e">
        <f>AND(D_Castries_East!L28,"AAAAAGqH1zo=")</f>
        <v>#VALUE!</v>
      </c>
      <c r="BH17" s="1" t="e">
        <f t="shared" ref="BH17:BT17" si="1">IF(D_Castries_East!#REF!,"AAAAAGqH1zs=",0)</f>
        <v>#REF!</v>
      </c>
      <c r="BI17" s="1" t="e">
        <f t="shared" si="1"/>
        <v>#REF!</v>
      </c>
      <c r="BJ17" s="1" t="e">
        <f t="shared" si="1"/>
        <v>#REF!</v>
      </c>
      <c r="BK17" s="1" t="e">
        <f t="shared" si="1"/>
        <v>#REF!</v>
      </c>
      <c r="BL17" s="1" t="e">
        <f t="shared" si="1"/>
        <v>#REF!</v>
      </c>
      <c r="BM17" s="1" t="e">
        <f t="shared" si="1"/>
        <v>#REF!</v>
      </c>
      <c r="BN17" s="1" t="e">
        <f t="shared" si="1"/>
        <v>#REF!</v>
      </c>
      <c r="BO17" s="1" t="e">
        <f t="shared" si="1"/>
        <v>#REF!</v>
      </c>
      <c r="BP17" s="1" t="e">
        <f t="shared" si="1"/>
        <v>#REF!</v>
      </c>
      <c r="BQ17" s="1" t="e">
        <f t="shared" si="1"/>
        <v>#REF!</v>
      </c>
      <c r="BR17" s="1" t="e">
        <f t="shared" si="1"/>
        <v>#REF!</v>
      </c>
      <c r="BS17" s="1" t="e">
        <f t="shared" si="1"/>
        <v>#REF!</v>
      </c>
      <c r="BT17" s="1" t="e">
        <f t="shared" si="1"/>
        <v>#REF!</v>
      </c>
      <c r="BU17" s="1">
        <f>IF(D_Castries_East!29:29,"AAAAAGqH10g=",0)</f>
        <v>0</v>
      </c>
      <c r="BV17" s="1" t="e">
        <f>AND(D_Castries_East!A29,"AAAAAGqH10k=")</f>
        <v>#VALUE!</v>
      </c>
      <c r="BW17" s="1" t="b">
        <f>AND(D_Castries_East!B29,"AAAAAGqH10o=")</f>
        <v>1</v>
      </c>
      <c r="BX17" s="1" t="b">
        <f>AND(D_Castries_East!C29,"AAAAAGqH10s=")</f>
        <v>1</v>
      </c>
      <c r="BY17" s="1" t="b">
        <f>AND(D_Castries_East!D29,"AAAAAGqH10w=")</f>
        <v>1</v>
      </c>
      <c r="BZ17" s="1" t="b">
        <f>AND(D_Castries_East!E29,"AAAAAGqH100=")</f>
        <v>1</v>
      </c>
      <c r="CA17" s="1" t="b">
        <f>AND(D_Castries_East!F29,"AAAAAGqH104=")</f>
        <v>1</v>
      </c>
      <c r="CB17" s="1" t="b">
        <f>AND(D_Castries_East!G29,"AAAAAGqH108=")</f>
        <v>1</v>
      </c>
      <c r="CC17" s="1" t="b">
        <f>AND(D_Castries_East!H29,"AAAAAGqH11A=")</f>
        <v>1</v>
      </c>
      <c r="CD17" s="1" t="b">
        <f>AND(D_Castries_East!I29,"AAAAAGqH11E=")</f>
        <v>1</v>
      </c>
      <c r="CE17" s="1" t="b">
        <f>AND(D_Castries_East!J29,"AAAAAGqH11I=")</f>
        <v>1</v>
      </c>
      <c r="CF17" s="1" t="b">
        <f>AND(D_Castries_East!K29,"AAAAAGqH11M=")</f>
        <v>1</v>
      </c>
      <c r="CG17" s="1" t="b">
        <f>AND(D_Castries_East!L29,"AAAAAGqH11Q=")</f>
        <v>1</v>
      </c>
      <c r="CH17" s="1">
        <f>IF(D_Castries_East!30:30,"AAAAAGqH11U=",0)</f>
        <v>0</v>
      </c>
      <c r="CI17" s="1" t="e">
        <f>AND(D_Castries_East!A30,"AAAAAGqH11Y=")</f>
        <v>#VALUE!</v>
      </c>
      <c r="CJ17" s="1" t="b">
        <f>AND(D_Castries_East!B30,"AAAAAGqH11c=")</f>
        <v>1</v>
      </c>
      <c r="CK17" s="1" t="b">
        <f>AND(D_Castries_East!C30,"AAAAAGqH11g=")</f>
        <v>1</v>
      </c>
      <c r="CL17" s="1" t="b">
        <f>AND(D_Castries_East!D30,"AAAAAGqH11k=")</f>
        <v>1</v>
      </c>
      <c r="CM17" s="1" t="b">
        <f>AND(D_Castries_East!E30,"AAAAAGqH11o=")</f>
        <v>1</v>
      </c>
      <c r="CN17" s="1" t="b">
        <f>AND(D_Castries_East!F30,"AAAAAGqH11s=")</f>
        <v>1</v>
      </c>
      <c r="CO17" s="1" t="b">
        <f>AND(D_Castries_East!G30,"AAAAAGqH11w=")</f>
        <v>1</v>
      </c>
      <c r="CP17" s="1" t="b">
        <f>AND(D_Castries_East!H30,"AAAAAGqH110=")</f>
        <v>1</v>
      </c>
      <c r="CQ17" s="1" t="b">
        <f>AND(D_Castries_East!I30,"AAAAAGqH114=")</f>
        <v>1</v>
      </c>
      <c r="CR17" s="1" t="b">
        <f>AND(D_Castries_East!J30,"AAAAAGqH118=")</f>
        <v>1</v>
      </c>
      <c r="CS17" s="1" t="b">
        <f>AND(D_Castries_East!K30,"AAAAAGqH12A=")</f>
        <v>1</v>
      </c>
      <c r="CT17" s="1" t="b">
        <f>AND(D_Castries_East!L30,"AAAAAGqH12E=")</f>
        <v>1</v>
      </c>
      <c r="CU17" s="1">
        <f>IF(D_Castries_East!31:31,"AAAAAGqH12I=",0)</f>
        <v>0</v>
      </c>
      <c r="CV17" s="1" t="e">
        <f>AND(D_Castries_East!A31,"AAAAAGqH12M=")</f>
        <v>#VALUE!</v>
      </c>
      <c r="CW17" s="1" t="b">
        <f>AND(D_Castries_East!B31,"AAAAAGqH12Q=")</f>
        <v>1</v>
      </c>
      <c r="CX17" s="1" t="b">
        <f>AND(D_Castries_East!C31,"AAAAAGqH12U=")</f>
        <v>1</v>
      </c>
      <c r="CY17" s="1" t="b">
        <f>AND(D_Castries_East!D31,"AAAAAGqH12Y=")</f>
        <v>1</v>
      </c>
      <c r="CZ17" s="1" t="b">
        <f>AND(D_Castries_East!E31,"AAAAAGqH12c=")</f>
        <v>1</v>
      </c>
      <c r="DA17" s="1" t="b">
        <f>AND(D_Castries_East!F31,"AAAAAGqH12g=")</f>
        <v>1</v>
      </c>
      <c r="DB17" s="1" t="b">
        <f>AND(D_Castries_East!G31,"AAAAAGqH12k=")</f>
        <v>1</v>
      </c>
      <c r="DC17" s="1" t="b">
        <f>AND(D_Castries_East!H31,"AAAAAGqH12o=")</f>
        <v>1</v>
      </c>
      <c r="DD17" s="1" t="b">
        <f>AND(D_Castries_East!I31,"AAAAAGqH12s=")</f>
        <v>1</v>
      </c>
      <c r="DE17" s="1" t="b">
        <f>AND(D_Castries_East!J31,"AAAAAGqH12w=")</f>
        <v>1</v>
      </c>
      <c r="DF17" s="1" t="b">
        <f>AND(D_Castries_East!K31,"AAAAAGqH120=")</f>
        <v>1</v>
      </c>
      <c r="DG17" s="1" t="b">
        <f>AND(D_Castries_East!L31,"AAAAAGqH124=")</f>
        <v>1</v>
      </c>
      <c r="DH17" s="1">
        <f>IF(D_Castries_East!32:32,"AAAAAGqH128=",0)</f>
        <v>0</v>
      </c>
      <c r="DI17" s="1" t="e">
        <f>AND(D_Castries_East!A32,"AAAAAGqH13A=")</f>
        <v>#VALUE!</v>
      </c>
      <c r="DJ17" s="1" t="b">
        <f>AND(D_Castries_East!B32,"AAAAAGqH13E=")</f>
        <v>1</v>
      </c>
      <c r="DK17" s="1" t="b">
        <f>AND(D_Castries_East!C32,"AAAAAGqH13I=")</f>
        <v>1</v>
      </c>
      <c r="DL17" s="1" t="b">
        <f>AND(D_Castries_East!D32,"AAAAAGqH13M=")</f>
        <v>1</v>
      </c>
      <c r="DM17" s="1" t="b">
        <f>AND(D_Castries_East!E32,"AAAAAGqH13Q=")</f>
        <v>1</v>
      </c>
      <c r="DN17" s="1" t="b">
        <f>AND(D_Castries_East!F32,"AAAAAGqH13U=")</f>
        <v>1</v>
      </c>
      <c r="DO17" s="1" t="b">
        <f>AND(D_Castries_East!G32,"AAAAAGqH13Y=")</f>
        <v>1</v>
      </c>
      <c r="DP17" s="1" t="b">
        <f>AND(D_Castries_East!H32,"AAAAAGqH13c=")</f>
        <v>1</v>
      </c>
      <c r="DQ17" s="1" t="b">
        <f>AND(D_Castries_East!I32,"AAAAAGqH13g=")</f>
        <v>1</v>
      </c>
      <c r="DR17" s="1" t="b">
        <f>AND(D_Castries_East!J32,"AAAAAGqH13k=")</f>
        <v>1</v>
      </c>
      <c r="DS17" s="1" t="b">
        <f>AND(D_Castries_East!K32,"AAAAAGqH13o=")</f>
        <v>1</v>
      </c>
      <c r="DT17" s="1" t="b">
        <f>AND(D_Castries_East!L32,"AAAAAGqH13s=")</f>
        <v>1</v>
      </c>
      <c r="DU17" s="1">
        <f>IF(D_Castries_East!33:33,"AAAAAGqH13w=",0)</f>
        <v>0</v>
      </c>
      <c r="DV17" s="1" t="e">
        <f>AND(D_Castries_East!A33,"AAAAAGqH130=")</f>
        <v>#VALUE!</v>
      </c>
      <c r="DW17" s="1" t="b">
        <f>AND(D_Castries_East!B33,"AAAAAGqH134=")</f>
        <v>1</v>
      </c>
      <c r="DX17" s="1" t="b">
        <f>AND(D_Castries_East!C33,"AAAAAGqH138=")</f>
        <v>1</v>
      </c>
      <c r="DY17" s="1" t="b">
        <f>AND(D_Castries_East!D33,"AAAAAGqH14A=")</f>
        <v>1</v>
      </c>
      <c r="DZ17" s="1" t="b">
        <f>AND(D_Castries_East!E33,"AAAAAGqH14E=")</f>
        <v>1</v>
      </c>
      <c r="EA17" s="1" t="b">
        <f>AND(D_Castries_East!F33,"AAAAAGqH14I=")</f>
        <v>1</v>
      </c>
      <c r="EB17" s="1" t="b">
        <f>AND(D_Castries_East!G33,"AAAAAGqH14M=")</f>
        <v>1</v>
      </c>
      <c r="EC17" s="1" t="b">
        <f>AND(D_Castries_East!H33,"AAAAAGqH14Q=")</f>
        <v>1</v>
      </c>
      <c r="ED17" s="1" t="b">
        <f>AND(D_Castries_East!I33,"AAAAAGqH14U=")</f>
        <v>1</v>
      </c>
      <c r="EE17" s="1" t="b">
        <f>AND(D_Castries_East!J33,"AAAAAGqH14Y=")</f>
        <v>1</v>
      </c>
      <c r="EF17" s="1" t="b">
        <f>AND(D_Castries_East!K33,"AAAAAGqH14c=")</f>
        <v>1</v>
      </c>
      <c r="EG17" s="1" t="b">
        <f>AND(D_Castries_East!L33,"AAAAAGqH14g=")</f>
        <v>1</v>
      </c>
      <c r="EH17" s="1">
        <f>IF(D_Castries_East!34:34,"AAAAAGqH14k=",0)</f>
        <v>0</v>
      </c>
      <c r="EI17" s="1" t="e">
        <f>AND(D_Castries_East!A34,"AAAAAGqH14o=")</f>
        <v>#VALUE!</v>
      </c>
      <c r="EJ17" s="1" t="b">
        <f>AND(D_Castries_East!B34,"AAAAAGqH14s=")</f>
        <v>1</v>
      </c>
      <c r="EK17" s="1" t="b">
        <f>AND(D_Castries_East!C34,"AAAAAGqH14w=")</f>
        <v>1</v>
      </c>
      <c r="EL17" s="1" t="b">
        <f>AND(D_Castries_East!D34,"AAAAAGqH140=")</f>
        <v>1</v>
      </c>
      <c r="EM17" s="1" t="b">
        <f>AND(D_Castries_East!E34,"AAAAAGqH144=")</f>
        <v>1</v>
      </c>
      <c r="EN17" s="1" t="b">
        <f>AND(D_Castries_East!F34,"AAAAAGqH148=")</f>
        <v>1</v>
      </c>
      <c r="EO17" s="1" t="b">
        <f>AND(D_Castries_East!G34,"AAAAAGqH15A=")</f>
        <v>1</v>
      </c>
      <c r="EP17" s="1" t="b">
        <f>AND(D_Castries_East!H34,"AAAAAGqH15E=")</f>
        <v>1</v>
      </c>
      <c r="EQ17" s="1" t="b">
        <f>AND(D_Castries_East!I34,"AAAAAGqH15I=")</f>
        <v>1</v>
      </c>
      <c r="ER17" s="1" t="b">
        <f>AND(D_Castries_East!J34,"AAAAAGqH15M=")</f>
        <v>1</v>
      </c>
      <c r="ES17" s="1" t="b">
        <f>AND(D_Castries_East!K34,"AAAAAGqH15Q=")</f>
        <v>1</v>
      </c>
      <c r="ET17" s="1" t="b">
        <f>AND(D_Castries_East!L34,"AAAAAGqH15U=")</f>
        <v>1</v>
      </c>
      <c r="EU17" s="1">
        <f>IF(D_Castries_East!35:35,"AAAAAGqH15Y=",0)</f>
        <v>0</v>
      </c>
      <c r="EV17" s="1" t="e">
        <f>AND(D_Castries_East!A35,"AAAAAGqH15c=")</f>
        <v>#VALUE!</v>
      </c>
      <c r="EW17" s="1" t="b">
        <f>AND(D_Castries_East!B35,"AAAAAGqH15g=")</f>
        <v>1</v>
      </c>
      <c r="EX17" s="1" t="b">
        <f>AND(D_Castries_East!C35,"AAAAAGqH15k=")</f>
        <v>1</v>
      </c>
      <c r="EY17" s="1" t="b">
        <f>AND(D_Castries_East!D35,"AAAAAGqH15o=")</f>
        <v>1</v>
      </c>
      <c r="EZ17" s="1" t="b">
        <f>AND(D_Castries_East!E35,"AAAAAGqH15s=")</f>
        <v>1</v>
      </c>
      <c r="FA17" s="1" t="b">
        <f>AND(D_Castries_East!F35,"AAAAAGqH15w=")</f>
        <v>1</v>
      </c>
      <c r="FB17" s="1" t="b">
        <f>AND(D_Castries_East!G35,"AAAAAGqH150=")</f>
        <v>1</v>
      </c>
      <c r="FC17" s="1" t="b">
        <f>AND(D_Castries_East!H35,"AAAAAGqH154=")</f>
        <v>1</v>
      </c>
      <c r="FD17" s="1" t="b">
        <f>AND(D_Castries_East!I35,"AAAAAGqH158=")</f>
        <v>1</v>
      </c>
      <c r="FE17" s="1" t="b">
        <f>AND(D_Castries_East!J35,"AAAAAGqH16A=")</f>
        <v>1</v>
      </c>
      <c r="FF17" s="1" t="b">
        <f>AND(D_Castries_East!K35,"AAAAAGqH16E=")</f>
        <v>1</v>
      </c>
      <c r="FG17" s="1" t="b">
        <f>AND(D_Castries_East!L35,"AAAAAGqH16I=")</f>
        <v>1</v>
      </c>
      <c r="FH17" s="1">
        <f>IF(D_Castries_East!39:39,"AAAAAGqH16M=",0)</f>
        <v>0</v>
      </c>
      <c r="FI17" s="1" t="e">
        <f>AND(D_Castries_East!A39,"AAAAAGqH16Q=")</f>
        <v>#VALUE!</v>
      </c>
      <c r="FJ17" s="1" t="b">
        <f>AND(D_Castries_East!B39,"AAAAAGqH16U=")</f>
        <v>1</v>
      </c>
      <c r="FK17" s="1" t="b">
        <f>AND(D_Castries_East!C39,"AAAAAGqH16Y=")</f>
        <v>1</v>
      </c>
      <c r="FL17" s="1" t="b">
        <f>AND(D_Castries_East!D39,"AAAAAGqH16c=")</f>
        <v>1</v>
      </c>
      <c r="FM17" s="1" t="b">
        <f>AND(D_Castries_East!E39,"AAAAAGqH16g=")</f>
        <v>1</v>
      </c>
      <c r="FN17" s="1" t="b">
        <f>AND(D_Castries_East!F39,"AAAAAGqH16k=")</f>
        <v>1</v>
      </c>
      <c r="FO17" s="1" t="b">
        <f>AND(D_Castries_East!G39,"AAAAAGqH16o=")</f>
        <v>1</v>
      </c>
      <c r="FP17" s="1" t="b">
        <f>AND(D_Castries_East!H39,"AAAAAGqH16s=")</f>
        <v>1</v>
      </c>
      <c r="FQ17" s="1" t="b">
        <f>AND(D_Castries_East!I39,"AAAAAGqH16w=")</f>
        <v>1</v>
      </c>
      <c r="FR17" s="1" t="b">
        <f>AND(D_Castries_East!J39,"AAAAAGqH160=")</f>
        <v>1</v>
      </c>
      <c r="FS17" s="1" t="b">
        <f>AND(D_Castries_East!K39,"AAAAAGqH164=")</f>
        <v>1</v>
      </c>
      <c r="FT17" s="1" t="b">
        <f>AND(D_Castries_East!L39,"AAAAAGqH168=")</f>
        <v>1</v>
      </c>
      <c r="FU17" s="1">
        <f>IF(D_Castries_East!41:41,"AAAAAGqH17A=",0)</f>
        <v>0</v>
      </c>
      <c r="FV17" s="1" t="e">
        <f>AND(D_Castries_East!A41,"AAAAAGqH17E=")</f>
        <v>#VALUE!</v>
      </c>
      <c r="FW17" s="1" t="e">
        <f>AND(D_Castries_East!B41,"AAAAAGqH17I=")</f>
        <v>#VALUE!</v>
      </c>
      <c r="FX17" s="1" t="e">
        <f>AND(D_Castries_East!C41,"AAAAAGqH17M=")</f>
        <v>#VALUE!</v>
      </c>
      <c r="FY17" s="1" t="e">
        <f>AND(D_Castries_East!D41,"AAAAAGqH17Q=")</f>
        <v>#VALUE!</v>
      </c>
      <c r="FZ17" s="1" t="e">
        <f>AND(D_Castries_East!E41,"AAAAAGqH17U=")</f>
        <v>#VALUE!</v>
      </c>
      <c r="GA17" s="1" t="e">
        <f>AND(D_Castries_East!F41,"AAAAAGqH17Y=")</f>
        <v>#VALUE!</v>
      </c>
      <c r="GB17" s="1" t="e">
        <f>AND(D_Castries_East!G41,"AAAAAGqH17c=")</f>
        <v>#VALUE!</v>
      </c>
      <c r="GC17" s="1" t="e">
        <f>AND(D_Castries_East!H41,"AAAAAGqH17g=")</f>
        <v>#VALUE!</v>
      </c>
      <c r="GD17" s="1" t="e">
        <f>AND(D_Castries_East!I41,"AAAAAGqH17k=")</f>
        <v>#VALUE!</v>
      </c>
      <c r="GE17" s="1" t="e">
        <f>AND(D_Castries_East!J41,"AAAAAGqH17o=")</f>
        <v>#VALUE!</v>
      </c>
      <c r="GF17" s="1" t="e">
        <f>AND(D_Castries_East!K41,"AAAAAGqH17s=")</f>
        <v>#VALUE!</v>
      </c>
      <c r="GG17" s="1" t="e">
        <f>AND(D_Castries_East!L41,"AAAAAGqH17w=")</f>
        <v>#VALUE!</v>
      </c>
      <c r="GH17" s="1">
        <f>IF(D_Castries_East!42:42,"AAAAAGqH170=",0)</f>
        <v>0</v>
      </c>
      <c r="GI17" s="1" t="e">
        <f>AND(D_Castries_East!A42,"AAAAAGqH174=")</f>
        <v>#VALUE!</v>
      </c>
      <c r="GJ17" s="1" t="b">
        <f>AND(D_Castries_East!B42,"AAAAAGqH178=")</f>
        <v>1</v>
      </c>
      <c r="GK17" s="1" t="b">
        <f>AND(D_Castries_East!C42,"AAAAAGqH18A=")</f>
        <v>1</v>
      </c>
      <c r="GL17" s="1" t="b">
        <f>AND(D_Castries_East!D42,"AAAAAGqH18E=")</f>
        <v>1</v>
      </c>
      <c r="GM17" s="1" t="b">
        <f>AND(D_Castries_East!E42,"AAAAAGqH18I=")</f>
        <v>1</v>
      </c>
      <c r="GN17" s="1" t="b">
        <f>AND(D_Castries_East!F42,"AAAAAGqH18M=")</f>
        <v>1</v>
      </c>
      <c r="GO17" s="1" t="b">
        <f>AND(D_Castries_East!G42,"AAAAAGqH18Q=")</f>
        <v>1</v>
      </c>
      <c r="GP17" s="1" t="b">
        <f>AND(D_Castries_East!H42,"AAAAAGqH18U=")</f>
        <v>1</v>
      </c>
      <c r="GQ17" s="1" t="b">
        <f>AND(D_Castries_East!I42,"AAAAAGqH18Y=")</f>
        <v>1</v>
      </c>
      <c r="GR17" s="1" t="b">
        <f>AND(D_Castries_East!J42,"AAAAAGqH18c=")</f>
        <v>1</v>
      </c>
      <c r="GS17" s="1" t="b">
        <f>AND(D_Castries_East!K42,"AAAAAGqH18g=")</f>
        <v>1</v>
      </c>
      <c r="GT17" s="1" t="b">
        <f>AND(D_Castries_East!L42,"AAAAAGqH18k=")</f>
        <v>1</v>
      </c>
      <c r="GU17" s="1">
        <f>IF(D_Castries_East!43:43,"AAAAAGqH18o=",0)</f>
        <v>0</v>
      </c>
      <c r="GV17" s="1" t="e">
        <f>AND(D_Castries_East!A43,"AAAAAGqH18s=")</f>
        <v>#VALUE!</v>
      </c>
      <c r="GW17" s="1" t="b">
        <f>AND(D_Castries_East!B43,"AAAAAGqH18w=")</f>
        <v>1</v>
      </c>
      <c r="GX17" s="1" t="b">
        <f>AND(D_Castries_East!C43,"AAAAAGqH180=")</f>
        <v>1</v>
      </c>
      <c r="GY17" s="1" t="b">
        <f>AND(D_Castries_East!D43,"AAAAAGqH184=")</f>
        <v>1</v>
      </c>
      <c r="GZ17" s="1" t="b">
        <f>AND(D_Castries_East!E43,"AAAAAGqH188=")</f>
        <v>1</v>
      </c>
      <c r="HA17" s="1" t="b">
        <f>AND(D_Castries_East!F43,"AAAAAGqH19A=")</f>
        <v>1</v>
      </c>
      <c r="HB17" s="1" t="b">
        <f>AND(D_Castries_East!G43,"AAAAAGqH19E=")</f>
        <v>1</v>
      </c>
      <c r="HC17" s="1" t="b">
        <f>AND(D_Castries_East!H43,"AAAAAGqH19I=")</f>
        <v>1</v>
      </c>
      <c r="HD17" s="1" t="b">
        <f>AND(D_Castries_East!I43,"AAAAAGqH19M=")</f>
        <v>1</v>
      </c>
      <c r="HE17" s="1" t="b">
        <f>AND(D_Castries_East!J43,"AAAAAGqH19Q=")</f>
        <v>1</v>
      </c>
      <c r="HF17" s="1" t="b">
        <f>AND(D_Castries_East!K43,"AAAAAGqH19U=")</f>
        <v>1</v>
      </c>
      <c r="HG17" s="1" t="b">
        <f>AND(D_Castries_East!L43,"AAAAAGqH19Y=")</f>
        <v>1</v>
      </c>
      <c r="HH17" s="1">
        <f>IF(D_Castries_East!44:44,"AAAAAGqH19c=",0)</f>
        <v>0</v>
      </c>
      <c r="HI17" s="1" t="e">
        <f>AND(D_Castries_East!A44,"AAAAAGqH19g=")</f>
        <v>#VALUE!</v>
      </c>
      <c r="HJ17" s="1" t="b">
        <f>AND(D_Castries_East!B44,"AAAAAGqH19k=")</f>
        <v>1</v>
      </c>
      <c r="HK17" s="1" t="b">
        <f>AND(D_Castries_East!C44,"AAAAAGqH19o=")</f>
        <v>1</v>
      </c>
      <c r="HL17" s="1" t="b">
        <f>AND(D_Castries_East!D44,"AAAAAGqH19s=")</f>
        <v>1</v>
      </c>
      <c r="HM17" s="1" t="b">
        <f>AND(D_Castries_East!E44,"AAAAAGqH19w=")</f>
        <v>1</v>
      </c>
      <c r="HN17" s="1" t="b">
        <f>AND(D_Castries_East!F44,"AAAAAGqH190=")</f>
        <v>1</v>
      </c>
      <c r="HO17" s="1" t="b">
        <f>AND(D_Castries_East!G44,"AAAAAGqH194=")</f>
        <v>1</v>
      </c>
      <c r="HP17" s="1" t="b">
        <f>AND(D_Castries_East!H44,"AAAAAGqH198=")</f>
        <v>1</v>
      </c>
      <c r="HQ17" s="1" t="b">
        <f>AND(D_Castries_East!I44,"AAAAAGqH1+A=")</f>
        <v>1</v>
      </c>
      <c r="HR17" s="1" t="b">
        <f>AND(D_Castries_East!J44,"AAAAAGqH1+E=")</f>
        <v>1</v>
      </c>
      <c r="HS17" s="1" t="b">
        <f>AND(D_Castries_East!K44,"AAAAAGqH1+I=")</f>
        <v>1</v>
      </c>
      <c r="HT17" s="1" t="b">
        <f>AND(D_Castries_East!L44,"AAAAAGqH1+M=")</f>
        <v>1</v>
      </c>
      <c r="HU17" s="1">
        <f>IF(D_Castries_East!45:45,"AAAAAGqH1+Q=",0)</f>
        <v>0</v>
      </c>
      <c r="HV17" s="1" t="e">
        <f>AND(D_Castries_East!A45,"AAAAAGqH1+U=")</f>
        <v>#VALUE!</v>
      </c>
      <c r="HW17" s="1" t="b">
        <f>AND(D_Castries_East!B45,"AAAAAGqH1+Y=")</f>
        <v>1</v>
      </c>
      <c r="HX17" s="1" t="b">
        <f>AND(D_Castries_East!C45,"AAAAAGqH1+c=")</f>
        <v>1</v>
      </c>
      <c r="HY17" s="1" t="b">
        <f>AND(D_Castries_East!D45,"AAAAAGqH1+g=")</f>
        <v>1</v>
      </c>
      <c r="HZ17" s="1" t="b">
        <f>AND(D_Castries_East!E45,"AAAAAGqH1+k=")</f>
        <v>1</v>
      </c>
      <c r="IA17" s="1" t="b">
        <f>AND(D_Castries_East!F45,"AAAAAGqH1+o=")</f>
        <v>1</v>
      </c>
      <c r="IB17" s="1" t="b">
        <f>AND(D_Castries_East!G45,"AAAAAGqH1+s=")</f>
        <v>1</v>
      </c>
      <c r="IC17" s="1" t="b">
        <f>AND(D_Castries_East!H45,"AAAAAGqH1+w=")</f>
        <v>1</v>
      </c>
      <c r="ID17" s="1" t="b">
        <f>AND(D_Castries_East!I45,"AAAAAGqH1+0=")</f>
        <v>1</v>
      </c>
      <c r="IE17" s="1" t="b">
        <f>AND(D_Castries_East!J45,"AAAAAGqH1+4=")</f>
        <v>1</v>
      </c>
      <c r="IF17" s="1" t="b">
        <f>AND(D_Castries_East!K45,"AAAAAGqH1+8=")</f>
        <v>1</v>
      </c>
      <c r="IG17" s="1" t="b">
        <f>AND(D_Castries_East!L45,"AAAAAGqH1/A=")</f>
        <v>1</v>
      </c>
      <c r="IH17" s="1">
        <f>IF(D_Castries_East!46:46,"AAAAAGqH1/E=",0)</f>
        <v>0</v>
      </c>
      <c r="II17" s="1" t="e">
        <f>AND(D_Castries_East!A46,"AAAAAGqH1/I=")</f>
        <v>#VALUE!</v>
      </c>
      <c r="IJ17" s="1" t="e">
        <f>AND(D_Castries_East!B46,"AAAAAGqH1/M=")</f>
        <v>#VALUE!</v>
      </c>
      <c r="IK17" s="1" t="e">
        <f>AND(D_Castries_East!C46,"AAAAAGqH1/Q=")</f>
        <v>#VALUE!</v>
      </c>
      <c r="IL17" s="1" t="e">
        <f>AND(D_Castries_East!D46,"AAAAAGqH1/U=")</f>
        <v>#VALUE!</v>
      </c>
      <c r="IM17" s="1" t="e">
        <f>AND(D_Castries_East!E46,"AAAAAGqH1/Y=")</f>
        <v>#VALUE!</v>
      </c>
      <c r="IN17" s="1" t="e">
        <f>AND(D_Castries_East!F46,"AAAAAGqH1/c=")</f>
        <v>#VALUE!</v>
      </c>
      <c r="IO17" s="1" t="e">
        <f>AND(D_Castries_East!G46,"AAAAAGqH1/g=")</f>
        <v>#VALUE!</v>
      </c>
      <c r="IP17" s="1" t="e">
        <f>AND(D_Castries_East!H46,"AAAAAGqH1/k=")</f>
        <v>#VALUE!</v>
      </c>
      <c r="IQ17" s="1" t="e">
        <f>AND(D_Castries_East!I46,"AAAAAGqH1/o=")</f>
        <v>#VALUE!</v>
      </c>
      <c r="IR17" s="1" t="e">
        <f>AND(D_Castries_East!J46,"AAAAAGqH1/s=")</f>
        <v>#VALUE!</v>
      </c>
      <c r="IS17" s="1" t="e">
        <f>AND(D_Castries_East!K46,"AAAAAGqH1/w=")</f>
        <v>#VALUE!</v>
      </c>
      <c r="IT17" s="1" t="e">
        <f>AND(D_Castries_East!L46,"AAAAAGqH1/0=")</f>
        <v>#VALUE!</v>
      </c>
      <c r="IU17" s="1" t="e">
        <f>IF(D_Castries_East!#REF!,"AAAAAGqH1/4=",0)</f>
        <v>#REF!</v>
      </c>
      <c r="IV17" s="1" t="e">
        <f>IF(D_Castries_East!#REF!,"AAAAAGqH1/4=",0)</f>
        <v>#REF!</v>
      </c>
    </row>
    <row r="18" spans="1:256" ht="12" customHeight="1" x14ac:dyDescent="0.2">
      <c r="A18" s="1" t="e">
        <f t="shared" ref="A18:K18" si="2">AND(D_Castries_East!#REF!,"AAAAAH69/wA=")</f>
        <v>#REF!</v>
      </c>
      <c r="B18" s="1" t="e">
        <f t="shared" si="2"/>
        <v>#REF!</v>
      </c>
      <c r="C18" s="1" t="e">
        <f t="shared" si="2"/>
        <v>#REF!</v>
      </c>
      <c r="D18" s="1" t="e">
        <f t="shared" si="2"/>
        <v>#REF!</v>
      </c>
      <c r="E18" s="1" t="e">
        <f t="shared" si="2"/>
        <v>#REF!</v>
      </c>
      <c r="F18" s="1" t="e">
        <f t="shared" si="2"/>
        <v>#REF!</v>
      </c>
      <c r="G18" s="1" t="e">
        <f t="shared" si="2"/>
        <v>#REF!</v>
      </c>
      <c r="H18" s="1" t="e">
        <f t="shared" si="2"/>
        <v>#REF!</v>
      </c>
      <c r="I18" s="1" t="e">
        <f t="shared" si="2"/>
        <v>#REF!</v>
      </c>
      <c r="J18" s="1" t="e">
        <f t="shared" si="2"/>
        <v>#REF!</v>
      </c>
      <c r="K18" s="1" t="e">
        <f t="shared" si="2"/>
        <v>#REF!</v>
      </c>
      <c r="L18" s="1" t="str">
        <f>IF(D_Castries_East!47:47,"AAAAAH69/ws=",0)</f>
        <v>AAAAAH69/ws=</v>
      </c>
      <c r="M18" s="1" t="e">
        <f>AND(D_Castries_East!A47,"AAAAAH69/ww=")</f>
        <v>#VALUE!</v>
      </c>
      <c r="N18" s="1" t="b">
        <f>AND(D_Castries_East!B47,"AAAAAH69/w0=")</f>
        <v>1</v>
      </c>
      <c r="O18" s="1" t="b">
        <f>AND(D_Castries_East!C47,"AAAAAH69/w4=")</f>
        <v>1</v>
      </c>
      <c r="P18" s="1" t="b">
        <f>AND(D_Castries_East!D47,"AAAAAH69/w8=")</f>
        <v>1</v>
      </c>
      <c r="Q18" s="1" t="b">
        <f>AND(D_Castries_East!E47,"AAAAAH69/xA=")</f>
        <v>1</v>
      </c>
      <c r="R18" s="1" t="b">
        <f>AND(D_Castries_East!F47,"AAAAAH69/xE=")</f>
        <v>1</v>
      </c>
      <c r="S18" s="1" t="b">
        <f>AND(D_Castries_East!G47,"AAAAAH69/xI=")</f>
        <v>1</v>
      </c>
      <c r="T18" s="1" t="b">
        <f>AND(D_Castries_East!H47,"AAAAAH69/xM=")</f>
        <v>1</v>
      </c>
      <c r="U18" s="1" t="b">
        <f>AND(D_Castries_East!I47,"AAAAAH69/xQ=")</f>
        <v>1</v>
      </c>
      <c r="V18" s="1" t="b">
        <f>AND(D_Castries_East!J47,"AAAAAH69/xU=")</f>
        <v>1</v>
      </c>
      <c r="W18" s="1" t="b">
        <f>AND(D_Castries_East!K47,"AAAAAH69/xY=")</f>
        <v>1</v>
      </c>
      <c r="X18" s="1" t="b">
        <f>AND(D_Castries_East!L47,"AAAAAH69/xc=")</f>
        <v>1</v>
      </c>
      <c r="Y18" s="1">
        <f>IF(D_Castries_East!48:48,"AAAAAH69/xg=",0)</f>
        <v>0</v>
      </c>
      <c r="Z18" s="1" t="e">
        <f>AND(D_Castries_East!A48,"AAAAAH69/xk=")</f>
        <v>#VALUE!</v>
      </c>
      <c r="AA18" s="1" t="b">
        <f>AND(D_Castries_East!B48,"AAAAAH69/xo=")</f>
        <v>1</v>
      </c>
      <c r="AB18" s="1" t="b">
        <f>AND(D_Castries_East!C48,"AAAAAH69/xs=")</f>
        <v>1</v>
      </c>
      <c r="AC18" s="1" t="b">
        <f>AND(D_Castries_East!D48,"AAAAAH69/xw=")</f>
        <v>1</v>
      </c>
      <c r="AD18" s="1" t="b">
        <f>AND(D_Castries_East!E48,"AAAAAH69/x0=")</f>
        <v>1</v>
      </c>
      <c r="AE18" s="1" t="b">
        <f>AND(D_Castries_East!F48,"AAAAAH69/x4=")</f>
        <v>1</v>
      </c>
      <c r="AF18" s="1" t="b">
        <f>AND(D_Castries_East!G48,"AAAAAH69/x8=")</f>
        <v>0</v>
      </c>
      <c r="AG18" s="1" t="b">
        <f>AND(D_Castries_East!H48,"AAAAAH69/yA=")</f>
        <v>0</v>
      </c>
      <c r="AH18" s="1" t="b">
        <f>AND(D_Castries_East!I48,"AAAAAH69/yE=")</f>
        <v>1</v>
      </c>
      <c r="AI18" s="1" t="b">
        <f>AND(D_Castries_East!J48,"AAAAAH69/yI=")</f>
        <v>1</v>
      </c>
      <c r="AJ18" s="1" t="b">
        <f>AND(D_Castries_East!K48,"AAAAAH69/yM=")</f>
        <v>1</v>
      </c>
      <c r="AK18" s="1" t="b">
        <f>AND(D_Castries_East!L48,"AAAAAH69/yQ=")</f>
        <v>1</v>
      </c>
      <c r="AL18" s="1">
        <f>IF(D_Castries_East!49:49,"AAAAAH69/yU=",0)</f>
        <v>0</v>
      </c>
      <c r="AM18" s="1" t="e">
        <f>AND(D_Castries_East!A49,"AAAAAH69/yY=")</f>
        <v>#VALUE!</v>
      </c>
      <c r="AN18" s="1" t="b">
        <f>AND(D_Castries_East!B49,"AAAAAH69/yc=")</f>
        <v>1</v>
      </c>
      <c r="AO18" s="1" t="b">
        <f>AND(D_Castries_East!C49,"AAAAAH69/yg=")</f>
        <v>1</v>
      </c>
      <c r="AP18" s="1" t="b">
        <f>AND(D_Castries_East!D49,"AAAAAH69/yk=")</f>
        <v>1</v>
      </c>
      <c r="AQ18" s="1" t="b">
        <f>AND(D_Castries_East!E49,"AAAAAH69/yo=")</f>
        <v>1</v>
      </c>
      <c r="AR18" s="1" t="b">
        <f>AND(D_Castries_East!F49,"AAAAAH69/ys=")</f>
        <v>1</v>
      </c>
      <c r="AS18" s="1" t="b">
        <f>AND(D_Castries_East!G49,"AAAAAH69/yw=")</f>
        <v>1</v>
      </c>
      <c r="AT18" s="1" t="b">
        <f>AND(D_Castries_East!H49,"AAAAAH69/y0=")</f>
        <v>1</v>
      </c>
      <c r="AU18" s="1" t="b">
        <f>AND(D_Castries_East!I49,"AAAAAH69/y4=")</f>
        <v>1</v>
      </c>
      <c r="AV18" s="1" t="b">
        <f>AND(D_Castries_East!J49,"AAAAAH69/y8=")</f>
        <v>1</v>
      </c>
      <c r="AW18" s="1" t="b">
        <f>AND(D_Castries_East!K49,"AAAAAH69/zA=")</f>
        <v>1</v>
      </c>
      <c r="AX18" s="1" t="b">
        <f>AND(D_Castries_East!L49,"AAAAAH69/zE=")</f>
        <v>1</v>
      </c>
      <c r="AY18" s="1" t="e">
        <f>IF(D_Castries_East!#REF!,"AAAAAH69/zI=",0)</f>
        <v>#REF!</v>
      </c>
      <c r="AZ18" s="1" t="e">
        <f>AND(D_Castries_East!#REF!,"AAAAAH69/zM=")</f>
        <v>#REF!</v>
      </c>
      <c r="BA18" s="1" t="e">
        <f>AND(D_Castries_East!#REF!,"AAAAAH69/zQ=")</f>
        <v>#REF!</v>
      </c>
      <c r="BB18" s="1" t="e">
        <f>AND(D_Castries_East!#REF!,"AAAAAH69/zU=")</f>
        <v>#REF!</v>
      </c>
      <c r="BC18" s="1" t="e">
        <f>AND(D_Castries_East!#REF!,"AAAAAH69/zY=")</f>
        <v>#REF!</v>
      </c>
      <c r="BD18" s="1" t="e">
        <f>AND(D_Castries_East!#REF!,"AAAAAH69/zc=")</f>
        <v>#REF!</v>
      </c>
      <c r="BE18" s="1" t="e">
        <f>AND(D_Castries_East!#REF!,"AAAAAH69/zg=")</f>
        <v>#REF!</v>
      </c>
      <c r="BF18" s="1" t="e">
        <f>AND(D_Castries_East!#REF!,"AAAAAH69/zk=")</f>
        <v>#REF!</v>
      </c>
      <c r="BG18" s="1" t="e">
        <f>AND(D_Castries_East!#REF!,"AAAAAH69/zo=")</f>
        <v>#REF!</v>
      </c>
      <c r="BH18" s="1" t="e">
        <f>AND(D_Castries_East!#REF!,"AAAAAH69/zs=")</f>
        <v>#REF!</v>
      </c>
      <c r="BI18" s="1" t="e">
        <f>AND(D_Castries_East!#REF!,"AAAAAH69/zw=")</f>
        <v>#REF!</v>
      </c>
      <c r="BJ18" s="1" t="e">
        <f>AND(D_Castries_East!#REF!,"AAAAAH69/z0=")</f>
        <v>#REF!</v>
      </c>
      <c r="BK18" s="1" t="e">
        <f>AND(D_Castries_East!#REF!,"AAAAAH69/z4=")</f>
        <v>#REF!</v>
      </c>
      <c r="BL18" s="1" t="e">
        <f>IF(D_Castries_East!#REF!,"AAAAAH69/z8=",0)</f>
        <v>#REF!</v>
      </c>
      <c r="BM18" s="1" t="e">
        <f>AND(D_Castries_East!#REF!,"AAAAAH69/0A=")</f>
        <v>#REF!</v>
      </c>
      <c r="BN18" s="1" t="e">
        <f>AND(D_Castries_East!#REF!,"AAAAAH69/0E=")</f>
        <v>#REF!</v>
      </c>
      <c r="BO18" s="1" t="e">
        <f>AND(D_Castries_East!#REF!,"AAAAAH69/0I=")</f>
        <v>#REF!</v>
      </c>
      <c r="BP18" s="1" t="e">
        <f>AND(D_Castries_East!#REF!,"AAAAAH69/0M=")</f>
        <v>#REF!</v>
      </c>
      <c r="BQ18" s="1" t="e">
        <f>AND(D_Castries_East!#REF!,"AAAAAH69/0Q=")</f>
        <v>#REF!</v>
      </c>
      <c r="BR18" s="1" t="e">
        <f>AND(D_Castries_East!#REF!,"AAAAAH69/0U=")</f>
        <v>#REF!</v>
      </c>
      <c r="BS18" s="1" t="e">
        <f>AND(D_Castries_East!#REF!,"AAAAAH69/0Y=")</f>
        <v>#REF!</v>
      </c>
      <c r="BT18" s="1" t="e">
        <f>AND(D_Castries_East!#REF!,"AAAAAH69/0c=")</f>
        <v>#REF!</v>
      </c>
      <c r="BU18" s="1" t="e">
        <f>AND(D_Castries_East!#REF!,"AAAAAH69/0g=")</f>
        <v>#REF!</v>
      </c>
      <c r="BV18" s="1" t="e">
        <f>AND(D_Castries_East!#REF!,"AAAAAH69/0k=")</f>
        <v>#REF!</v>
      </c>
      <c r="BW18" s="1" t="e">
        <f>AND(D_Castries_East!#REF!,"AAAAAH69/0o=")</f>
        <v>#REF!</v>
      </c>
      <c r="BX18" s="1" t="e">
        <f>AND(D_Castries_East!#REF!,"AAAAAH69/0s=")</f>
        <v>#REF!</v>
      </c>
      <c r="BY18" s="1">
        <f>IF(D_Castries_East!50:50,"AAAAAH69/0w=",0)</f>
        <v>0</v>
      </c>
      <c r="BZ18" s="1" t="e">
        <f>AND(D_Castries_East!A50,"AAAAAH69/00=")</f>
        <v>#VALUE!</v>
      </c>
      <c r="CA18" s="1" t="b">
        <f>AND(D_Castries_East!B50,"AAAAAH69/04=")</f>
        <v>1</v>
      </c>
      <c r="CB18" s="1" t="b">
        <f>AND(D_Castries_East!C50,"AAAAAH69/08=")</f>
        <v>1</v>
      </c>
      <c r="CC18" s="1" t="b">
        <f>AND(D_Castries_East!D50,"AAAAAH69/1A=")</f>
        <v>1</v>
      </c>
      <c r="CD18" s="1" t="b">
        <f>AND(D_Castries_East!E50,"AAAAAH69/1E=")</f>
        <v>1</v>
      </c>
      <c r="CE18" s="1" t="b">
        <f>AND(D_Castries_East!F50,"AAAAAH69/1I=")</f>
        <v>1</v>
      </c>
      <c r="CF18" s="1" t="b">
        <f>AND(D_Castries_East!G50,"AAAAAH69/1M=")</f>
        <v>1</v>
      </c>
      <c r="CG18" s="1" t="b">
        <f>AND(D_Castries_East!H50,"AAAAAH69/1Q=")</f>
        <v>1</v>
      </c>
      <c r="CH18" s="1" t="b">
        <f>AND(D_Castries_East!I50,"AAAAAH69/1U=")</f>
        <v>1</v>
      </c>
      <c r="CI18" s="1" t="b">
        <f>AND(D_Castries_East!J50,"AAAAAH69/1Y=")</f>
        <v>1</v>
      </c>
      <c r="CJ18" s="1" t="b">
        <f>AND(D_Castries_East!K50,"AAAAAH69/1c=")</f>
        <v>1</v>
      </c>
      <c r="CK18" s="1" t="b">
        <f>AND(D_Castries_East!L50,"AAAAAH69/1g=")</f>
        <v>1</v>
      </c>
      <c r="CL18" s="1" t="e">
        <f>IF(D_Castries_East!#REF!,"AAAAAH69/1k=",0)</f>
        <v>#REF!</v>
      </c>
      <c r="CM18" s="1" t="e">
        <f>AND(D_Castries_East!#REF!,"AAAAAH69/1o=")</f>
        <v>#REF!</v>
      </c>
      <c r="CN18" s="1" t="e">
        <f>AND(D_Castries_East!#REF!,"AAAAAH69/1s=")</f>
        <v>#REF!</v>
      </c>
      <c r="CO18" s="1" t="e">
        <f>AND(D_Castries_East!#REF!,"AAAAAH69/1w=")</f>
        <v>#REF!</v>
      </c>
      <c r="CP18" s="1" t="e">
        <f>AND(D_Castries_East!#REF!,"AAAAAH69/10=")</f>
        <v>#REF!</v>
      </c>
      <c r="CQ18" s="1" t="e">
        <f>AND(D_Castries_East!#REF!,"AAAAAH69/14=")</f>
        <v>#REF!</v>
      </c>
      <c r="CR18" s="1" t="e">
        <f>AND(D_Castries_East!#REF!,"AAAAAH69/18=")</f>
        <v>#REF!</v>
      </c>
      <c r="CS18" s="1" t="e">
        <f>AND(D_Castries_East!#REF!,"AAAAAH69/2A=")</f>
        <v>#REF!</v>
      </c>
      <c r="CT18" s="1" t="e">
        <f>AND(D_Castries_East!#REF!,"AAAAAH69/2E=")</f>
        <v>#REF!</v>
      </c>
      <c r="CU18" s="1" t="e">
        <f>AND(D_Castries_East!#REF!,"AAAAAH69/2I=")</f>
        <v>#REF!</v>
      </c>
      <c r="CV18" s="1" t="e">
        <f>AND(D_Castries_East!#REF!,"AAAAAH69/2M=")</f>
        <v>#REF!</v>
      </c>
      <c r="CW18" s="1" t="e">
        <f>AND(D_Castries_East!#REF!,"AAAAAH69/2Q=")</f>
        <v>#REF!</v>
      </c>
      <c r="CX18" s="1" t="e">
        <f>AND(D_Castries_East!#REF!,"AAAAAH69/2U=")</f>
        <v>#REF!</v>
      </c>
      <c r="CY18" s="1" t="e">
        <f>IF(D_Castries_East!#REF!,"AAAAAH69/2Y=",0)</f>
        <v>#REF!</v>
      </c>
      <c r="CZ18" s="1" t="e">
        <f>AND(D_Castries_East!#REF!,"AAAAAH69/2c=")</f>
        <v>#REF!</v>
      </c>
      <c r="DA18" s="1" t="e">
        <f>AND(D_Castries_East!#REF!,"AAAAAH69/2g=")</f>
        <v>#REF!</v>
      </c>
      <c r="DB18" s="1" t="e">
        <f>AND(D_Castries_East!#REF!,"AAAAAH69/2k=")</f>
        <v>#REF!</v>
      </c>
      <c r="DC18" s="1" t="e">
        <f>AND(D_Castries_East!#REF!,"AAAAAH69/2o=")</f>
        <v>#REF!</v>
      </c>
      <c r="DD18" s="1" t="e">
        <f>AND(D_Castries_East!#REF!,"AAAAAH69/2s=")</f>
        <v>#REF!</v>
      </c>
      <c r="DE18" s="1" t="e">
        <f>AND(D_Castries_East!#REF!,"AAAAAH69/2w=")</f>
        <v>#REF!</v>
      </c>
      <c r="DF18" s="1" t="e">
        <f>AND(D_Castries_East!#REF!,"AAAAAH69/20=")</f>
        <v>#REF!</v>
      </c>
      <c r="DG18" s="1" t="e">
        <f>AND(D_Castries_East!#REF!,"AAAAAH69/24=")</f>
        <v>#REF!</v>
      </c>
      <c r="DH18" s="1" t="e">
        <f>AND(D_Castries_East!#REF!,"AAAAAH69/28=")</f>
        <v>#REF!</v>
      </c>
      <c r="DI18" s="1" t="e">
        <f>AND(D_Castries_East!#REF!,"AAAAAH69/3A=")</f>
        <v>#REF!</v>
      </c>
      <c r="DJ18" s="1" t="e">
        <f>AND(D_Castries_East!#REF!,"AAAAAH69/3E=")</f>
        <v>#REF!</v>
      </c>
      <c r="DK18" s="1" t="e">
        <f>AND(D_Castries_East!#REF!,"AAAAAH69/3I=")</f>
        <v>#REF!</v>
      </c>
      <c r="DL18" s="1" t="e">
        <f>IF(D_Castries_East!#REF!,"AAAAAH69/3M=",0)</f>
        <v>#REF!</v>
      </c>
      <c r="DM18" s="1" t="e">
        <f>AND(D_Castries_East!#REF!,"AAAAAH69/3Q=")</f>
        <v>#REF!</v>
      </c>
      <c r="DN18" s="1" t="e">
        <f>AND(D_Castries_East!#REF!,"AAAAAH69/3U=")</f>
        <v>#REF!</v>
      </c>
      <c r="DO18" s="1" t="e">
        <f>AND(D_Castries_East!#REF!,"AAAAAH69/3Y=")</f>
        <v>#REF!</v>
      </c>
      <c r="DP18" s="1" t="e">
        <f>AND(D_Castries_East!#REF!,"AAAAAH69/3c=")</f>
        <v>#REF!</v>
      </c>
      <c r="DQ18" s="1" t="e">
        <f>AND(D_Castries_East!#REF!,"AAAAAH69/3g=")</f>
        <v>#REF!</v>
      </c>
      <c r="DR18" s="1" t="e">
        <f>AND(D_Castries_East!#REF!,"AAAAAH69/3k=")</f>
        <v>#REF!</v>
      </c>
      <c r="DS18" s="1" t="e">
        <f>AND(D_Castries_East!#REF!,"AAAAAH69/3o=")</f>
        <v>#REF!</v>
      </c>
      <c r="DT18" s="1" t="e">
        <f>AND(D_Castries_East!#REF!,"AAAAAH69/3s=")</f>
        <v>#REF!</v>
      </c>
      <c r="DU18" s="1" t="e">
        <f>AND(D_Castries_East!#REF!,"AAAAAH69/3w=")</f>
        <v>#REF!</v>
      </c>
      <c r="DV18" s="1" t="e">
        <f>AND(D_Castries_East!#REF!,"AAAAAH69/30=")</f>
        <v>#REF!</v>
      </c>
      <c r="DW18" s="1" t="e">
        <f>AND(D_Castries_East!#REF!,"AAAAAH69/34=")</f>
        <v>#REF!</v>
      </c>
      <c r="DX18" s="1" t="e">
        <f>AND(D_Castries_East!#REF!,"AAAAAH69/38=")</f>
        <v>#REF!</v>
      </c>
      <c r="DY18" s="1" t="e">
        <f>IF(D_Castries_East!#REF!,"AAAAAH69/4A=",0)</f>
        <v>#REF!</v>
      </c>
      <c r="DZ18" s="1" t="e">
        <f>AND(D_Castries_East!#REF!,"AAAAAH69/4E=")</f>
        <v>#REF!</v>
      </c>
      <c r="EA18" s="1" t="e">
        <f>AND(D_Castries_East!#REF!,"AAAAAH69/4I=")</f>
        <v>#REF!</v>
      </c>
      <c r="EB18" s="1" t="e">
        <f>AND(D_Castries_East!#REF!,"AAAAAH69/4M=")</f>
        <v>#REF!</v>
      </c>
      <c r="EC18" s="1" t="e">
        <f>AND(D_Castries_East!#REF!,"AAAAAH69/4Q=")</f>
        <v>#REF!</v>
      </c>
      <c r="ED18" s="1" t="e">
        <f>AND(D_Castries_East!#REF!,"AAAAAH69/4U=")</f>
        <v>#REF!</v>
      </c>
      <c r="EE18" s="1" t="e">
        <f>AND(D_Castries_East!#REF!,"AAAAAH69/4Y=")</f>
        <v>#REF!</v>
      </c>
      <c r="EF18" s="1" t="e">
        <f>AND(D_Castries_East!#REF!,"AAAAAH69/4c=")</f>
        <v>#REF!</v>
      </c>
      <c r="EG18" s="1" t="e">
        <f>AND(D_Castries_East!#REF!,"AAAAAH69/4g=")</f>
        <v>#REF!</v>
      </c>
      <c r="EH18" s="1" t="e">
        <f>AND(D_Castries_East!#REF!,"AAAAAH69/4k=")</f>
        <v>#REF!</v>
      </c>
      <c r="EI18" s="1" t="e">
        <f>AND(D_Castries_East!#REF!,"AAAAAH69/4o=")</f>
        <v>#REF!</v>
      </c>
      <c r="EJ18" s="1" t="e">
        <f>AND(D_Castries_East!#REF!,"AAAAAH69/4s=")</f>
        <v>#REF!</v>
      </c>
      <c r="EK18" s="1" t="e">
        <f>AND(D_Castries_East!#REF!,"AAAAAH69/4w=")</f>
        <v>#REF!</v>
      </c>
      <c r="EL18" s="1">
        <f>IF(D_Castries_East!52:52,"AAAAAH69/40=",0)</f>
        <v>0</v>
      </c>
      <c r="EM18" s="1" t="e">
        <f>AND(D_Castries_East!A52,"AAAAAH69/44=")</f>
        <v>#VALUE!</v>
      </c>
      <c r="EN18" s="1" t="e">
        <f>AND(D_Castries_East!B52,"AAAAAH69/48=")</f>
        <v>#VALUE!</v>
      </c>
      <c r="EO18" s="1" t="e">
        <f>AND(D_Castries_East!C52,"AAAAAH69/5A=")</f>
        <v>#VALUE!</v>
      </c>
      <c r="EP18" s="1" t="e">
        <f>AND(D_Castries_East!D52,"AAAAAH69/5E=")</f>
        <v>#VALUE!</v>
      </c>
      <c r="EQ18" s="1" t="e">
        <f>AND(D_Castries_East!E52,"AAAAAH69/5I=")</f>
        <v>#VALUE!</v>
      </c>
      <c r="ER18" s="1" t="e">
        <f>AND(D_Castries_East!F52,"AAAAAH69/5M=")</f>
        <v>#VALUE!</v>
      </c>
      <c r="ES18" s="1" t="e">
        <f>AND(D_Castries_East!G52,"AAAAAH69/5Q=")</f>
        <v>#VALUE!</v>
      </c>
      <c r="ET18" s="1" t="e">
        <f>AND(D_Castries_East!H52,"AAAAAH69/5U=")</f>
        <v>#VALUE!</v>
      </c>
      <c r="EU18" s="1" t="e">
        <f>AND(D_Castries_East!I52,"AAAAAH69/5Y=")</f>
        <v>#VALUE!</v>
      </c>
      <c r="EV18" s="1" t="e">
        <f>AND(D_Castries_East!J52,"AAAAAH69/5c=")</f>
        <v>#VALUE!</v>
      </c>
      <c r="EW18" s="1" t="e">
        <f>AND(D_Castries_East!K52,"AAAAAH69/5g=")</f>
        <v>#VALUE!</v>
      </c>
      <c r="EX18" s="1" t="e">
        <f>AND(D_Castries_East!L52,"AAAAAH69/5k=")</f>
        <v>#VALUE!</v>
      </c>
      <c r="EY18" s="1" t="e">
        <f t="shared" ref="EY18:FK18" si="3">IF(D_Castries_East!#REF!,"AAAAAH69/5o=",0)</f>
        <v>#REF!</v>
      </c>
      <c r="EZ18" s="1" t="e">
        <f t="shared" si="3"/>
        <v>#REF!</v>
      </c>
      <c r="FA18" s="1" t="e">
        <f t="shared" si="3"/>
        <v>#REF!</v>
      </c>
      <c r="FB18" s="1" t="e">
        <f t="shared" si="3"/>
        <v>#REF!</v>
      </c>
      <c r="FC18" s="1" t="e">
        <f t="shared" si="3"/>
        <v>#REF!</v>
      </c>
      <c r="FD18" s="1" t="e">
        <f t="shared" si="3"/>
        <v>#REF!</v>
      </c>
      <c r="FE18" s="1" t="e">
        <f t="shared" si="3"/>
        <v>#REF!</v>
      </c>
      <c r="FF18" s="1" t="e">
        <f t="shared" si="3"/>
        <v>#REF!</v>
      </c>
      <c r="FG18" s="1" t="e">
        <f t="shared" si="3"/>
        <v>#REF!</v>
      </c>
      <c r="FH18" s="1" t="e">
        <f t="shared" si="3"/>
        <v>#REF!</v>
      </c>
      <c r="FI18" s="1" t="e">
        <f t="shared" si="3"/>
        <v>#REF!</v>
      </c>
      <c r="FJ18" s="1" t="e">
        <f t="shared" si="3"/>
        <v>#REF!</v>
      </c>
      <c r="FK18" s="1" t="e">
        <f t="shared" si="3"/>
        <v>#REF!</v>
      </c>
      <c r="FL18" s="1">
        <f>IF(D_Castries_East!53:53,"AAAAAH69/6c=",0)</f>
        <v>0</v>
      </c>
      <c r="FM18" s="1" t="e">
        <f>AND(D_Castries_East!A53,"AAAAAH69/6g=")</f>
        <v>#VALUE!</v>
      </c>
      <c r="FN18" s="1" t="b">
        <f>AND(D_Castries_East!B53,"AAAAAH69/6k=")</f>
        <v>1</v>
      </c>
      <c r="FO18" s="1" t="b">
        <f>AND(D_Castries_East!C53,"AAAAAH69/6o=")</f>
        <v>1</v>
      </c>
      <c r="FP18" s="1" t="b">
        <f>AND(D_Castries_East!D53,"AAAAAH69/6s=")</f>
        <v>1</v>
      </c>
      <c r="FQ18" s="1" t="b">
        <f>AND(D_Castries_East!E53,"AAAAAH69/6w=")</f>
        <v>1</v>
      </c>
      <c r="FR18" s="1" t="b">
        <f>AND(D_Castries_East!F53,"AAAAAH69/60=")</f>
        <v>1</v>
      </c>
      <c r="FS18" s="1" t="b">
        <f>AND(D_Castries_East!G53,"AAAAAH69/64=")</f>
        <v>1</v>
      </c>
      <c r="FT18" s="1" t="b">
        <f>AND(D_Castries_East!H53,"AAAAAH69/68=")</f>
        <v>1</v>
      </c>
      <c r="FU18" s="1" t="b">
        <f>AND(D_Castries_East!I53,"AAAAAH69/7A=")</f>
        <v>1</v>
      </c>
      <c r="FV18" s="1" t="b">
        <f>AND(D_Castries_East!J53,"AAAAAH69/7E=")</f>
        <v>1</v>
      </c>
      <c r="FW18" s="1" t="b">
        <f>AND(D_Castries_East!K53,"AAAAAH69/7I=")</f>
        <v>1</v>
      </c>
      <c r="FX18" s="1" t="b">
        <f>AND(D_Castries_East!L53,"AAAAAH69/7M=")</f>
        <v>1</v>
      </c>
      <c r="FY18" s="1">
        <f>IF(D_Castries_East!54:54,"AAAAAH69/7Q=",0)</f>
        <v>0</v>
      </c>
      <c r="FZ18" s="1" t="e">
        <f>AND(D_Castries_East!A54,"AAAAAH69/7U=")</f>
        <v>#VALUE!</v>
      </c>
      <c r="GA18" s="1" t="b">
        <f>AND(D_Castries_East!B54,"AAAAAH69/7Y=")</f>
        <v>1</v>
      </c>
      <c r="GB18" s="1" t="b">
        <f>AND(D_Castries_East!C54,"AAAAAH69/7c=")</f>
        <v>1</v>
      </c>
      <c r="GC18" s="1" t="b">
        <f>AND(D_Castries_East!D54,"AAAAAH69/7g=")</f>
        <v>1</v>
      </c>
      <c r="GD18" s="1" t="b">
        <f>AND(D_Castries_East!E54,"AAAAAH69/7k=")</f>
        <v>1</v>
      </c>
      <c r="GE18" s="1" t="b">
        <f>AND(D_Castries_East!F54,"AAAAAH69/7o=")</f>
        <v>1</v>
      </c>
      <c r="GF18" s="1" t="b">
        <f>AND(D_Castries_East!G54,"AAAAAH69/7s=")</f>
        <v>0</v>
      </c>
      <c r="GG18" s="1" t="b">
        <f>AND(D_Castries_East!H54,"AAAAAH69/7w=")</f>
        <v>0</v>
      </c>
      <c r="GH18" s="1" t="b">
        <f>AND(D_Castries_East!I54,"AAAAAH69/70=")</f>
        <v>1</v>
      </c>
      <c r="GI18" s="1" t="b">
        <f>AND(D_Castries_East!J54,"AAAAAH69/74=")</f>
        <v>1</v>
      </c>
      <c r="GJ18" s="1" t="b">
        <f>AND(D_Castries_East!K54,"AAAAAH69/78=")</f>
        <v>1</v>
      </c>
      <c r="GK18" s="1" t="b">
        <f>AND(D_Castries_East!L54,"AAAAAH69/8A=")</f>
        <v>1</v>
      </c>
      <c r="GL18" s="1">
        <f>IF(D_Castries_East!55:55,"AAAAAH69/8E=",0)</f>
        <v>0</v>
      </c>
      <c r="GM18" s="1" t="e">
        <f>AND(D_Castries_East!A55,"AAAAAH69/8I=")</f>
        <v>#VALUE!</v>
      </c>
      <c r="GN18" s="1" t="b">
        <f>AND(D_Castries_East!B55,"AAAAAH69/8M=")</f>
        <v>1</v>
      </c>
      <c r="GO18" s="1" t="b">
        <f>AND(D_Castries_East!C55,"AAAAAH69/8Q=")</f>
        <v>1</v>
      </c>
      <c r="GP18" s="1" t="b">
        <f>AND(D_Castries_East!D55,"AAAAAH69/8U=")</f>
        <v>1</v>
      </c>
      <c r="GQ18" s="1" t="b">
        <f>AND(D_Castries_East!E55,"AAAAAH69/8Y=")</f>
        <v>1</v>
      </c>
      <c r="GR18" s="1" t="b">
        <f>AND(D_Castries_East!F55,"AAAAAH69/8c=")</f>
        <v>1</v>
      </c>
      <c r="GS18" s="1" t="b">
        <f>AND(D_Castries_East!G55,"AAAAAH69/8g=")</f>
        <v>1</v>
      </c>
      <c r="GT18" s="1" t="b">
        <f>AND(D_Castries_East!H55,"AAAAAH69/8k=")</f>
        <v>1</v>
      </c>
      <c r="GU18" s="1" t="b">
        <f>AND(D_Castries_East!I55,"AAAAAH69/8o=")</f>
        <v>1</v>
      </c>
      <c r="GV18" s="1" t="b">
        <f>AND(D_Castries_East!J55,"AAAAAH69/8s=")</f>
        <v>1</v>
      </c>
      <c r="GW18" s="1" t="b">
        <f>AND(D_Castries_East!K55,"AAAAAH69/8w=")</f>
        <v>1</v>
      </c>
      <c r="GX18" s="1" t="b">
        <f>AND(D_Castries_East!L55,"AAAAAH69/80=")</f>
        <v>1</v>
      </c>
      <c r="GY18" s="1">
        <f>IF(D_Castries_East!56:56,"AAAAAH69/84=",0)</f>
        <v>0</v>
      </c>
      <c r="GZ18" s="1" t="e">
        <f>AND(D_Castries_East!A56,"AAAAAH69/88=")</f>
        <v>#VALUE!</v>
      </c>
      <c r="HA18" s="1" t="b">
        <f>AND(D_Castries_East!B56,"AAAAAH69/9A=")</f>
        <v>1</v>
      </c>
      <c r="HB18" s="1" t="b">
        <f>AND(D_Castries_East!C56,"AAAAAH69/9E=")</f>
        <v>1</v>
      </c>
      <c r="HC18" s="1" t="b">
        <f>AND(D_Castries_East!D56,"AAAAAH69/9I=")</f>
        <v>1</v>
      </c>
      <c r="HD18" s="1" t="b">
        <f>AND(D_Castries_East!E56,"AAAAAH69/9M=")</f>
        <v>1</v>
      </c>
      <c r="HE18" s="1" t="b">
        <f>AND(D_Castries_East!F56,"AAAAAH69/9Q=")</f>
        <v>1</v>
      </c>
      <c r="HF18" s="1" t="b">
        <f>AND(D_Castries_East!G56,"AAAAAH69/9U=")</f>
        <v>1</v>
      </c>
      <c r="HG18" s="1" t="b">
        <f>AND(D_Castries_East!H56,"AAAAAH69/9Y=")</f>
        <v>1</v>
      </c>
      <c r="HH18" s="1" t="b">
        <f>AND(D_Castries_East!I56,"AAAAAH69/9c=")</f>
        <v>1</v>
      </c>
      <c r="HI18" s="1" t="b">
        <f>AND(D_Castries_East!J56,"AAAAAH69/9g=")</f>
        <v>1</v>
      </c>
      <c r="HJ18" s="1" t="b">
        <f>AND(D_Castries_East!K56,"AAAAAH69/9k=")</f>
        <v>1</v>
      </c>
      <c r="HK18" s="1" t="b">
        <f>AND(D_Castries_East!L56,"AAAAAH69/9o=")</f>
        <v>1</v>
      </c>
      <c r="HL18" s="1" t="e">
        <f>IF(D_Castries_East!A:A,"AAAAAH69/9s=",0)</f>
        <v>#VALUE!</v>
      </c>
      <c r="HM18" s="1" t="str">
        <f>IF(D_Castries_East!B:B,"AAAAAH69/9w=",0)</f>
        <v>AAAAAH69/9w=</v>
      </c>
      <c r="HN18" s="1" t="str">
        <f>IF(D_Castries_East!C:C,"AAAAAH69/90=",0)</f>
        <v>AAAAAH69/90=</v>
      </c>
      <c r="HO18" s="1" t="str">
        <f>IF(D_Castries_East!D:D,"AAAAAH69/94=",0)</f>
        <v>AAAAAH69/94=</v>
      </c>
      <c r="HP18" s="1" t="str">
        <f>IF(D_Castries_East!E:E,"AAAAAH69/98=",0)</f>
        <v>AAAAAH69/98=</v>
      </c>
      <c r="HQ18" s="1" t="str">
        <f>IF(D_Castries_East!F:F,"AAAAAH69/+A=",0)</f>
        <v>AAAAAH69/+A=</v>
      </c>
      <c r="HR18" s="1" t="str">
        <f>IF(D_Castries_East!G:G,"AAAAAH69/+E=",0)</f>
        <v>AAAAAH69/+E=</v>
      </c>
      <c r="HS18" s="1" t="str">
        <f>IF(D_Castries_East!H:H,"AAAAAH69/+I=",0)</f>
        <v>AAAAAH69/+I=</v>
      </c>
      <c r="HT18" s="1" t="str">
        <f>IF(D_Castries_East!I:I,"AAAAAH69/+M=",0)</f>
        <v>AAAAAH69/+M=</v>
      </c>
      <c r="HU18" s="1" t="str">
        <f>IF(D_Castries_East!J:J,"AAAAAH69/+Q=",0)</f>
        <v>AAAAAH69/+Q=</v>
      </c>
      <c r="HV18" s="1" t="str">
        <f>IF(D_Castries_East!K:K,"AAAAAH69/+U=",0)</f>
        <v>AAAAAH69/+U=</v>
      </c>
      <c r="HW18" s="1" t="str">
        <f>IF(D_Castries_East!L:L,"AAAAAH69/+Y=",0)</f>
        <v>AAAAAH69/+Y=</v>
      </c>
      <c r="HX18" s="1">
        <f>IF(E_Castries_Central!2:2,"AAAAAH69/+c=",0)</f>
        <v>0</v>
      </c>
      <c r="HY18" s="1" t="e">
        <f>AND(E_Castries_Central!A2,"AAAAAH69/+g=")</f>
        <v>#VALUE!</v>
      </c>
      <c r="HZ18" s="1" t="e">
        <f>AND(E_Castries_Central!B2,"AAAAAH69/+k=")</f>
        <v>#VALUE!</v>
      </c>
      <c r="IA18" s="1" t="e">
        <f>AND(E_Castries_Central!C2,"AAAAAH69/+o=")</f>
        <v>#VALUE!</v>
      </c>
      <c r="IB18" s="1" t="e">
        <f>AND(E_Castries_Central!D2,"AAAAAH69/+s=")</f>
        <v>#VALUE!</v>
      </c>
      <c r="IC18" s="1" t="e">
        <f>AND(E_Castries_Central!E2,"AAAAAH69/+w=")</f>
        <v>#VALUE!</v>
      </c>
      <c r="ID18" s="1" t="e">
        <f>AND(E_Castries_Central!F2,"AAAAAH69/+0=")</f>
        <v>#VALUE!</v>
      </c>
      <c r="IE18" s="1" t="e">
        <f>AND(E_Castries_Central!G2,"AAAAAH69/+4=")</f>
        <v>#VALUE!</v>
      </c>
      <c r="IF18" s="1" t="e">
        <f>AND(E_Castries_Central!H2,"AAAAAH69/+8=")</f>
        <v>#VALUE!</v>
      </c>
      <c r="IG18" s="1" t="e">
        <f>AND(E_Castries_Central!#REF!,"AAAAAH69//A=")</f>
        <v>#REF!</v>
      </c>
      <c r="IH18" s="1" t="e">
        <f>AND(E_Castries_Central!#REF!,"AAAAAH69//E=")</f>
        <v>#REF!</v>
      </c>
      <c r="II18" s="1" t="e">
        <f>AND(E_Castries_Central!I2,"AAAAAH69//I=")</f>
        <v>#VALUE!</v>
      </c>
      <c r="IJ18" s="1" t="e">
        <f>AND(E_Castries_Central!J2,"AAAAAH69//M=")</f>
        <v>#VALUE!</v>
      </c>
      <c r="IK18" s="1" t="e">
        <f>AND(E_Castries_Central!K2,"AAAAAH69//Q=")</f>
        <v>#VALUE!</v>
      </c>
      <c r="IL18" s="1" t="e">
        <f>AND(E_Castries_Central!L2,"AAAAAH69//U=")</f>
        <v>#VALUE!</v>
      </c>
      <c r="IM18" s="1" t="e">
        <f>AND(E_Castries_Central!M2,"AAAAAH69//Y=")</f>
        <v>#VALUE!</v>
      </c>
      <c r="IN18" s="1" t="e">
        <f>AND(E_Castries_Central!N2,"AAAAAH69//c=")</f>
        <v>#VALUE!</v>
      </c>
      <c r="IO18" s="1">
        <f>IF(E_Castries_Central!3:3,"AAAAAH69//g=",0)</f>
        <v>0</v>
      </c>
      <c r="IP18" s="1" t="e">
        <f>AND(E_Castries_Central!#REF!,"AAAAAH69//k=")</f>
        <v>#REF!</v>
      </c>
      <c r="IQ18" s="1" t="e">
        <f>AND(E_Castries_Central!A3,"AAAAAH69//o=")</f>
        <v>#VALUE!</v>
      </c>
      <c r="IR18" s="1" t="e">
        <f>AND(E_Castries_Central!C3,"AAAAAH69//s=")</f>
        <v>#VALUE!</v>
      </c>
      <c r="IS18" s="1" t="e">
        <f>AND(E_Castries_Central!D3,"AAAAAH69//w=")</f>
        <v>#VALUE!</v>
      </c>
      <c r="IT18" s="1" t="e">
        <f>AND(E_Castries_Central!E3,"AAAAAH69//0=")</f>
        <v>#VALUE!</v>
      </c>
      <c r="IU18" s="1" t="e">
        <f>AND(E_Castries_Central!F3,"AAAAAH69//4=")</f>
        <v>#VALUE!</v>
      </c>
      <c r="IV18" s="1" t="e">
        <f>AND(E_Castries_Central!G3,"AAAAAH69//8=")</f>
        <v>#VALUE!</v>
      </c>
    </row>
    <row r="19" spans="1:256" ht="12" customHeight="1" x14ac:dyDescent="0.2">
      <c r="A19" s="1" t="e">
        <f>AND(E_Castries_Central!H3,"AAAAAF7c3wA=")</f>
        <v>#VALUE!</v>
      </c>
      <c r="B19" s="1" t="e">
        <f>AND(E_Castries_Central!#REF!,"AAAAAF7c3wE=")</f>
        <v>#REF!</v>
      </c>
      <c r="C19" s="1" t="e">
        <f>AND(E_Castries_Central!#REF!,"AAAAAF7c3wI=")</f>
        <v>#REF!</v>
      </c>
      <c r="D19" s="1" t="e">
        <f>AND(E_Castries_Central!I3,"AAAAAF7c3wM=")</f>
        <v>#VALUE!</v>
      </c>
      <c r="E19" s="1" t="e">
        <f>AND(E_Castries_Central!J3,"AAAAAF7c3wQ=")</f>
        <v>#VALUE!</v>
      </c>
      <c r="F19" s="1" t="e">
        <f>AND(E_Castries_Central!K3,"AAAAAF7c3wU=")</f>
        <v>#VALUE!</v>
      </c>
      <c r="G19" s="1" t="e">
        <f>AND(E_Castries_Central!L3,"AAAAAF7c3wY=")</f>
        <v>#VALUE!</v>
      </c>
      <c r="H19" s="1" t="e">
        <f>AND(E_Castries_Central!M3,"AAAAAF7c3wc=")</f>
        <v>#VALUE!</v>
      </c>
      <c r="I19" s="1" t="e">
        <f>AND(E_Castries_Central!N3,"AAAAAF7c3wg=")</f>
        <v>#VALUE!</v>
      </c>
      <c r="J19" s="1" t="str">
        <f>IF(E_Castries_Central!4:4,"AAAAAF7c3wk=",0)</f>
        <v>AAAAAF7c3wk=</v>
      </c>
      <c r="K19" s="1" t="e">
        <f>AND(E_Castries_Central!A4,"AAAAAF7c3wo=")</f>
        <v>#VALUE!</v>
      </c>
      <c r="L19" s="1" t="b">
        <f>AND(E_Castries_Central!B4,"AAAAAF7c3ws=")</f>
        <v>1</v>
      </c>
      <c r="M19" s="1" t="b">
        <f>AND(E_Castries_Central!C4,"AAAAAF7c3ww=")</f>
        <v>1</v>
      </c>
      <c r="N19" s="1" t="b">
        <f>AND(E_Castries_Central!D4,"AAAAAF7c3w0=")</f>
        <v>1</v>
      </c>
      <c r="O19" s="1" t="b">
        <f>AND(E_Castries_Central!E4,"AAAAAF7c3w4=")</f>
        <v>1</v>
      </c>
      <c r="P19" s="1" t="b">
        <f>AND(E_Castries_Central!F4,"AAAAAF7c3w8=")</f>
        <v>1</v>
      </c>
      <c r="Q19" s="1" t="b">
        <f>AND(E_Castries_Central!G4,"AAAAAF7c3xA=")</f>
        <v>1</v>
      </c>
      <c r="R19" s="1" t="b">
        <f>AND(E_Castries_Central!H4,"AAAAAF7c3xE=")</f>
        <v>1</v>
      </c>
      <c r="S19" s="1" t="e">
        <f>AND(E_Castries_Central!#REF!,"AAAAAF7c3xI=")</f>
        <v>#REF!</v>
      </c>
      <c r="T19" s="1" t="e">
        <f>AND(E_Castries_Central!#REF!,"AAAAAF7c3xM=")</f>
        <v>#REF!</v>
      </c>
      <c r="U19" s="1" t="b">
        <f>AND(E_Castries_Central!I4,"AAAAAF7c3xQ=")</f>
        <v>1</v>
      </c>
      <c r="V19" s="1" t="b">
        <f>AND(E_Castries_Central!J4,"AAAAAF7c3xU=")</f>
        <v>1</v>
      </c>
      <c r="W19" s="1" t="b">
        <f>AND(E_Castries_Central!K4,"AAAAAF7c3xY=")</f>
        <v>1</v>
      </c>
      <c r="X19" s="1" t="b">
        <f>AND(E_Castries_Central!L4,"AAAAAF7c3xc=")</f>
        <v>1</v>
      </c>
      <c r="Y19" s="1" t="b">
        <f>AND(E_Castries_Central!M4,"AAAAAF7c3xg=")</f>
        <v>1</v>
      </c>
      <c r="Z19" s="1" t="b">
        <f>AND(E_Castries_Central!N4,"AAAAAF7c3xk=")</f>
        <v>1</v>
      </c>
      <c r="AA19" s="1">
        <f>IF(E_Castries_Central!5:5,"AAAAAF7c3xo=",0)</f>
        <v>0</v>
      </c>
      <c r="AB19" s="1" t="e">
        <f>AND(E_Castries_Central!A5,"AAAAAF7c3xs=")</f>
        <v>#VALUE!</v>
      </c>
      <c r="AC19" s="1" t="e">
        <f>AND(E_Castries_Central!B5,"AAAAAF7c3xw=")</f>
        <v>#VALUE!</v>
      </c>
      <c r="AD19" s="1" t="e">
        <f>AND(E_Castries_Central!C5,"AAAAAF7c3x0=")</f>
        <v>#VALUE!</v>
      </c>
      <c r="AE19" s="1" t="e">
        <f>AND(E_Castries_Central!D5,"AAAAAF7c3x4=")</f>
        <v>#VALUE!</v>
      </c>
      <c r="AF19" s="1" t="e">
        <f>AND(E_Castries_Central!E5,"AAAAAF7c3x8=")</f>
        <v>#VALUE!</v>
      </c>
      <c r="AG19" s="1" t="e">
        <f>AND(E_Castries_Central!F5,"AAAAAF7c3yA=")</f>
        <v>#VALUE!</v>
      </c>
      <c r="AH19" s="1" t="e">
        <f>AND(E_Castries_Central!G5,"AAAAAF7c3yE=")</f>
        <v>#VALUE!</v>
      </c>
      <c r="AI19" s="1" t="e">
        <f>AND(E_Castries_Central!H5,"AAAAAF7c3yI=")</f>
        <v>#VALUE!</v>
      </c>
      <c r="AJ19" s="1" t="e">
        <f>AND(E_Castries_Central!#REF!,"AAAAAF7c3yM=")</f>
        <v>#REF!</v>
      </c>
      <c r="AK19" s="1" t="e">
        <f>AND(E_Castries_Central!#REF!,"AAAAAF7c3yQ=")</f>
        <v>#REF!</v>
      </c>
      <c r="AL19" s="1" t="e">
        <f>AND(E_Castries_Central!I5,"AAAAAF7c3yU=")</f>
        <v>#VALUE!</v>
      </c>
      <c r="AM19" s="1" t="e">
        <f>AND(E_Castries_Central!J5,"AAAAAF7c3yY=")</f>
        <v>#VALUE!</v>
      </c>
      <c r="AN19" s="1" t="e">
        <f>AND(E_Castries_Central!K5,"AAAAAF7c3yc=")</f>
        <v>#VALUE!</v>
      </c>
      <c r="AO19" s="1" t="e">
        <f>AND(E_Castries_Central!L5,"AAAAAF7c3yg=")</f>
        <v>#VALUE!</v>
      </c>
      <c r="AP19" s="1" t="e">
        <f>AND(E_Castries_Central!M5,"AAAAAF7c3yk=")</f>
        <v>#VALUE!</v>
      </c>
      <c r="AQ19" s="1" t="e">
        <f>AND(E_Castries_Central!N5,"AAAAAF7c3yo=")</f>
        <v>#VALUE!</v>
      </c>
      <c r="AR19" s="1">
        <f>IF(E_Castries_Central!6:6,"AAAAAF7c3ys=",0)</f>
        <v>0</v>
      </c>
      <c r="AS19" s="1" t="e">
        <f>AND(E_Castries_Central!A6,"AAAAAF7c3yw=")</f>
        <v>#VALUE!</v>
      </c>
      <c r="AT19" s="1" t="b">
        <f>AND(E_Castries_Central!B6,"AAAAAF7c3y0=")</f>
        <v>1</v>
      </c>
      <c r="AU19" s="1" t="b">
        <f>AND(E_Castries_Central!C6,"AAAAAF7c3y4=")</f>
        <v>1</v>
      </c>
      <c r="AV19" s="1" t="b">
        <f>AND(E_Castries_Central!D6,"AAAAAF7c3y8=")</f>
        <v>1</v>
      </c>
      <c r="AW19" s="1" t="b">
        <f>AND(E_Castries_Central!E6,"AAAAAF7c3zA=")</f>
        <v>1</v>
      </c>
      <c r="AX19" s="1" t="b">
        <f>AND(E_Castries_Central!F6,"AAAAAF7c3zE=")</f>
        <v>1</v>
      </c>
      <c r="AY19" s="1" t="b">
        <f>AND(E_Castries_Central!G6,"AAAAAF7c3zI=")</f>
        <v>1</v>
      </c>
      <c r="AZ19" s="1" t="b">
        <f>AND(E_Castries_Central!H6,"AAAAAF7c3zM=")</f>
        <v>1</v>
      </c>
      <c r="BA19" s="1" t="e">
        <f>AND(E_Castries_Central!#REF!,"AAAAAF7c3zQ=")</f>
        <v>#REF!</v>
      </c>
      <c r="BB19" s="1" t="e">
        <f>AND(E_Castries_Central!#REF!,"AAAAAF7c3zU=")</f>
        <v>#REF!</v>
      </c>
      <c r="BC19" s="1" t="b">
        <f>AND(E_Castries_Central!I6,"AAAAAF7c3zY=")</f>
        <v>0</v>
      </c>
      <c r="BD19" s="1" t="b">
        <f>AND(E_Castries_Central!J6,"AAAAAF7c3zc=")</f>
        <v>0</v>
      </c>
      <c r="BE19" s="1" t="b">
        <f>AND(E_Castries_Central!K6,"AAAAAF7c3zg=")</f>
        <v>1</v>
      </c>
      <c r="BF19" s="1" t="b">
        <f>AND(E_Castries_Central!L6,"AAAAAF7c3zk=")</f>
        <v>1</v>
      </c>
      <c r="BG19" s="1" t="b">
        <f>AND(E_Castries_Central!M6,"AAAAAF7c3zo=")</f>
        <v>1</v>
      </c>
      <c r="BH19" s="1" t="b">
        <f>AND(E_Castries_Central!N6,"AAAAAF7c3zs=")</f>
        <v>1</v>
      </c>
      <c r="BI19" s="1">
        <f>IF(E_Castries_Central!7:7,"AAAAAF7c3zw=",0)</f>
        <v>0</v>
      </c>
      <c r="BJ19" s="1" t="e">
        <f>AND(E_Castries_Central!A7,"AAAAAF7c3z0=")</f>
        <v>#VALUE!</v>
      </c>
      <c r="BK19" s="1" t="b">
        <f>AND(E_Castries_Central!B7,"AAAAAF7c3z4=")</f>
        <v>1</v>
      </c>
      <c r="BL19" s="1" t="b">
        <f>AND(E_Castries_Central!C7,"AAAAAF7c3z8=")</f>
        <v>1</v>
      </c>
      <c r="BM19" s="1" t="b">
        <f>AND(E_Castries_Central!D7,"AAAAAF7c30A=")</f>
        <v>1</v>
      </c>
      <c r="BN19" s="1" t="b">
        <f>AND(E_Castries_Central!E7,"AAAAAF7c30E=")</f>
        <v>1</v>
      </c>
      <c r="BO19" s="1" t="b">
        <f>AND(E_Castries_Central!F7,"AAAAAF7c30I=")</f>
        <v>1</v>
      </c>
      <c r="BP19" s="1" t="b">
        <f>AND(E_Castries_Central!G7,"AAAAAF7c30M=")</f>
        <v>0</v>
      </c>
      <c r="BQ19" s="1" t="b">
        <f>AND(E_Castries_Central!H7,"AAAAAF7c30Q=")</f>
        <v>0</v>
      </c>
      <c r="BR19" s="1" t="e">
        <f>AND(E_Castries_Central!#REF!,"AAAAAF7c30U=")</f>
        <v>#REF!</v>
      </c>
      <c r="BS19" s="1" t="e">
        <f>AND(E_Castries_Central!#REF!,"AAAAAF7c30Y=")</f>
        <v>#REF!</v>
      </c>
      <c r="BT19" s="1" t="b">
        <f>AND(E_Castries_Central!I7,"AAAAAF7c30c=")</f>
        <v>1</v>
      </c>
      <c r="BU19" s="1" t="b">
        <f>AND(E_Castries_Central!J7,"AAAAAF7c30g=")</f>
        <v>1</v>
      </c>
      <c r="BV19" s="1" t="b">
        <f>AND(E_Castries_Central!K7,"AAAAAF7c30k=")</f>
        <v>1</v>
      </c>
      <c r="BW19" s="1" t="b">
        <f>AND(E_Castries_Central!L7,"AAAAAF7c30o=")</f>
        <v>1</v>
      </c>
      <c r="BX19" s="1" t="b">
        <f>AND(E_Castries_Central!M7,"AAAAAF7c30s=")</f>
        <v>1</v>
      </c>
      <c r="BY19" s="1" t="b">
        <f>AND(E_Castries_Central!N7,"AAAAAF7c30w=")</f>
        <v>1</v>
      </c>
      <c r="BZ19" s="1">
        <f>IF(E_Castries_Central!8:8,"AAAAAF7c300=",0)</f>
        <v>0</v>
      </c>
      <c r="CA19" s="1" t="e">
        <f>AND(E_Castries_Central!A8,"AAAAAF7c304=")</f>
        <v>#VALUE!</v>
      </c>
      <c r="CB19" s="1" t="b">
        <f>AND(E_Castries_Central!B8,"AAAAAF7c308=")</f>
        <v>1</v>
      </c>
      <c r="CC19" s="1" t="b">
        <f>AND(E_Castries_Central!C8,"AAAAAF7c31A=")</f>
        <v>1</v>
      </c>
      <c r="CD19" s="1" t="b">
        <f>AND(E_Castries_Central!D8,"AAAAAF7c31E=")</f>
        <v>1</v>
      </c>
      <c r="CE19" s="1" t="b">
        <f>AND(E_Castries_Central!E8,"AAAAAF7c31I=")</f>
        <v>1</v>
      </c>
      <c r="CF19" s="1" t="b">
        <f>AND(E_Castries_Central!F8,"AAAAAF7c31M=")</f>
        <v>1</v>
      </c>
      <c r="CG19" s="1" t="b">
        <f>AND(E_Castries_Central!G8,"AAAAAF7c31Q=")</f>
        <v>0</v>
      </c>
      <c r="CH19" s="1" t="b">
        <f>AND(E_Castries_Central!H8,"AAAAAF7c31U=")</f>
        <v>0</v>
      </c>
      <c r="CI19" s="1" t="e">
        <f>AND(E_Castries_Central!#REF!,"AAAAAF7c31Y=")</f>
        <v>#REF!</v>
      </c>
      <c r="CJ19" s="1" t="e">
        <f>AND(E_Castries_Central!#REF!,"AAAAAF7c31c=")</f>
        <v>#REF!</v>
      </c>
      <c r="CK19" s="1" t="b">
        <f>AND(E_Castries_Central!I8,"AAAAAF7c31g=")</f>
        <v>1</v>
      </c>
      <c r="CL19" s="1" t="b">
        <f>AND(E_Castries_Central!J8,"AAAAAF7c31k=")</f>
        <v>1</v>
      </c>
      <c r="CM19" s="1" t="b">
        <f>AND(E_Castries_Central!K8,"AAAAAF7c31o=")</f>
        <v>1</v>
      </c>
      <c r="CN19" s="1" t="b">
        <f>AND(E_Castries_Central!L8,"AAAAAF7c31s=")</f>
        <v>1</v>
      </c>
      <c r="CO19" s="1" t="b">
        <f>AND(E_Castries_Central!M8,"AAAAAF7c31w=")</f>
        <v>1</v>
      </c>
      <c r="CP19" s="1" t="b">
        <f>AND(E_Castries_Central!N8,"AAAAAF7c310=")</f>
        <v>1</v>
      </c>
      <c r="CQ19" s="1" t="e">
        <f>IF(E_Castries_Central!#REF!,"AAAAAF7c314=",0)</f>
        <v>#REF!</v>
      </c>
      <c r="CR19" s="1" t="e">
        <f>AND(E_Castries_Central!#REF!,"AAAAAF7c318=")</f>
        <v>#REF!</v>
      </c>
      <c r="CS19" s="1" t="e">
        <f>AND(E_Castries_Central!#REF!,"AAAAAF7c32A=")</f>
        <v>#REF!</v>
      </c>
      <c r="CT19" s="1" t="e">
        <f>AND(E_Castries_Central!#REF!,"AAAAAF7c32E=")</f>
        <v>#REF!</v>
      </c>
      <c r="CU19" s="1" t="e">
        <f>AND(E_Castries_Central!#REF!,"AAAAAF7c32I=")</f>
        <v>#REF!</v>
      </c>
      <c r="CV19" s="1" t="e">
        <f>AND(E_Castries_Central!#REF!,"AAAAAF7c32M=")</f>
        <v>#REF!</v>
      </c>
      <c r="CW19" s="1" t="e">
        <f>AND(E_Castries_Central!#REF!,"AAAAAF7c32Q=")</f>
        <v>#REF!</v>
      </c>
      <c r="CX19" s="1" t="e">
        <f>AND(E_Castries_Central!#REF!,"AAAAAF7c32U=")</f>
        <v>#REF!</v>
      </c>
      <c r="CY19" s="1" t="e">
        <f>AND(E_Castries_Central!#REF!,"AAAAAF7c32Y=")</f>
        <v>#REF!</v>
      </c>
      <c r="CZ19" s="1" t="e">
        <f>AND(E_Castries_Central!#REF!,"AAAAAF7c32c=")</f>
        <v>#REF!</v>
      </c>
      <c r="DA19" s="1" t="e">
        <f>AND(E_Castries_Central!#REF!,"AAAAAF7c32g=")</f>
        <v>#REF!</v>
      </c>
      <c r="DB19" s="1" t="e">
        <f>AND(E_Castries_Central!#REF!,"AAAAAF7c32k=")</f>
        <v>#REF!</v>
      </c>
      <c r="DC19" s="1" t="e">
        <f>AND(E_Castries_Central!#REF!,"AAAAAF7c32o=")</f>
        <v>#REF!</v>
      </c>
      <c r="DD19" s="1" t="e">
        <f>AND(E_Castries_Central!#REF!,"AAAAAF7c32s=")</f>
        <v>#REF!</v>
      </c>
      <c r="DE19" s="1" t="e">
        <f>AND(E_Castries_Central!#REF!,"AAAAAF7c32w=")</f>
        <v>#REF!</v>
      </c>
      <c r="DF19" s="1" t="e">
        <f>AND(E_Castries_Central!#REF!,"AAAAAF7c320=")</f>
        <v>#REF!</v>
      </c>
      <c r="DG19" s="1" t="e">
        <f>AND(E_Castries_Central!#REF!,"AAAAAF7c324=")</f>
        <v>#REF!</v>
      </c>
      <c r="DH19" s="1">
        <f>IF(E_Castries_Central!9:9,"AAAAAF7c328=",0)</f>
        <v>0</v>
      </c>
      <c r="DI19" s="1" t="e">
        <f>AND(E_Castries_Central!A9,"AAAAAF7c33A=")</f>
        <v>#VALUE!</v>
      </c>
      <c r="DJ19" s="1" t="b">
        <f>AND(E_Castries_Central!B9,"AAAAAF7c33E=")</f>
        <v>1</v>
      </c>
      <c r="DK19" s="1" t="b">
        <f>AND(E_Castries_Central!C9,"AAAAAF7c33I=")</f>
        <v>1</v>
      </c>
      <c r="DL19" s="1" t="b">
        <f>AND(E_Castries_Central!D9,"AAAAAF7c33M=")</f>
        <v>1</v>
      </c>
      <c r="DM19" s="1" t="b">
        <f>AND(E_Castries_Central!E9,"AAAAAF7c33Q=")</f>
        <v>1</v>
      </c>
      <c r="DN19" s="1" t="b">
        <f>AND(E_Castries_Central!F9,"AAAAAF7c33U=")</f>
        <v>1</v>
      </c>
      <c r="DO19" s="1" t="b">
        <f>AND(E_Castries_Central!G9,"AAAAAF7c33Y=")</f>
        <v>1</v>
      </c>
      <c r="DP19" s="1" t="b">
        <f>AND(E_Castries_Central!H9,"AAAAAF7c33c=")</f>
        <v>1</v>
      </c>
      <c r="DQ19" s="1" t="e">
        <f>AND(E_Castries_Central!#REF!,"AAAAAF7c33g=")</f>
        <v>#REF!</v>
      </c>
      <c r="DR19" s="1" t="e">
        <f>AND(E_Castries_Central!#REF!,"AAAAAF7c33k=")</f>
        <v>#REF!</v>
      </c>
      <c r="DS19" s="1" t="b">
        <f>AND(E_Castries_Central!I9,"AAAAAF7c33o=")</f>
        <v>1</v>
      </c>
      <c r="DT19" s="1" t="b">
        <f>AND(E_Castries_Central!J9,"AAAAAF7c33s=")</f>
        <v>1</v>
      </c>
      <c r="DU19" s="1" t="b">
        <f>AND(E_Castries_Central!K9,"AAAAAF7c33w=")</f>
        <v>1</v>
      </c>
      <c r="DV19" s="1" t="b">
        <f>AND(E_Castries_Central!L9,"AAAAAF7c330=")</f>
        <v>1</v>
      </c>
      <c r="DW19" s="1" t="b">
        <f>AND(E_Castries_Central!M9,"AAAAAF7c334=")</f>
        <v>1</v>
      </c>
      <c r="DX19" s="1" t="b">
        <f>AND(E_Castries_Central!N9,"AAAAAF7c338=")</f>
        <v>1</v>
      </c>
      <c r="DY19" s="1">
        <f>IF(E_Castries_Central!11:11,"AAAAAF7c34A=",0)</f>
        <v>0</v>
      </c>
      <c r="DZ19" s="1" t="e">
        <f>AND(E_Castries_Central!A11,"AAAAAF7c34E=")</f>
        <v>#VALUE!</v>
      </c>
      <c r="EA19" s="1" t="e">
        <f>AND(E_Castries_Central!B11,"AAAAAF7c34I=")</f>
        <v>#VALUE!</v>
      </c>
      <c r="EB19" s="1" t="e">
        <f>AND(E_Castries_Central!C11,"AAAAAF7c34M=")</f>
        <v>#VALUE!</v>
      </c>
      <c r="EC19" s="1" t="e">
        <f>AND(E_Castries_Central!D11,"AAAAAF7c34Q=")</f>
        <v>#VALUE!</v>
      </c>
      <c r="ED19" s="1" t="e">
        <f>AND(E_Castries_Central!E11,"AAAAAF7c34U=")</f>
        <v>#VALUE!</v>
      </c>
      <c r="EE19" s="1" t="e">
        <f>AND(E_Castries_Central!F11,"AAAAAF7c34Y=")</f>
        <v>#VALUE!</v>
      </c>
      <c r="EF19" s="1" t="e">
        <f>AND(E_Castries_Central!G11,"AAAAAF7c34c=")</f>
        <v>#VALUE!</v>
      </c>
      <c r="EG19" s="1" t="e">
        <f>AND(E_Castries_Central!H11,"AAAAAF7c34g=")</f>
        <v>#VALUE!</v>
      </c>
      <c r="EH19" s="1" t="e">
        <f>AND(E_Castries_Central!#REF!,"AAAAAF7c34k=")</f>
        <v>#REF!</v>
      </c>
      <c r="EI19" s="1" t="e">
        <f>AND(E_Castries_Central!#REF!,"AAAAAF7c34o=")</f>
        <v>#REF!</v>
      </c>
      <c r="EJ19" s="1" t="e">
        <f>AND(E_Castries_Central!I11,"AAAAAF7c34s=")</f>
        <v>#VALUE!</v>
      </c>
      <c r="EK19" s="1" t="e">
        <f>AND(E_Castries_Central!J11,"AAAAAF7c34w=")</f>
        <v>#VALUE!</v>
      </c>
      <c r="EL19" s="1" t="e">
        <f>AND(E_Castries_Central!K11,"AAAAAF7c340=")</f>
        <v>#VALUE!</v>
      </c>
      <c r="EM19" s="1" t="e">
        <f>AND(E_Castries_Central!L11,"AAAAAF7c344=")</f>
        <v>#VALUE!</v>
      </c>
      <c r="EN19" s="1" t="e">
        <f>AND(E_Castries_Central!M11,"AAAAAF7c348=")</f>
        <v>#VALUE!</v>
      </c>
      <c r="EO19" s="1" t="e">
        <f>AND(E_Castries_Central!N11,"AAAAAF7c35A=")</f>
        <v>#VALUE!</v>
      </c>
      <c r="EP19" s="1" t="e">
        <f t="shared" ref="EP19:FW19" si="4">IF(E_Castries_Central!#REF!,"AAAAAF7c35E=",0)</f>
        <v>#REF!</v>
      </c>
      <c r="EQ19" s="1" t="e">
        <f t="shared" si="4"/>
        <v>#REF!</v>
      </c>
      <c r="ER19" s="1" t="e">
        <f t="shared" si="4"/>
        <v>#REF!</v>
      </c>
      <c r="ES19" s="1" t="e">
        <f t="shared" si="4"/>
        <v>#REF!</v>
      </c>
      <c r="ET19" s="1" t="e">
        <f t="shared" si="4"/>
        <v>#REF!</v>
      </c>
      <c r="EU19" s="1" t="e">
        <f t="shared" si="4"/>
        <v>#REF!</v>
      </c>
      <c r="EV19" s="1" t="e">
        <f t="shared" si="4"/>
        <v>#REF!</v>
      </c>
      <c r="EW19" s="1" t="e">
        <f t="shared" si="4"/>
        <v>#REF!</v>
      </c>
      <c r="EX19" s="1" t="e">
        <f t="shared" si="4"/>
        <v>#REF!</v>
      </c>
      <c r="EY19" s="1" t="e">
        <f t="shared" si="4"/>
        <v>#REF!</v>
      </c>
      <c r="EZ19" s="1" t="e">
        <f t="shared" si="4"/>
        <v>#REF!</v>
      </c>
      <c r="FA19" s="1" t="e">
        <f t="shared" si="4"/>
        <v>#REF!</v>
      </c>
      <c r="FB19" s="1" t="e">
        <f t="shared" si="4"/>
        <v>#REF!</v>
      </c>
      <c r="FC19" s="1" t="e">
        <f t="shared" si="4"/>
        <v>#REF!</v>
      </c>
      <c r="FD19" s="1" t="e">
        <f t="shared" si="4"/>
        <v>#REF!</v>
      </c>
      <c r="FE19" s="1" t="e">
        <f t="shared" si="4"/>
        <v>#REF!</v>
      </c>
      <c r="FF19" s="1" t="e">
        <f t="shared" si="4"/>
        <v>#REF!</v>
      </c>
      <c r="FG19" s="1" t="e">
        <f t="shared" si="4"/>
        <v>#REF!</v>
      </c>
      <c r="FH19" s="1" t="e">
        <f t="shared" si="4"/>
        <v>#REF!</v>
      </c>
      <c r="FI19" s="1" t="e">
        <f t="shared" si="4"/>
        <v>#REF!</v>
      </c>
      <c r="FJ19" s="1" t="e">
        <f t="shared" si="4"/>
        <v>#REF!</v>
      </c>
      <c r="FK19" s="1" t="e">
        <f t="shared" si="4"/>
        <v>#REF!</v>
      </c>
      <c r="FL19" s="1" t="e">
        <f t="shared" si="4"/>
        <v>#REF!</v>
      </c>
      <c r="FM19" s="1" t="e">
        <f t="shared" si="4"/>
        <v>#REF!</v>
      </c>
      <c r="FN19" s="1" t="e">
        <f t="shared" si="4"/>
        <v>#REF!</v>
      </c>
      <c r="FO19" s="1" t="e">
        <f t="shared" si="4"/>
        <v>#REF!</v>
      </c>
      <c r="FP19" s="1" t="e">
        <f t="shared" si="4"/>
        <v>#REF!</v>
      </c>
      <c r="FQ19" s="1" t="e">
        <f t="shared" si="4"/>
        <v>#REF!</v>
      </c>
      <c r="FR19" s="1" t="e">
        <f t="shared" si="4"/>
        <v>#REF!</v>
      </c>
      <c r="FS19" s="1" t="e">
        <f t="shared" si="4"/>
        <v>#REF!</v>
      </c>
      <c r="FT19" s="1" t="e">
        <f t="shared" si="4"/>
        <v>#REF!</v>
      </c>
      <c r="FU19" s="1" t="e">
        <f t="shared" si="4"/>
        <v>#REF!</v>
      </c>
      <c r="FV19" s="1" t="e">
        <f t="shared" si="4"/>
        <v>#REF!</v>
      </c>
      <c r="FW19" s="1" t="e">
        <f t="shared" si="4"/>
        <v>#REF!</v>
      </c>
      <c r="FX19" s="1">
        <f>IF(E_Castries_Central!12:12,"AAAAAF7c37M=",0)</f>
        <v>0</v>
      </c>
      <c r="FY19" s="1" t="e">
        <f>AND(E_Castries_Central!A12,"AAAAAF7c37Q=")</f>
        <v>#VALUE!</v>
      </c>
      <c r="FZ19" s="1" t="b">
        <f>AND(E_Castries_Central!B12,"AAAAAF7c37U=")</f>
        <v>1</v>
      </c>
      <c r="GA19" s="1" t="b">
        <f>AND(E_Castries_Central!C12,"AAAAAF7c37Y=")</f>
        <v>1</v>
      </c>
      <c r="GB19" s="1" t="b">
        <f>AND(E_Castries_Central!D12,"AAAAAF7c37c=")</f>
        <v>1</v>
      </c>
      <c r="GC19" s="1" t="b">
        <f>AND(E_Castries_Central!E12,"AAAAAF7c37g=")</f>
        <v>1</v>
      </c>
      <c r="GD19" s="1" t="b">
        <f>AND(E_Castries_Central!F12,"AAAAAF7c37k=")</f>
        <v>1</v>
      </c>
      <c r="GE19" s="1" t="b">
        <f>AND(E_Castries_Central!G12,"AAAAAF7c37o=")</f>
        <v>0</v>
      </c>
      <c r="GF19" s="1" t="b">
        <f>AND(E_Castries_Central!H12,"AAAAAF7c37s=")</f>
        <v>0</v>
      </c>
      <c r="GG19" s="1" t="e">
        <f>AND(E_Castries_Central!#REF!,"AAAAAF7c37w=")</f>
        <v>#REF!</v>
      </c>
      <c r="GH19" s="1" t="e">
        <f>AND(E_Castries_Central!#REF!,"AAAAAF7c370=")</f>
        <v>#REF!</v>
      </c>
      <c r="GI19" s="1" t="b">
        <f>AND(E_Castries_Central!I12,"AAAAAF7c374=")</f>
        <v>1</v>
      </c>
      <c r="GJ19" s="1" t="b">
        <f>AND(E_Castries_Central!J12,"AAAAAF7c378=")</f>
        <v>1</v>
      </c>
      <c r="GK19" s="1" t="b">
        <f>AND(E_Castries_Central!K12,"AAAAAF7c38A=")</f>
        <v>1</v>
      </c>
      <c r="GL19" s="1" t="b">
        <f>AND(E_Castries_Central!L12,"AAAAAF7c38E=")</f>
        <v>1</v>
      </c>
      <c r="GM19" s="1" t="b">
        <f>AND(E_Castries_Central!M12,"AAAAAF7c38I=")</f>
        <v>1</v>
      </c>
      <c r="GN19" s="1" t="b">
        <f>AND(E_Castries_Central!N12,"AAAAAF7c38M=")</f>
        <v>1</v>
      </c>
      <c r="GO19" s="1">
        <f>IF(E_Castries_Central!13:13,"AAAAAF7c38Q=",0)</f>
        <v>0</v>
      </c>
      <c r="GP19" s="1" t="e">
        <f>AND(E_Castries_Central!A13,"AAAAAF7c38U=")</f>
        <v>#VALUE!</v>
      </c>
      <c r="GQ19" s="1" t="b">
        <f>AND(E_Castries_Central!B13,"AAAAAF7c38Y=")</f>
        <v>1</v>
      </c>
      <c r="GR19" s="1" t="b">
        <f>AND(E_Castries_Central!C13,"AAAAAF7c38c=")</f>
        <v>1</v>
      </c>
      <c r="GS19" s="1" t="b">
        <f>AND(E_Castries_Central!D13,"AAAAAF7c38g=")</f>
        <v>1</v>
      </c>
      <c r="GT19" s="1" t="b">
        <f>AND(E_Castries_Central!E13,"AAAAAF7c38k=")</f>
        <v>1</v>
      </c>
      <c r="GU19" s="1" t="b">
        <f>AND(E_Castries_Central!F13,"AAAAAF7c38o=")</f>
        <v>1</v>
      </c>
      <c r="GV19" s="1" t="b">
        <f>AND(E_Castries_Central!G13,"AAAAAF7c38s=")</f>
        <v>0</v>
      </c>
      <c r="GW19" s="1" t="b">
        <f>AND(E_Castries_Central!H13,"AAAAAF7c38w=")</f>
        <v>0</v>
      </c>
      <c r="GX19" s="1" t="e">
        <f>AND(E_Castries_Central!#REF!,"AAAAAF7c380=")</f>
        <v>#REF!</v>
      </c>
      <c r="GY19" s="1" t="e">
        <f>AND(E_Castries_Central!#REF!,"AAAAAF7c384=")</f>
        <v>#REF!</v>
      </c>
      <c r="GZ19" s="1" t="b">
        <f>AND(E_Castries_Central!I13,"AAAAAF7c388=")</f>
        <v>1</v>
      </c>
      <c r="HA19" s="1" t="b">
        <f>AND(E_Castries_Central!J13,"AAAAAF7c39A=")</f>
        <v>1</v>
      </c>
      <c r="HB19" s="1" t="b">
        <f>AND(E_Castries_Central!K13,"AAAAAF7c39E=")</f>
        <v>1</v>
      </c>
      <c r="HC19" s="1" t="b">
        <f>AND(E_Castries_Central!L13,"AAAAAF7c39I=")</f>
        <v>1</v>
      </c>
      <c r="HD19" s="1" t="b">
        <f>AND(E_Castries_Central!M13,"AAAAAF7c39M=")</f>
        <v>1</v>
      </c>
      <c r="HE19" s="1" t="b">
        <f>AND(E_Castries_Central!N13,"AAAAAF7c39Q=")</f>
        <v>1</v>
      </c>
      <c r="HF19" s="1">
        <f>IF(E_Castries_Central!14:14,"AAAAAF7c39U=",0)</f>
        <v>0</v>
      </c>
      <c r="HG19" s="1" t="e">
        <f>AND(E_Castries_Central!A14,"AAAAAF7c39Y=")</f>
        <v>#VALUE!</v>
      </c>
      <c r="HH19" s="1" t="b">
        <f>AND(E_Castries_Central!B14,"AAAAAF7c39c=")</f>
        <v>1</v>
      </c>
      <c r="HI19" s="1" t="b">
        <f>AND(E_Castries_Central!C14,"AAAAAF7c39g=")</f>
        <v>1</v>
      </c>
      <c r="HJ19" s="1" t="b">
        <f>AND(E_Castries_Central!D14,"AAAAAF7c39k=")</f>
        <v>1</v>
      </c>
      <c r="HK19" s="1" t="b">
        <f>AND(E_Castries_Central!E14,"AAAAAF7c39o=")</f>
        <v>1</v>
      </c>
      <c r="HL19" s="1" t="b">
        <f>AND(E_Castries_Central!F14,"AAAAAF7c39s=")</f>
        <v>1</v>
      </c>
      <c r="HM19" s="1" t="b">
        <f>AND(E_Castries_Central!G14,"AAAAAF7c39w=")</f>
        <v>0</v>
      </c>
      <c r="HN19" s="1" t="b">
        <f>AND(E_Castries_Central!H14,"AAAAAF7c390=")</f>
        <v>0</v>
      </c>
      <c r="HO19" s="1" t="e">
        <f>AND(E_Castries_Central!#REF!,"AAAAAF7c394=")</f>
        <v>#REF!</v>
      </c>
      <c r="HP19" s="1" t="e">
        <f>AND(E_Castries_Central!#REF!,"AAAAAF7c398=")</f>
        <v>#REF!</v>
      </c>
      <c r="HQ19" s="1" t="b">
        <f>AND(E_Castries_Central!I14,"AAAAAF7c3+A=")</f>
        <v>1</v>
      </c>
      <c r="HR19" s="1" t="b">
        <f>AND(E_Castries_Central!J14,"AAAAAF7c3+E=")</f>
        <v>1</v>
      </c>
      <c r="HS19" s="1" t="b">
        <f>AND(E_Castries_Central!K14,"AAAAAF7c3+I=")</f>
        <v>1</v>
      </c>
      <c r="HT19" s="1" t="b">
        <f>AND(E_Castries_Central!L14,"AAAAAF7c3+M=")</f>
        <v>1</v>
      </c>
      <c r="HU19" s="1" t="b">
        <f>AND(E_Castries_Central!M14,"AAAAAF7c3+Q=")</f>
        <v>1</v>
      </c>
      <c r="HV19" s="1" t="b">
        <f>AND(E_Castries_Central!N14,"AAAAAF7c3+U=")</f>
        <v>1</v>
      </c>
      <c r="HW19" s="1">
        <f>IF(E_Castries_Central!15:15,"AAAAAF7c3+Y=",0)</f>
        <v>0</v>
      </c>
      <c r="HX19" s="1" t="e">
        <f>AND(E_Castries_Central!A15,"AAAAAF7c3+c=")</f>
        <v>#VALUE!</v>
      </c>
      <c r="HY19" s="1" t="b">
        <f>AND(E_Castries_Central!B15,"AAAAAF7c3+g=")</f>
        <v>1</v>
      </c>
      <c r="HZ19" s="1" t="b">
        <f>AND(E_Castries_Central!C15,"AAAAAF7c3+k=")</f>
        <v>1</v>
      </c>
      <c r="IA19" s="1" t="b">
        <f>AND(E_Castries_Central!D15,"AAAAAF7c3+o=")</f>
        <v>1</v>
      </c>
      <c r="IB19" s="1" t="b">
        <f>AND(E_Castries_Central!E15,"AAAAAF7c3+s=")</f>
        <v>1</v>
      </c>
      <c r="IC19" s="1" t="b">
        <f>AND(E_Castries_Central!F15,"AAAAAF7c3+w=")</f>
        <v>1</v>
      </c>
      <c r="ID19" s="1" t="b">
        <f>AND(E_Castries_Central!G15,"AAAAAF7c3+0=")</f>
        <v>0</v>
      </c>
      <c r="IE19" s="1" t="b">
        <f>AND(E_Castries_Central!H15,"AAAAAF7c3+4=")</f>
        <v>0</v>
      </c>
      <c r="IF19" s="1" t="e">
        <f>AND(E_Castries_Central!#REF!,"AAAAAF7c3+8=")</f>
        <v>#REF!</v>
      </c>
      <c r="IG19" s="1" t="e">
        <f>AND(E_Castries_Central!#REF!,"AAAAAF7c3/A=")</f>
        <v>#REF!</v>
      </c>
      <c r="IH19" s="1" t="b">
        <f>AND(E_Castries_Central!I15,"AAAAAF7c3/E=")</f>
        <v>1</v>
      </c>
      <c r="II19" s="1" t="b">
        <f>AND(E_Castries_Central!J15,"AAAAAF7c3/I=")</f>
        <v>1</v>
      </c>
      <c r="IJ19" s="1" t="b">
        <f>AND(E_Castries_Central!K15,"AAAAAF7c3/M=")</f>
        <v>1</v>
      </c>
      <c r="IK19" s="1" t="b">
        <f>AND(E_Castries_Central!L15,"AAAAAF7c3/Q=")</f>
        <v>1</v>
      </c>
      <c r="IL19" s="1" t="b">
        <f>AND(E_Castries_Central!M15,"AAAAAF7c3/U=")</f>
        <v>1</v>
      </c>
      <c r="IM19" s="1" t="b">
        <f>AND(E_Castries_Central!N15,"AAAAAF7c3/Y=")</f>
        <v>1</v>
      </c>
      <c r="IN19" s="1" t="e">
        <f>IF(E_Castries_Central!#REF!,"AAAAAF7c3/c=",0)</f>
        <v>#REF!</v>
      </c>
      <c r="IO19" s="1" t="e">
        <f>AND(E_Castries_Central!#REF!,"AAAAAF7c3/g=")</f>
        <v>#REF!</v>
      </c>
      <c r="IP19" s="1" t="e">
        <f>AND(E_Castries_Central!#REF!,"AAAAAF7c3/k=")</f>
        <v>#REF!</v>
      </c>
      <c r="IQ19" s="1" t="e">
        <f>AND(E_Castries_Central!#REF!,"AAAAAF7c3/o=")</f>
        <v>#REF!</v>
      </c>
      <c r="IR19" s="1" t="e">
        <f>AND(E_Castries_Central!#REF!,"AAAAAF7c3/s=")</f>
        <v>#REF!</v>
      </c>
      <c r="IS19" s="1" t="e">
        <f>AND(E_Castries_Central!#REF!,"AAAAAF7c3/w=")</f>
        <v>#REF!</v>
      </c>
      <c r="IT19" s="1" t="e">
        <f>AND(E_Castries_Central!#REF!,"AAAAAF7c3/0=")</f>
        <v>#REF!</v>
      </c>
      <c r="IU19" s="1" t="e">
        <f>AND(E_Castries_Central!#REF!,"AAAAAF7c3/4=")</f>
        <v>#REF!</v>
      </c>
      <c r="IV19" s="1" t="e">
        <f>AND(E_Castries_Central!#REF!,"AAAAAF7c3/8=")</f>
        <v>#REF!</v>
      </c>
    </row>
    <row r="20" spans="1:256" ht="12" customHeight="1" x14ac:dyDescent="0.2">
      <c r="A20" s="1" t="e">
        <f>AND(E_Castries_Central!#REF!,"AAAAAF//xgA=")</f>
        <v>#REF!</v>
      </c>
      <c r="B20" s="1" t="e">
        <f>AND(E_Castries_Central!#REF!,"AAAAAF//xgE=")</f>
        <v>#REF!</v>
      </c>
      <c r="C20" s="1" t="e">
        <f>AND(E_Castries_Central!#REF!,"AAAAAF//xgI=")</f>
        <v>#REF!</v>
      </c>
      <c r="D20" s="1" t="e">
        <f>AND(E_Castries_Central!#REF!,"AAAAAF//xgM=")</f>
        <v>#REF!</v>
      </c>
      <c r="E20" s="1" t="e">
        <f>AND(E_Castries_Central!#REF!,"AAAAAF//xgQ=")</f>
        <v>#REF!</v>
      </c>
      <c r="F20" s="1" t="e">
        <f>AND(E_Castries_Central!#REF!,"AAAAAF//xgU=")</f>
        <v>#REF!</v>
      </c>
      <c r="G20" s="1" t="e">
        <f>AND(E_Castries_Central!#REF!,"AAAAAF//xgY=")</f>
        <v>#REF!</v>
      </c>
      <c r="H20" s="1" t="e">
        <f>AND(E_Castries_Central!#REF!,"AAAAAF//xgc=")</f>
        <v>#REF!</v>
      </c>
      <c r="I20" s="1" t="str">
        <f>IF(E_Castries_Central!16:16,"AAAAAF//xgg=",0)</f>
        <v>AAAAAF//xgg=</v>
      </c>
      <c r="J20" s="1" t="e">
        <f>AND(E_Castries_Central!A16,"AAAAAF//xgk=")</f>
        <v>#VALUE!</v>
      </c>
      <c r="K20" s="1" t="b">
        <f>AND(E_Castries_Central!B16,"AAAAAF//xgo=")</f>
        <v>1</v>
      </c>
      <c r="L20" s="1" t="b">
        <f>AND(E_Castries_Central!C16,"AAAAAF//xgs=")</f>
        <v>1</v>
      </c>
      <c r="M20" s="1" t="b">
        <f>AND(E_Castries_Central!D16,"AAAAAF//xgw=")</f>
        <v>1</v>
      </c>
      <c r="N20" s="1" t="b">
        <f>AND(E_Castries_Central!E16,"AAAAAF//xg0=")</f>
        <v>1</v>
      </c>
      <c r="O20" s="1" t="b">
        <f>AND(E_Castries_Central!F16,"AAAAAF//xg4=")</f>
        <v>1</v>
      </c>
      <c r="P20" s="1" t="b">
        <f>AND(E_Castries_Central!G16,"AAAAAF//xg8=")</f>
        <v>0</v>
      </c>
      <c r="Q20" s="1" t="b">
        <f>AND(E_Castries_Central!H16,"AAAAAF//xhA=")</f>
        <v>0</v>
      </c>
      <c r="R20" s="1" t="e">
        <f>AND(E_Castries_Central!#REF!,"AAAAAF//xhE=")</f>
        <v>#REF!</v>
      </c>
      <c r="S20" s="1" t="e">
        <f>AND(E_Castries_Central!#REF!,"AAAAAF//xhI=")</f>
        <v>#REF!</v>
      </c>
      <c r="T20" s="1" t="b">
        <f>AND(E_Castries_Central!I16,"AAAAAF//xhM=")</f>
        <v>1</v>
      </c>
      <c r="U20" s="1" t="b">
        <f>AND(E_Castries_Central!J16,"AAAAAF//xhQ=")</f>
        <v>1</v>
      </c>
      <c r="V20" s="1" t="b">
        <f>AND(E_Castries_Central!K16,"AAAAAF//xhU=")</f>
        <v>1</v>
      </c>
      <c r="W20" s="1" t="b">
        <f>AND(E_Castries_Central!L16,"AAAAAF//xhY=")</f>
        <v>1</v>
      </c>
      <c r="X20" s="1" t="b">
        <f>AND(E_Castries_Central!M16,"AAAAAF//xhc=")</f>
        <v>1</v>
      </c>
      <c r="Y20" s="1" t="b">
        <f>AND(E_Castries_Central!N16,"AAAAAF//xhg=")</f>
        <v>1</v>
      </c>
      <c r="Z20" s="1">
        <f>IF(E_Castries_Central!18:18,"AAAAAF//xhk=",0)</f>
        <v>0</v>
      </c>
      <c r="AA20" s="1" t="e">
        <f>AND(E_Castries_Central!A18,"AAAAAF//xho=")</f>
        <v>#VALUE!</v>
      </c>
      <c r="AB20" s="1" t="e">
        <f>AND(E_Castries_Central!B18,"AAAAAF//xhs=")</f>
        <v>#VALUE!</v>
      </c>
      <c r="AC20" s="1" t="e">
        <f>AND(E_Castries_Central!C18,"AAAAAF//xhw=")</f>
        <v>#VALUE!</v>
      </c>
      <c r="AD20" s="1" t="e">
        <f>AND(E_Castries_Central!D18,"AAAAAF//xh0=")</f>
        <v>#VALUE!</v>
      </c>
      <c r="AE20" s="1" t="e">
        <f>AND(E_Castries_Central!E18,"AAAAAF//xh4=")</f>
        <v>#VALUE!</v>
      </c>
      <c r="AF20" s="1" t="e">
        <f>AND(E_Castries_Central!F18,"AAAAAF//xh8=")</f>
        <v>#VALUE!</v>
      </c>
      <c r="AG20" s="1" t="e">
        <f>AND(E_Castries_Central!G18,"AAAAAF//xiA=")</f>
        <v>#VALUE!</v>
      </c>
      <c r="AH20" s="1" t="e">
        <f>AND(E_Castries_Central!H18,"AAAAAF//xiE=")</f>
        <v>#VALUE!</v>
      </c>
      <c r="AI20" s="1" t="e">
        <f>AND(E_Castries_Central!#REF!,"AAAAAF//xiI=")</f>
        <v>#REF!</v>
      </c>
      <c r="AJ20" s="1" t="e">
        <f>AND(E_Castries_Central!#REF!,"AAAAAF//xiM=")</f>
        <v>#REF!</v>
      </c>
      <c r="AK20" s="1" t="e">
        <f>AND(E_Castries_Central!I18,"AAAAAF//xiQ=")</f>
        <v>#VALUE!</v>
      </c>
      <c r="AL20" s="1" t="e">
        <f>AND(E_Castries_Central!J18,"AAAAAF//xiU=")</f>
        <v>#VALUE!</v>
      </c>
      <c r="AM20" s="1" t="e">
        <f>AND(E_Castries_Central!K18,"AAAAAF//xiY=")</f>
        <v>#VALUE!</v>
      </c>
      <c r="AN20" s="1" t="e">
        <f>AND(E_Castries_Central!L18,"AAAAAF//xic=")</f>
        <v>#VALUE!</v>
      </c>
      <c r="AO20" s="1" t="e">
        <f>AND(E_Castries_Central!M18,"AAAAAF//xig=")</f>
        <v>#VALUE!</v>
      </c>
      <c r="AP20" s="1" t="e">
        <f>AND(E_Castries_Central!N18,"AAAAAF//xik=")</f>
        <v>#VALUE!</v>
      </c>
      <c r="AQ20" s="1" t="e">
        <f t="shared" ref="AQ20:CO20" si="5">IF(E_Castries_Central!#REF!,"AAAAAF//xio=",0)</f>
        <v>#REF!</v>
      </c>
      <c r="AR20" s="1" t="e">
        <f t="shared" si="5"/>
        <v>#REF!</v>
      </c>
      <c r="AS20" s="1" t="e">
        <f t="shared" si="5"/>
        <v>#REF!</v>
      </c>
      <c r="AT20" s="1" t="e">
        <f t="shared" si="5"/>
        <v>#REF!</v>
      </c>
      <c r="AU20" s="1" t="e">
        <f t="shared" si="5"/>
        <v>#REF!</v>
      </c>
      <c r="AV20" s="1" t="e">
        <f t="shared" si="5"/>
        <v>#REF!</v>
      </c>
      <c r="AW20" s="1" t="e">
        <f t="shared" si="5"/>
        <v>#REF!</v>
      </c>
      <c r="AX20" s="1" t="e">
        <f t="shared" si="5"/>
        <v>#REF!</v>
      </c>
      <c r="AY20" s="1" t="e">
        <f t="shared" si="5"/>
        <v>#REF!</v>
      </c>
      <c r="AZ20" s="1" t="e">
        <f t="shared" si="5"/>
        <v>#REF!</v>
      </c>
      <c r="BA20" s="1" t="e">
        <f t="shared" si="5"/>
        <v>#REF!</v>
      </c>
      <c r="BB20" s="1" t="e">
        <f t="shared" si="5"/>
        <v>#REF!</v>
      </c>
      <c r="BC20" s="1" t="e">
        <f t="shared" si="5"/>
        <v>#REF!</v>
      </c>
      <c r="BD20" s="1" t="e">
        <f t="shared" si="5"/>
        <v>#REF!</v>
      </c>
      <c r="BE20" s="1" t="e">
        <f t="shared" si="5"/>
        <v>#REF!</v>
      </c>
      <c r="BF20" s="1" t="e">
        <f t="shared" si="5"/>
        <v>#REF!</v>
      </c>
      <c r="BG20" s="1" t="e">
        <f t="shared" si="5"/>
        <v>#REF!</v>
      </c>
      <c r="BH20" s="1" t="e">
        <f t="shared" si="5"/>
        <v>#REF!</v>
      </c>
      <c r="BI20" s="1" t="e">
        <f t="shared" si="5"/>
        <v>#REF!</v>
      </c>
      <c r="BJ20" s="1" t="e">
        <f t="shared" si="5"/>
        <v>#REF!</v>
      </c>
      <c r="BK20" s="1" t="e">
        <f t="shared" si="5"/>
        <v>#REF!</v>
      </c>
      <c r="BL20" s="1" t="e">
        <f t="shared" si="5"/>
        <v>#REF!</v>
      </c>
      <c r="BM20" s="1" t="e">
        <f t="shared" si="5"/>
        <v>#REF!</v>
      </c>
      <c r="BN20" s="1" t="e">
        <f t="shared" si="5"/>
        <v>#REF!</v>
      </c>
      <c r="BO20" s="1" t="e">
        <f t="shared" si="5"/>
        <v>#REF!</v>
      </c>
      <c r="BP20" s="1" t="e">
        <f t="shared" si="5"/>
        <v>#REF!</v>
      </c>
      <c r="BQ20" s="1" t="e">
        <f t="shared" si="5"/>
        <v>#REF!</v>
      </c>
      <c r="BR20" s="1" t="e">
        <f t="shared" si="5"/>
        <v>#REF!</v>
      </c>
      <c r="BS20" s="1" t="e">
        <f t="shared" si="5"/>
        <v>#REF!</v>
      </c>
      <c r="BT20" s="1" t="e">
        <f t="shared" si="5"/>
        <v>#REF!</v>
      </c>
      <c r="BU20" s="1" t="e">
        <f t="shared" si="5"/>
        <v>#REF!</v>
      </c>
      <c r="BV20" s="1" t="e">
        <f t="shared" si="5"/>
        <v>#REF!</v>
      </c>
      <c r="BW20" s="1" t="e">
        <f t="shared" si="5"/>
        <v>#REF!</v>
      </c>
      <c r="BX20" s="1" t="e">
        <f t="shared" si="5"/>
        <v>#REF!</v>
      </c>
      <c r="BY20" s="1" t="e">
        <f t="shared" si="5"/>
        <v>#REF!</v>
      </c>
      <c r="BZ20" s="1" t="e">
        <f t="shared" si="5"/>
        <v>#REF!</v>
      </c>
      <c r="CA20" s="1" t="e">
        <f t="shared" si="5"/>
        <v>#REF!</v>
      </c>
      <c r="CB20" s="1" t="e">
        <f t="shared" si="5"/>
        <v>#REF!</v>
      </c>
      <c r="CC20" s="1" t="e">
        <f t="shared" si="5"/>
        <v>#REF!</v>
      </c>
      <c r="CD20" s="1" t="e">
        <f t="shared" si="5"/>
        <v>#REF!</v>
      </c>
      <c r="CE20" s="1" t="e">
        <f t="shared" si="5"/>
        <v>#REF!</v>
      </c>
      <c r="CF20" s="1" t="e">
        <f t="shared" si="5"/>
        <v>#REF!</v>
      </c>
      <c r="CG20" s="1" t="e">
        <f t="shared" si="5"/>
        <v>#REF!</v>
      </c>
      <c r="CH20" s="1" t="e">
        <f t="shared" si="5"/>
        <v>#REF!</v>
      </c>
      <c r="CI20" s="1" t="e">
        <f t="shared" si="5"/>
        <v>#REF!</v>
      </c>
      <c r="CJ20" s="1" t="e">
        <f t="shared" si="5"/>
        <v>#REF!</v>
      </c>
      <c r="CK20" s="1" t="e">
        <f t="shared" si="5"/>
        <v>#REF!</v>
      </c>
      <c r="CL20" s="1" t="e">
        <f t="shared" si="5"/>
        <v>#REF!</v>
      </c>
      <c r="CM20" s="1" t="e">
        <f t="shared" si="5"/>
        <v>#REF!</v>
      </c>
      <c r="CN20" s="1" t="e">
        <f t="shared" si="5"/>
        <v>#REF!</v>
      </c>
      <c r="CO20" s="1" t="e">
        <f t="shared" si="5"/>
        <v>#REF!</v>
      </c>
      <c r="CP20" s="1">
        <f>IF(E_Castries_Central!19:19,"AAAAAF//xl0=",0)</f>
        <v>0</v>
      </c>
      <c r="CQ20" s="1" t="e">
        <f>AND(E_Castries_Central!A19,"AAAAAF//xl4=")</f>
        <v>#VALUE!</v>
      </c>
      <c r="CR20" s="1" t="b">
        <f>AND(E_Castries_Central!B19,"AAAAAF//xl8=")</f>
        <v>1</v>
      </c>
      <c r="CS20" s="1" t="b">
        <f>AND(E_Castries_Central!C19,"AAAAAF//xmA=")</f>
        <v>1</v>
      </c>
      <c r="CT20" s="1" t="b">
        <f>AND(E_Castries_Central!D19,"AAAAAF//xmE=")</f>
        <v>1</v>
      </c>
      <c r="CU20" s="1" t="b">
        <f>AND(E_Castries_Central!E19,"AAAAAF//xmI=")</f>
        <v>1</v>
      </c>
      <c r="CV20" s="1" t="b">
        <f>AND(E_Castries_Central!F19,"AAAAAF//xmM=")</f>
        <v>1</v>
      </c>
      <c r="CW20" s="1" t="b">
        <f>AND(E_Castries_Central!G19,"AAAAAF//xmQ=")</f>
        <v>0</v>
      </c>
      <c r="CX20" s="1" t="b">
        <f>AND(E_Castries_Central!H19,"AAAAAF//xmU=")</f>
        <v>0</v>
      </c>
      <c r="CY20" s="1" t="e">
        <f>AND(E_Castries_Central!#REF!,"AAAAAF//xmY=")</f>
        <v>#REF!</v>
      </c>
      <c r="CZ20" s="1" t="e">
        <f>AND(E_Castries_Central!#REF!,"AAAAAF//xmc=")</f>
        <v>#REF!</v>
      </c>
      <c r="DA20" s="1" t="b">
        <f>AND(E_Castries_Central!I19,"AAAAAF//xmg=")</f>
        <v>1</v>
      </c>
      <c r="DB20" s="1" t="b">
        <f>AND(E_Castries_Central!J19,"AAAAAF//xmk=")</f>
        <v>1</v>
      </c>
      <c r="DC20" s="1" t="b">
        <f>AND(E_Castries_Central!K19,"AAAAAF//xmo=")</f>
        <v>1</v>
      </c>
      <c r="DD20" s="1" t="b">
        <f>AND(E_Castries_Central!L19,"AAAAAF//xms=")</f>
        <v>1</v>
      </c>
      <c r="DE20" s="1" t="b">
        <f>AND(E_Castries_Central!M19,"AAAAAF//xmw=")</f>
        <v>1</v>
      </c>
      <c r="DF20" s="1" t="b">
        <f>AND(E_Castries_Central!N19,"AAAAAF//xm0=")</f>
        <v>1</v>
      </c>
      <c r="DG20" s="1">
        <f>IF(E_Castries_Central!20:20,"AAAAAF//xm4=",0)</f>
        <v>0</v>
      </c>
      <c r="DH20" s="1" t="e">
        <f>AND(E_Castries_Central!A20,"AAAAAF//xm8=")</f>
        <v>#VALUE!</v>
      </c>
      <c r="DI20" s="1" t="b">
        <f>AND(E_Castries_Central!B20,"AAAAAF//xnA=")</f>
        <v>1</v>
      </c>
      <c r="DJ20" s="1" t="b">
        <f>AND(E_Castries_Central!C20,"AAAAAF//xnE=")</f>
        <v>1</v>
      </c>
      <c r="DK20" s="1" t="b">
        <f>AND(E_Castries_Central!D20,"AAAAAF//xnI=")</f>
        <v>1</v>
      </c>
      <c r="DL20" s="1" t="b">
        <f>AND(E_Castries_Central!E20,"AAAAAF//xnM=")</f>
        <v>1</v>
      </c>
      <c r="DM20" s="1" t="b">
        <f>AND(E_Castries_Central!F20,"AAAAAF//xnQ=")</f>
        <v>1</v>
      </c>
      <c r="DN20" s="1" t="b">
        <f>AND(E_Castries_Central!G20,"AAAAAF//xnU=")</f>
        <v>1</v>
      </c>
      <c r="DO20" s="1" t="b">
        <f>AND(E_Castries_Central!H20,"AAAAAF//xnY=")</f>
        <v>1</v>
      </c>
      <c r="DP20" s="1" t="e">
        <f>AND(E_Castries_Central!#REF!,"AAAAAF//xnc=")</f>
        <v>#REF!</v>
      </c>
      <c r="DQ20" s="1" t="e">
        <f>AND(E_Castries_Central!#REF!,"AAAAAF//xng=")</f>
        <v>#REF!</v>
      </c>
      <c r="DR20" s="1" t="b">
        <f>AND(E_Castries_Central!I20,"AAAAAF//xnk=")</f>
        <v>1</v>
      </c>
      <c r="DS20" s="1" t="b">
        <f>AND(E_Castries_Central!J20,"AAAAAF//xno=")</f>
        <v>1</v>
      </c>
      <c r="DT20" s="1" t="b">
        <f>AND(E_Castries_Central!K20,"AAAAAF//xns=")</f>
        <v>1</v>
      </c>
      <c r="DU20" s="1" t="b">
        <f>AND(E_Castries_Central!L20,"AAAAAF//xnw=")</f>
        <v>1</v>
      </c>
      <c r="DV20" s="1" t="b">
        <f>AND(E_Castries_Central!M20,"AAAAAF//xn0=")</f>
        <v>1</v>
      </c>
      <c r="DW20" s="1" t="b">
        <f>AND(E_Castries_Central!N20,"AAAAAF//xn4=")</f>
        <v>1</v>
      </c>
      <c r="DX20" s="1">
        <f>IF(E_Castries_Central!21:21,"AAAAAF//xn8=",0)</f>
        <v>0</v>
      </c>
      <c r="DY20" s="1" t="e">
        <f>AND(E_Castries_Central!A21,"AAAAAF//xoA=")</f>
        <v>#VALUE!</v>
      </c>
      <c r="DZ20" s="1" t="b">
        <f>AND(E_Castries_Central!B21,"AAAAAF//xoE=")</f>
        <v>1</v>
      </c>
      <c r="EA20" s="1" t="b">
        <f>AND(E_Castries_Central!C21,"AAAAAF//xoI=")</f>
        <v>1</v>
      </c>
      <c r="EB20" s="1" t="b">
        <f>AND(E_Castries_Central!D21,"AAAAAF//xoM=")</f>
        <v>1</v>
      </c>
      <c r="EC20" s="1" t="b">
        <f>AND(E_Castries_Central!E21,"AAAAAF//xoQ=")</f>
        <v>1</v>
      </c>
      <c r="ED20" s="1" t="b">
        <f>AND(E_Castries_Central!F21,"AAAAAF//xoU=")</f>
        <v>1</v>
      </c>
      <c r="EE20" s="1" t="b">
        <f>AND(E_Castries_Central!G21,"AAAAAF//xoY=")</f>
        <v>0</v>
      </c>
      <c r="EF20" s="1" t="b">
        <f>AND(E_Castries_Central!H21,"AAAAAF//xoc=")</f>
        <v>0</v>
      </c>
      <c r="EG20" s="1" t="e">
        <f>AND(E_Castries_Central!#REF!,"AAAAAF//xog=")</f>
        <v>#REF!</v>
      </c>
      <c r="EH20" s="1" t="e">
        <f>AND(E_Castries_Central!#REF!,"AAAAAF//xok=")</f>
        <v>#REF!</v>
      </c>
      <c r="EI20" s="1" t="b">
        <f>AND(E_Castries_Central!I21,"AAAAAF//xoo=")</f>
        <v>1</v>
      </c>
      <c r="EJ20" s="1" t="b">
        <f>AND(E_Castries_Central!J21,"AAAAAF//xos=")</f>
        <v>1</v>
      </c>
      <c r="EK20" s="1" t="b">
        <f>AND(E_Castries_Central!K21,"AAAAAF//xow=")</f>
        <v>1</v>
      </c>
      <c r="EL20" s="1" t="b">
        <f>AND(E_Castries_Central!L21,"AAAAAF//xo0=")</f>
        <v>1</v>
      </c>
      <c r="EM20" s="1" t="b">
        <f>AND(E_Castries_Central!M21,"AAAAAF//xo4=")</f>
        <v>1</v>
      </c>
      <c r="EN20" s="1" t="b">
        <f>AND(E_Castries_Central!N21,"AAAAAF//xo8=")</f>
        <v>1</v>
      </c>
      <c r="EO20" s="1">
        <f>IF(E_Castries_Central!23:23,"AAAAAF//xpA=",0)</f>
        <v>0</v>
      </c>
      <c r="EP20" s="1" t="e">
        <f>AND(E_Castries_Central!A23,"AAAAAF//xpE=")</f>
        <v>#VALUE!</v>
      </c>
      <c r="EQ20" s="1" t="b">
        <f>AND(E_Castries_Central!B23,"AAAAAF//xpI=")</f>
        <v>1</v>
      </c>
      <c r="ER20" s="1" t="b">
        <f>AND(E_Castries_Central!C23,"AAAAAF//xpM=")</f>
        <v>1</v>
      </c>
      <c r="ES20" s="1" t="b">
        <f>AND(E_Castries_Central!D23,"AAAAAF//xpQ=")</f>
        <v>1</v>
      </c>
      <c r="ET20" s="1" t="b">
        <f>AND(E_Castries_Central!E23,"AAAAAF//xpU=")</f>
        <v>1</v>
      </c>
      <c r="EU20" s="1" t="b">
        <f>AND(E_Castries_Central!F23,"AAAAAF//xpY=")</f>
        <v>1</v>
      </c>
      <c r="EV20" s="1" t="b">
        <f>AND(E_Castries_Central!G23,"AAAAAF//xpc=")</f>
        <v>1</v>
      </c>
      <c r="EW20" s="1" t="b">
        <f>AND(E_Castries_Central!H23,"AAAAAF//xpg=")</f>
        <v>1</v>
      </c>
      <c r="EX20" s="1" t="e">
        <f>AND(E_Castries_Central!#REF!,"AAAAAF//xpk=")</f>
        <v>#REF!</v>
      </c>
      <c r="EY20" s="1" t="e">
        <f>AND(E_Castries_Central!#REF!,"AAAAAF//xpo=")</f>
        <v>#REF!</v>
      </c>
      <c r="EZ20" s="1" t="b">
        <f>AND(E_Castries_Central!I23,"AAAAAF//xps=")</f>
        <v>1</v>
      </c>
      <c r="FA20" s="1" t="b">
        <f>AND(E_Castries_Central!J23,"AAAAAF//xpw=")</f>
        <v>1</v>
      </c>
      <c r="FB20" s="1" t="b">
        <f>AND(E_Castries_Central!K23,"AAAAAF//xp0=")</f>
        <v>1</v>
      </c>
      <c r="FC20" s="1" t="b">
        <f>AND(E_Castries_Central!L23,"AAAAAF//xp4=")</f>
        <v>1</v>
      </c>
      <c r="FD20" s="1" t="b">
        <f>AND(E_Castries_Central!M23,"AAAAAF//xp8=")</f>
        <v>1</v>
      </c>
      <c r="FE20" s="1" t="b">
        <f>AND(E_Castries_Central!N23,"AAAAAF//xqA=")</f>
        <v>1</v>
      </c>
      <c r="FF20" s="1">
        <f>IF(E_Castries_Central!25:25,"AAAAAF//xqE=",0)</f>
        <v>0</v>
      </c>
      <c r="FG20" s="1" t="e">
        <f>AND(E_Castries_Central!A25,"AAAAAF//xqI=")</f>
        <v>#VALUE!</v>
      </c>
      <c r="FH20" s="1" t="e">
        <f>AND(E_Castries_Central!B25,"AAAAAF//xqM=")</f>
        <v>#VALUE!</v>
      </c>
      <c r="FI20" s="1" t="e">
        <f>AND(E_Castries_Central!C25,"AAAAAF//xqQ=")</f>
        <v>#VALUE!</v>
      </c>
      <c r="FJ20" s="1" t="e">
        <f>AND(E_Castries_Central!D25,"AAAAAF//xqU=")</f>
        <v>#VALUE!</v>
      </c>
      <c r="FK20" s="1" t="e">
        <f>AND(E_Castries_Central!E25,"AAAAAF//xqY=")</f>
        <v>#VALUE!</v>
      </c>
      <c r="FL20" s="1" t="e">
        <f>AND(E_Castries_Central!F25,"AAAAAF//xqc=")</f>
        <v>#VALUE!</v>
      </c>
      <c r="FM20" s="1" t="e">
        <f>AND(E_Castries_Central!G25,"AAAAAF//xqg=")</f>
        <v>#VALUE!</v>
      </c>
      <c r="FN20" s="1" t="e">
        <f>AND(E_Castries_Central!H25,"AAAAAF//xqk=")</f>
        <v>#VALUE!</v>
      </c>
      <c r="FO20" s="1" t="e">
        <f>AND(E_Castries_Central!#REF!,"AAAAAF//xqo=")</f>
        <v>#REF!</v>
      </c>
      <c r="FP20" s="1" t="e">
        <f>AND(E_Castries_Central!#REF!,"AAAAAF//xqs=")</f>
        <v>#REF!</v>
      </c>
      <c r="FQ20" s="1" t="e">
        <f>AND(E_Castries_Central!I25,"AAAAAF//xqw=")</f>
        <v>#VALUE!</v>
      </c>
      <c r="FR20" s="1" t="e">
        <f>AND(E_Castries_Central!J25,"AAAAAF//xq0=")</f>
        <v>#VALUE!</v>
      </c>
      <c r="FS20" s="1" t="e">
        <f>AND(E_Castries_Central!K25,"AAAAAF//xq4=")</f>
        <v>#VALUE!</v>
      </c>
      <c r="FT20" s="1" t="e">
        <f>AND(E_Castries_Central!L25,"AAAAAF//xq8=")</f>
        <v>#VALUE!</v>
      </c>
      <c r="FU20" s="1" t="e">
        <f>AND(E_Castries_Central!M25,"AAAAAF//xrA=")</f>
        <v>#VALUE!</v>
      </c>
      <c r="FV20" s="1" t="e">
        <f>AND(E_Castries_Central!N25,"AAAAAF//xrE=")</f>
        <v>#VALUE!</v>
      </c>
      <c r="FW20" s="1">
        <f>IF(E_Castries_Central!26:26,"AAAAAF//xrI=",0)</f>
        <v>0</v>
      </c>
      <c r="FX20" s="1" t="e">
        <f>AND(E_Castries_Central!A26,"AAAAAF//xrM=")</f>
        <v>#VALUE!</v>
      </c>
      <c r="FY20" s="1" t="b">
        <f>AND(E_Castries_Central!B26,"AAAAAF//xrQ=")</f>
        <v>1</v>
      </c>
      <c r="FZ20" s="1" t="b">
        <f>AND(E_Castries_Central!C26,"AAAAAF//xrU=")</f>
        <v>1</v>
      </c>
      <c r="GA20" s="1" t="b">
        <f>AND(E_Castries_Central!D26,"AAAAAF//xrY=")</f>
        <v>1</v>
      </c>
      <c r="GB20" s="1" t="b">
        <f>AND(E_Castries_Central!E26,"AAAAAF//xrc=")</f>
        <v>1</v>
      </c>
      <c r="GC20" s="1" t="b">
        <f>AND(E_Castries_Central!F26,"AAAAAF//xrg=")</f>
        <v>1</v>
      </c>
      <c r="GD20" s="1" t="b">
        <f>AND(E_Castries_Central!G26,"AAAAAF//xrk=")</f>
        <v>0</v>
      </c>
      <c r="GE20" s="1" t="b">
        <f>AND(E_Castries_Central!H26,"AAAAAF//xro=")</f>
        <v>0</v>
      </c>
      <c r="GF20" s="1" t="e">
        <f>AND(E_Castries_Central!#REF!,"AAAAAF//xrs=")</f>
        <v>#REF!</v>
      </c>
      <c r="GG20" s="1" t="e">
        <f>AND(E_Castries_Central!#REF!,"AAAAAF//xrw=")</f>
        <v>#REF!</v>
      </c>
      <c r="GH20" s="1" t="b">
        <f>AND(E_Castries_Central!I26,"AAAAAF//xr0=")</f>
        <v>1</v>
      </c>
      <c r="GI20" s="1" t="b">
        <f>AND(E_Castries_Central!J26,"AAAAAF//xr4=")</f>
        <v>1</v>
      </c>
      <c r="GJ20" s="1" t="b">
        <f>AND(E_Castries_Central!K26,"AAAAAF//xr8=")</f>
        <v>1</v>
      </c>
      <c r="GK20" s="1" t="b">
        <f>AND(E_Castries_Central!L26,"AAAAAF//xsA=")</f>
        <v>1</v>
      </c>
      <c r="GL20" s="1" t="b">
        <f>AND(E_Castries_Central!M26,"AAAAAF//xsE=")</f>
        <v>1</v>
      </c>
      <c r="GM20" s="1" t="b">
        <f>AND(E_Castries_Central!N26,"AAAAAF//xsI=")</f>
        <v>1</v>
      </c>
      <c r="GN20" s="1">
        <f>IF(E_Castries_Central!30:30,"AAAAAF//xsM=",0)</f>
        <v>0</v>
      </c>
      <c r="GO20" s="1" t="e">
        <f>AND(E_Castries_Central!A30,"AAAAAF//xsQ=")</f>
        <v>#VALUE!</v>
      </c>
      <c r="GP20" s="1" t="b">
        <f>AND(E_Castries_Central!B30,"AAAAAF//xsU=")</f>
        <v>1</v>
      </c>
      <c r="GQ20" s="1" t="b">
        <f>AND(E_Castries_Central!C30,"AAAAAF//xsY=")</f>
        <v>1</v>
      </c>
      <c r="GR20" s="1" t="b">
        <f>AND(E_Castries_Central!D30,"AAAAAF//xsc=")</f>
        <v>1</v>
      </c>
      <c r="GS20" s="1" t="b">
        <f>AND(E_Castries_Central!E30,"AAAAAF//xsg=")</f>
        <v>1</v>
      </c>
      <c r="GT20" s="1" t="b">
        <f>AND(E_Castries_Central!F30,"AAAAAF//xsk=")</f>
        <v>1</v>
      </c>
      <c r="GU20" s="1" t="b">
        <f>AND(E_Castries_Central!G30,"AAAAAF//xso=")</f>
        <v>0</v>
      </c>
      <c r="GV20" s="1" t="b">
        <f>AND(E_Castries_Central!H30,"AAAAAF//xss=")</f>
        <v>0</v>
      </c>
      <c r="GW20" s="1" t="e">
        <f>AND(E_Castries_Central!#REF!,"AAAAAF//xsw=")</f>
        <v>#REF!</v>
      </c>
      <c r="GX20" s="1" t="e">
        <f>AND(E_Castries_Central!#REF!,"AAAAAF//xs0=")</f>
        <v>#REF!</v>
      </c>
      <c r="GY20" s="1" t="b">
        <f>AND(E_Castries_Central!I30,"AAAAAF//xs4=")</f>
        <v>1</v>
      </c>
      <c r="GZ20" s="1" t="b">
        <f>AND(E_Castries_Central!J30,"AAAAAF//xs8=")</f>
        <v>1</v>
      </c>
      <c r="HA20" s="1" t="b">
        <f>AND(E_Castries_Central!K30,"AAAAAF//xtA=")</f>
        <v>1</v>
      </c>
      <c r="HB20" s="1" t="b">
        <f>AND(E_Castries_Central!L30,"AAAAAF//xtE=")</f>
        <v>1</v>
      </c>
      <c r="HC20" s="1" t="b">
        <f>AND(E_Castries_Central!M30,"AAAAAF//xtI=")</f>
        <v>1</v>
      </c>
      <c r="HD20" s="1" t="b">
        <f>AND(E_Castries_Central!N30,"AAAAAF//xtM=")</f>
        <v>1</v>
      </c>
      <c r="HE20" s="1">
        <f>IF(E_Castries_Central!31:31,"AAAAAF//xtQ=",0)</f>
        <v>0</v>
      </c>
      <c r="HF20" s="1" t="e">
        <f>AND(E_Castries_Central!A31,"AAAAAF//xtU=")</f>
        <v>#VALUE!</v>
      </c>
      <c r="HG20" s="1" t="b">
        <f>AND(E_Castries_Central!B31,"AAAAAF//xtY=")</f>
        <v>1</v>
      </c>
      <c r="HH20" s="1" t="b">
        <f>AND(E_Castries_Central!C31,"AAAAAF//xtc=")</f>
        <v>1</v>
      </c>
      <c r="HI20" s="1" t="b">
        <f>AND(E_Castries_Central!D31,"AAAAAF//xtg=")</f>
        <v>1</v>
      </c>
      <c r="HJ20" s="1" t="b">
        <f>AND(E_Castries_Central!E31,"AAAAAF//xtk=")</f>
        <v>1</v>
      </c>
      <c r="HK20" s="1" t="b">
        <f>AND(E_Castries_Central!F31,"AAAAAF//xto=")</f>
        <v>1</v>
      </c>
      <c r="HL20" s="1" t="b">
        <f>AND(E_Castries_Central!G31,"AAAAAF//xts=")</f>
        <v>1</v>
      </c>
      <c r="HM20" s="1" t="b">
        <f>AND(E_Castries_Central!H31,"AAAAAF//xtw=")</f>
        <v>1</v>
      </c>
      <c r="HN20" s="1" t="e">
        <f>AND(E_Castries_Central!#REF!,"AAAAAF//xt0=")</f>
        <v>#REF!</v>
      </c>
      <c r="HO20" s="1" t="e">
        <f>AND(E_Castries_Central!#REF!,"AAAAAF//xt4=")</f>
        <v>#REF!</v>
      </c>
      <c r="HP20" s="1" t="b">
        <f>AND(E_Castries_Central!I31,"AAAAAF//xt8=")</f>
        <v>1</v>
      </c>
      <c r="HQ20" s="1" t="b">
        <f>AND(E_Castries_Central!J31,"AAAAAF//xuA=")</f>
        <v>1</v>
      </c>
      <c r="HR20" s="1" t="b">
        <f>AND(E_Castries_Central!K31,"AAAAAF//xuE=")</f>
        <v>1</v>
      </c>
      <c r="HS20" s="1" t="b">
        <f>AND(E_Castries_Central!L31,"AAAAAF//xuI=")</f>
        <v>1</v>
      </c>
      <c r="HT20" s="1" t="b">
        <f>AND(E_Castries_Central!M31,"AAAAAF//xuM=")</f>
        <v>1</v>
      </c>
      <c r="HU20" s="1" t="b">
        <f>AND(E_Castries_Central!N31,"AAAAAF//xuQ=")</f>
        <v>1</v>
      </c>
      <c r="HV20" s="1">
        <f>IF(E_Castries_Central!33:33,"AAAAAF//xuU=",0)</f>
        <v>0</v>
      </c>
      <c r="HW20" s="1" t="e">
        <f>AND(E_Castries_Central!A33,"AAAAAF//xuY=")</f>
        <v>#VALUE!</v>
      </c>
      <c r="HX20" s="1" t="e">
        <f>AND(E_Castries_Central!B33,"AAAAAF//xuc=")</f>
        <v>#VALUE!</v>
      </c>
      <c r="HY20" s="1" t="e">
        <f>AND(E_Castries_Central!C33,"AAAAAF//xug=")</f>
        <v>#VALUE!</v>
      </c>
      <c r="HZ20" s="1" t="e">
        <f>AND(E_Castries_Central!D33,"AAAAAF//xuk=")</f>
        <v>#VALUE!</v>
      </c>
      <c r="IA20" s="1" t="e">
        <f>AND(E_Castries_Central!E33,"AAAAAF//xuo=")</f>
        <v>#VALUE!</v>
      </c>
      <c r="IB20" s="1" t="e">
        <f>AND(E_Castries_Central!F33,"AAAAAF//xus=")</f>
        <v>#VALUE!</v>
      </c>
      <c r="IC20" s="1" t="e">
        <f>AND(E_Castries_Central!G33,"AAAAAF//xuw=")</f>
        <v>#VALUE!</v>
      </c>
      <c r="ID20" s="1" t="e">
        <f>AND(E_Castries_Central!H33,"AAAAAF//xu0=")</f>
        <v>#VALUE!</v>
      </c>
      <c r="IE20" s="1" t="e">
        <f>AND(E_Castries_Central!#REF!,"AAAAAF//xu4=")</f>
        <v>#REF!</v>
      </c>
      <c r="IF20" s="1" t="e">
        <f>AND(E_Castries_Central!#REF!,"AAAAAF//xu8=")</f>
        <v>#REF!</v>
      </c>
      <c r="IG20" s="1" t="e">
        <f>AND(E_Castries_Central!I33,"AAAAAF//xvA=")</f>
        <v>#VALUE!</v>
      </c>
      <c r="IH20" s="1" t="e">
        <f>AND(E_Castries_Central!J33,"AAAAAF//xvE=")</f>
        <v>#VALUE!</v>
      </c>
      <c r="II20" s="1" t="e">
        <f>AND(E_Castries_Central!K33,"AAAAAF//xvI=")</f>
        <v>#VALUE!</v>
      </c>
      <c r="IJ20" s="1" t="e">
        <f>AND(E_Castries_Central!L33,"AAAAAF//xvM=")</f>
        <v>#VALUE!</v>
      </c>
      <c r="IK20" s="1" t="e">
        <f>AND(E_Castries_Central!M33,"AAAAAF//xvQ=")</f>
        <v>#VALUE!</v>
      </c>
      <c r="IL20" s="1" t="e">
        <f>AND(E_Castries_Central!N33,"AAAAAF//xvU=")</f>
        <v>#VALUE!</v>
      </c>
      <c r="IM20" s="1">
        <f>IF(E_Castries_Central!34:34,"AAAAAF//xvY=",0)</f>
        <v>0</v>
      </c>
      <c r="IN20" s="1" t="e">
        <f>AND(E_Castries_Central!A34,"AAAAAF//xvc=")</f>
        <v>#VALUE!</v>
      </c>
      <c r="IO20" s="1" t="b">
        <f>AND(E_Castries_Central!B34,"AAAAAF//xvg=")</f>
        <v>1</v>
      </c>
      <c r="IP20" s="1" t="b">
        <f>AND(E_Castries_Central!C34,"AAAAAF//xvk=")</f>
        <v>1</v>
      </c>
      <c r="IQ20" s="1" t="b">
        <f>AND(E_Castries_Central!D34,"AAAAAF//xvo=")</f>
        <v>1</v>
      </c>
      <c r="IR20" s="1" t="b">
        <f>AND(E_Castries_Central!E34,"AAAAAF//xvs=")</f>
        <v>1</v>
      </c>
      <c r="IS20" s="1" t="b">
        <f>AND(E_Castries_Central!F34,"AAAAAF//xvw=")</f>
        <v>1</v>
      </c>
      <c r="IT20" s="1" t="b">
        <f>AND(E_Castries_Central!G34,"AAAAAF//xv0=")</f>
        <v>0</v>
      </c>
      <c r="IU20" s="1" t="b">
        <f>AND(E_Castries_Central!H34,"AAAAAF//xv4=")</f>
        <v>0</v>
      </c>
      <c r="IV20" s="1" t="e">
        <f>AND(E_Castries_Central!#REF!,"AAAAAF//xv8=")</f>
        <v>#REF!</v>
      </c>
    </row>
    <row r="21" spans="1:256" ht="12" customHeight="1" x14ac:dyDescent="0.2">
      <c r="A21" s="1" t="e">
        <f>AND(E_Castries_Central!#REF!,"AAAAAF63VwA=")</f>
        <v>#REF!</v>
      </c>
      <c r="B21" s="1" t="b">
        <f>AND(E_Castries_Central!I34,"AAAAAF63VwE=")</f>
        <v>1</v>
      </c>
      <c r="C21" s="1" t="b">
        <f>AND(E_Castries_Central!J34,"AAAAAF63VwI=")</f>
        <v>1</v>
      </c>
      <c r="D21" s="1" t="b">
        <f>AND(E_Castries_Central!K34,"AAAAAF63VwM=")</f>
        <v>1</v>
      </c>
      <c r="E21" s="1" t="b">
        <f>AND(E_Castries_Central!L34,"AAAAAF63VwQ=")</f>
        <v>1</v>
      </c>
      <c r="F21" s="1" t="b">
        <f>AND(E_Castries_Central!M34,"AAAAAF63VwU=")</f>
        <v>1</v>
      </c>
      <c r="G21" s="1" t="b">
        <f>AND(E_Castries_Central!N34,"AAAAAF63VwY=")</f>
        <v>1</v>
      </c>
      <c r="H21" s="1">
        <f>IF(E_Castries_Central!35:35,"AAAAAF63Vwc=",0)</f>
        <v>0</v>
      </c>
      <c r="I21" s="1" t="e">
        <f>AND(E_Castries_Central!A35,"AAAAAF63Vwg=")</f>
        <v>#VALUE!</v>
      </c>
      <c r="J21" s="1" t="b">
        <f>AND(E_Castries_Central!B35,"AAAAAF63Vwk=")</f>
        <v>1</v>
      </c>
      <c r="K21" s="1" t="b">
        <f>AND(E_Castries_Central!C35,"AAAAAF63Vwo=")</f>
        <v>1</v>
      </c>
      <c r="L21" s="1" t="b">
        <f>AND(E_Castries_Central!D35,"AAAAAF63Vws=")</f>
        <v>1</v>
      </c>
      <c r="M21" s="1" t="b">
        <f>AND(E_Castries_Central!E35,"AAAAAF63Vww=")</f>
        <v>1</v>
      </c>
      <c r="N21" s="1" t="b">
        <f>AND(E_Castries_Central!F35,"AAAAAF63Vw0=")</f>
        <v>1</v>
      </c>
      <c r="O21" s="1" t="b">
        <f>AND(E_Castries_Central!G35,"AAAAAF63Vw4=")</f>
        <v>0</v>
      </c>
      <c r="P21" s="1" t="b">
        <f>AND(E_Castries_Central!H35,"AAAAAF63Vw8=")</f>
        <v>0</v>
      </c>
      <c r="Q21" s="1" t="e">
        <f>AND(E_Castries_Central!#REF!,"AAAAAF63VxA=")</f>
        <v>#REF!</v>
      </c>
      <c r="R21" s="1" t="e">
        <f>AND(E_Castries_Central!#REF!,"AAAAAF63VxE=")</f>
        <v>#REF!</v>
      </c>
      <c r="S21" s="1" t="b">
        <f>AND(E_Castries_Central!I35,"AAAAAF63VxI=")</f>
        <v>1</v>
      </c>
      <c r="T21" s="1" t="b">
        <f>AND(E_Castries_Central!J35,"AAAAAF63VxM=")</f>
        <v>1</v>
      </c>
      <c r="U21" s="1" t="b">
        <f>AND(E_Castries_Central!K35,"AAAAAF63VxQ=")</f>
        <v>1</v>
      </c>
      <c r="V21" s="1" t="b">
        <f>AND(E_Castries_Central!L35,"AAAAAF63VxU=")</f>
        <v>1</v>
      </c>
      <c r="W21" s="1" t="b">
        <f>AND(E_Castries_Central!M35,"AAAAAF63VxY=")</f>
        <v>1</v>
      </c>
      <c r="X21" s="1" t="b">
        <f>AND(E_Castries_Central!N35,"AAAAAF63Vxc=")</f>
        <v>1</v>
      </c>
      <c r="Y21" s="1">
        <f>IF(E_Castries_Central!36:36,"AAAAAF63Vxg=",0)</f>
        <v>0</v>
      </c>
      <c r="Z21" s="1" t="e">
        <f>AND(E_Castries_Central!A36,"AAAAAF63Vxk=")</f>
        <v>#VALUE!</v>
      </c>
      <c r="AA21" s="1" t="b">
        <f>AND(E_Castries_Central!B36,"AAAAAF63Vxo=")</f>
        <v>1</v>
      </c>
      <c r="AB21" s="1" t="b">
        <f>AND(E_Castries_Central!C36,"AAAAAF63Vxs=")</f>
        <v>1</v>
      </c>
      <c r="AC21" s="1" t="b">
        <f>AND(E_Castries_Central!D36,"AAAAAF63Vxw=")</f>
        <v>1</v>
      </c>
      <c r="AD21" s="1" t="b">
        <f>AND(E_Castries_Central!E36,"AAAAAF63Vx0=")</f>
        <v>1</v>
      </c>
      <c r="AE21" s="1" t="b">
        <f>AND(E_Castries_Central!F36,"AAAAAF63Vx4=")</f>
        <v>1</v>
      </c>
      <c r="AF21" s="1" t="b">
        <f>AND(E_Castries_Central!G36,"AAAAAF63Vx8=")</f>
        <v>0</v>
      </c>
      <c r="AG21" s="1" t="b">
        <f>AND(E_Castries_Central!H36,"AAAAAF63VyA=")</f>
        <v>0</v>
      </c>
      <c r="AH21" s="1" t="e">
        <f>AND(E_Castries_Central!#REF!,"AAAAAF63VyE=")</f>
        <v>#REF!</v>
      </c>
      <c r="AI21" s="1" t="e">
        <f>AND(E_Castries_Central!#REF!,"AAAAAF63VyI=")</f>
        <v>#REF!</v>
      </c>
      <c r="AJ21" s="1" t="b">
        <f>AND(E_Castries_Central!I36,"AAAAAF63VyM=")</f>
        <v>1</v>
      </c>
      <c r="AK21" s="1" t="b">
        <f>AND(E_Castries_Central!J36,"AAAAAF63VyQ=")</f>
        <v>1</v>
      </c>
      <c r="AL21" s="1" t="b">
        <f>AND(E_Castries_Central!K36,"AAAAAF63VyU=")</f>
        <v>1</v>
      </c>
      <c r="AM21" s="1" t="b">
        <f>AND(E_Castries_Central!L36,"AAAAAF63VyY=")</f>
        <v>1</v>
      </c>
      <c r="AN21" s="1" t="b">
        <f>AND(E_Castries_Central!M36,"AAAAAF63Vyc=")</f>
        <v>1</v>
      </c>
      <c r="AO21" s="1" t="b">
        <f>AND(E_Castries_Central!N36,"AAAAAF63Vyg=")</f>
        <v>1</v>
      </c>
      <c r="AP21" s="1">
        <f>IF(E_Castries_Central!37:37,"AAAAAF63Vyk=",0)</f>
        <v>0</v>
      </c>
      <c r="AQ21" s="1" t="e">
        <f>AND(E_Castries_Central!A37,"AAAAAF63Vyo=")</f>
        <v>#VALUE!</v>
      </c>
      <c r="AR21" s="1" t="b">
        <f>AND(E_Castries_Central!B37,"AAAAAF63Vys=")</f>
        <v>1</v>
      </c>
      <c r="AS21" s="1" t="b">
        <f>AND(E_Castries_Central!C37,"AAAAAF63Vyw=")</f>
        <v>1</v>
      </c>
      <c r="AT21" s="1" t="b">
        <f>AND(E_Castries_Central!D37,"AAAAAF63Vy0=")</f>
        <v>1</v>
      </c>
      <c r="AU21" s="1" t="b">
        <f>AND(E_Castries_Central!E37,"AAAAAF63Vy4=")</f>
        <v>1</v>
      </c>
      <c r="AV21" s="1" t="b">
        <f>AND(E_Castries_Central!F37,"AAAAAF63Vy8=")</f>
        <v>1</v>
      </c>
      <c r="AW21" s="1" t="b">
        <f>AND(E_Castries_Central!G37,"AAAAAF63VzA=")</f>
        <v>1</v>
      </c>
      <c r="AX21" s="1" t="b">
        <f>AND(E_Castries_Central!H37,"AAAAAF63VzE=")</f>
        <v>1</v>
      </c>
      <c r="AY21" s="1" t="e">
        <f>AND(E_Castries_Central!#REF!,"AAAAAF63VzI=")</f>
        <v>#REF!</v>
      </c>
      <c r="AZ21" s="1" t="e">
        <f>AND(E_Castries_Central!#REF!,"AAAAAF63VzM=")</f>
        <v>#REF!</v>
      </c>
      <c r="BA21" s="1" t="b">
        <f>AND(E_Castries_Central!I37,"AAAAAF63VzQ=")</f>
        <v>0</v>
      </c>
      <c r="BB21" s="1" t="b">
        <f>AND(E_Castries_Central!J37,"AAAAAF63VzU=")</f>
        <v>0</v>
      </c>
      <c r="BC21" s="1" t="b">
        <f>AND(E_Castries_Central!K37,"AAAAAF63VzY=")</f>
        <v>1</v>
      </c>
      <c r="BD21" s="1" t="b">
        <f>AND(E_Castries_Central!L37,"AAAAAF63Vzc=")</f>
        <v>1</v>
      </c>
      <c r="BE21" s="1" t="b">
        <f>AND(E_Castries_Central!M37,"AAAAAF63Vzg=")</f>
        <v>1</v>
      </c>
      <c r="BF21" s="1" t="b">
        <f>AND(E_Castries_Central!N37,"AAAAAF63Vzk=")</f>
        <v>1</v>
      </c>
      <c r="BG21" s="1" t="e">
        <f>IF(E_Castries_Central!#REF!,"AAAAAF63Vzo=",0)</f>
        <v>#REF!</v>
      </c>
      <c r="BH21" s="1" t="e">
        <f>AND(E_Castries_Central!#REF!,"AAAAAF63Vzs=")</f>
        <v>#REF!</v>
      </c>
      <c r="BI21" s="1" t="e">
        <f>AND(E_Castries_Central!#REF!,"AAAAAF63Vzw=")</f>
        <v>#REF!</v>
      </c>
      <c r="BJ21" s="1" t="e">
        <f>AND(E_Castries_Central!#REF!,"AAAAAF63Vz0=")</f>
        <v>#REF!</v>
      </c>
      <c r="BK21" s="1" t="e">
        <f>AND(E_Castries_Central!#REF!,"AAAAAF63Vz4=")</f>
        <v>#REF!</v>
      </c>
      <c r="BL21" s="1" t="e">
        <f>AND(E_Castries_Central!#REF!,"AAAAAF63Vz8=")</f>
        <v>#REF!</v>
      </c>
      <c r="BM21" s="1" t="e">
        <f>AND(E_Castries_Central!#REF!,"AAAAAF63V0A=")</f>
        <v>#REF!</v>
      </c>
      <c r="BN21" s="1" t="e">
        <f>AND(E_Castries_Central!#REF!,"AAAAAF63V0E=")</f>
        <v>#REF!</v>
      </c>
      <c r="BO21" s="1" t="e">
        <f>AND(E_Castries_Central!#REF!,"AAAAAF63V0I=")</f>
        <v>#REF!</v>
      </c>
      <c r="BP21" s="1" t="e">
        <f>AND(E_Castries_Central!#REF!,"AAAAAF63V0M=")</f>
        <v>#REF!</v>
      </c>
      <c r="BQ21" s="1" t="e">
        <f>AND(E_Castries_Central!#REF!,"AAAAAF63V0Q=")</f>
        <v>#REF!</v>
      </c>
      <c r="BR21" s="1" t="e">
        <f>AND(E_Castries_Central!#REF!,"AAAAAF63V0U=")</f>
        <v>#REF!</v>
      </c>
      <c r="BS21" s="1" t="e">
        <f>AND(E_Castries_Central!#REF!,"AAAAAF63V0Y=")</f>
        <v>#REF!</v>
      </c>
      <c r="BT21" s="1" t="e">
        <f>AND(E_Castries_Central!#REF!,"AAAAAF63V0c=")</f>
        <v>#REF!</v>
      </c>
      <c r="BU21" s="1" t="e">
        <f>AND(E_Castries_Central!#REF!,"AAAAAF63V0g=")</f>
        <v>#REF!</v>
      </c>
      <c r="BV21" s="1" t="e">
        <f>AND(E_Castries_Central!#REF!,"AAAAAF63V0k=")</f>
        <v>#REF!</v>
      </c>
      <c r="BW21" s="1" t="e">
        <f>AND(E_Castries_Central!#REF!,"AAAAAF63V0o=")</f>
        <v>#REF!</v>
      </c>
      <c r="BX21" s="1" t="e">
        <f>IF(E_Castries_Central!#REF!,"AAAAAF63V0s=",0)</f>
        <v>#REF!</v>
      </c>
      <c r="BY21" s="1" t="e">
        <f>AND(E_Castries_Central!#REF!,"AAAAAF63V0w=")</f>
        <v>#REF!</v>
      </c>
      <c r="BZ21" s="1" t="e">
        <f>AND(E_Castries_Central!#REF!,"AAAAAF63V00=")</f>
        <v>#REF!</v>
      </c>
      <c r="CA21" s="1" t="e">
        <f>AND(E_Castries_Central!#REF!,"AAAAAF63V04=")</f>
        <v>#REF!</v>
      </c>
      <c r="CB21" s="1" t="e">
        <f>AND(E_Castries_Central!#REF!,"AAAAAF63V08=")</f>
        <v>#REF!</v>
      </c>
      <c r="CC21" s="1" t="e">
        <f>AND(E_Castries_Central!#REF!,"AAAAAF63V1A=")</f>
        <v>#REF!</v>
      </c>
      <c r="CD21" s="1" t="e">
        <f>AND(E_Castries_Central!#REF!,"AAAAAF63V1E=")</f>
        <v>#REF!</v>
      </c>
      <c r="CE21" s="1" t="e">
        <f>AND(E_Castries_Central!#REF!,"AAAAAF63V1I=")</f>
        <v>#REF!</v>
      </c>
      <c r="CF21" s="1" t="e">
        <f>AND(E_Castries_Central!#REF!,"AAAAAF63V1M=")</f>
        <v>#REF!</v>
      </c>
      <c r="CG21" s="1" t="e">
        <f>AND(E_Castries_Central!#REF!,"AAAAAF63V1Q=")</f>
        <v>#REF!</v>
      </c>
      <c r="CH21" s="1" t="e">
        <f>AND(E_Castries_Central!#REF!,"AAAAAF63V1U=")</f>
        <v>#REF!</v>
      </c>
      <c r="CI21" s="1" t="e">
        <f>AND(E_Castries_Central!#REF!,"AAAAAF63V1Y=")</f>
        <v>#REF!</v>
      </c>
      <c r="CJ21" s="1" t="e">
        <f>AND(E_Castries_Central!#REF!,"AAAAAF63V1c=")</f>
        <v>#REF!</v>
      </c>
      <c r="CK21" s="1" t="e">
        <f>AND(E_Castries_Central!#REF!,"AAAAAF63V1g=")</f>
        <v>#REF!</v>
      </c>
      <c r="CL21" s="1" t="e">
        <f>AND(E_Castries_Central!#REF!,"AAAAAF63V1k=")</f>
        <v>#REF!</v>
      </c>
      <c r="CM21" s="1" t="e">
        <f>AND(E_Castries_Central!#REF!,"AAAAAF63V1o=")</f>
        <v>#REF!</v>
      </c>
      <c r="CN21" s="1" t="e">
        <f>AND(E_Castries_Central!#REF!,"AAAAAF63V1s=")</f>
        <v>#REF!</v>
      </c>
      <c r="CO21" s="1" t="e">
        <f>IF(E_Castries_Central!#REF!,"AAAAAF63V1w=",0)</f>
        <v>#REF!</v>
      </c>
      <c r="CP21" s="1" t="e">
        <f>AND(E_Castries_Central!#REF!,"AAAAAF63V10=")</f>
        <v>#REF!</v>
      </c>
      <c r="CQ21" s="1" t="e">
        <f>AND(E_Castries_Central!#REF!,"AAAAAF63V14=")</f>
        <v>#REF!</v>
      </c>
      <c r="CR21" s="1" t="e">
        <f>AND(E_Castries_Central!#REF!,"AAAAAF63V18=")</f>
        <v>#REF!</v>
      </c>
      <c r="CS21" s="1" t="e">
        <f>AND(E_Castries_Central!#REF!,"AAAAAF63V2A=")</f>
        <v>#REF!</v>
      </c>
      <c r="CT21" s="1" t="e">
        <f>AND(E_Castries_Central!#REF!,"AAAAAF63V2E=")</f>
        <v>#REF!</v>
      </c>
      <c r="CU21" s="1" t="e">
        <f>AND(E_Castries_Central!#REF!,"AAAAAF63V2I=")</f>
        <v>#REF!</v>
      </c>
      <c r="CV21" s="1" t="e">
        <f>AND(E_Castries_Central!#REF!,"AAAAAF63V2M=")</f>
        <v>#REF!</v>
      </c>
      <c r="CW21" s="1" t="e">
        <f>AND(E_Castries_Central!#REF!,"AAAAAF63V2Q=")</f>
        <v>#REF!</v>
      </c>
      <c r="CX21" s="1" t="e">
        <f>AND(E_Castries_Central!#REF!,"AAAAAF63V2U=")</f>
        <v>#REF!</v>
      </c>
      <c r="CY21" s="1" t="e">
        <f>AND(E_Castries_Central!#REF!,"AAAAAF63V2Y=")</f>
        <v>#REF!</v>
      </c>
      <c r="CZ21" s="1" t="e">
        <f>AND(E_Castries_Central!#REF!,"AAAAAF63V2c=")</f>
        <v>#REF!</v>
      </c>
      <c r="DA21" s="1" t="e">
        <f>AND(E_Castries_Central!#REF!,"AAAAAF63V2g=")</f>
        <v>#REF!</v>
      </c>
      <c r="DB21" s="1" t="e">
        <f>AND(E_Castries_Central!#REF!,"AAAAAF63V2k=")</f>
        <v>#REF!</v>
      </c>
      <c r="DC21" s="1" t="e">
        <f>AND(E_Castries_Central!#REF!,"AAAAAF63V2o=")</f>
        <v>#REF!</v>
      </c>
      <c r="DD21" s="1" t="e">
        <f>AND(E_Castries_Central!#REF!,"AAAAAF63V2s=")</f>
        <v>#REF!</v>
      </c>
      <c r="DE21" s="1" t="e">
        <f>AND(E_Castries_Central!#REF!,"AAAAAF63V2w=")</f>
        <v>#REF!</v>
      </c>
      <c r="DF21" s="1">
        <f>IF(E_Castries_Central!38:38,"AAAAAF63V20=",0)</f>
        <v>0</v>
      </c>
      <c r="DG21" s="1" t="e">
        <f>AND(E_Castries_Central!A38,"AAAAAF63V24=")</f>
        <v>#VALUE!</v>
      </c>
      <c r="DH21" s="1" t="b">
        <f>AND(E_Castries_Central!B38,"AAAAAF63V28=")</f>
        <v>1</v>
      </c>
      <c r="DI21" s="1" t="b">
        <f>AND(E_Castries_Central!C38,"AAAAAF63V3A=")</f>
        <v>1</v>
      </c>
      <c r="DJ21" s="1" t="b">
        <f>AND(E_Castries_Central!D38,"AAAAAF63V3E=")</f>
        <v>1</v>
      </c>
      <c r="DK21" s="1" t="b">
        <f>AND(E_Castries_Central!E38,"AAAAAF63V3I=")</f>
        <v>1</v>
      </c>
      <c r="DL21" s="1" t="b">
        <f>AND(E_Castries_Central!F38,"AAAAAF63V3M=")</f>
        <v>1</v>
      </c>
      <c r="DM21" s="1" t="b">
        <f>AND(E_Castries_Central!G38,"AAAAAF63V3Q=")</f>
        <v>1</v>
      </c>
      <c r="DN21" s="1" t="b">
        <f>AND(E_Castries_Central!H38,"AAAAAF63V3U=")</f>
        <v>1</v>
      </c>
      <c r="DO21" s="1" t="e">
        <f>AND(E_Castries_Central!#REF!,"AAAAAF63V3Y=")</f>
        <v>#REF!</v>
      </c>
      <c r="DP21" s="1" t="e">
        <f>AND(E_Castries_Central!#REF!,"AAAAAF63V3c=")</f>
        <v>#REF!</v>
      </c>
      <c r="DQ21" s="1" t="b">
        <f>AND(E_Castries_Central!I38,"AAAAAF63V3g=")</f>
        <v>1</v>
      </c>
      <c r="DR21" s="1" t="b">
        <f>AND(E_Castries_Central!J38,"AAAAAF63V3k=")</f>
        <v>1</v>
      </c>
      <c r="DS21" s="1" t="b">
        <f>AND(E_Castries_Central!K38,"AAAAAF63V3o=")</f>
        <v>1</v>
      </c>
      <c r="DT21" s="1" t="b">
        <f>AND(E_Castries_Central!L38,"AAAAAF63V3s=")</f>
        <v>1</v>
      </c>
      <c r="DU21" s="1" t="b">
        <f>AND(E_Castries_Central!M38,"AAAAAF63V3w=")</f>
        <v>1</v>
      </c>
      <c r="DV21" s="1" t="b">
        <f>AND(E_Castries_Central!N38,"AAAAAF63V30=")</f>
        <v>1</v>
      </c>
      <c r="DW21" s="1">
        <f>IF(E_Castries_Central!39:39,"AAAAAF63V34=",0)</f>
        <v>0</v>
      </c>
      <c r="DX21" s="1" t="e">
        <f>AND(E_Castries_Central!A39,"AAAAAF63V38=")</f>
        <v>#VALUE!</v>
      </c>
      <c r="DY21" s="1" t="e">
        <f>AND(E_Castries_Central!B39,"AAAAAF63V4A=")</f>
        <v>#VALUE!</v>
      </c>
      <c r="DZ21" s="1" t="e">
        <f>AND(E_Castries_Central!C39,"AAAAAF63V4E=")</f>
        <v>#VALUE!</v>
      </c>
      <c r="EA21" s="1" t="e">
        <f>AND(E_Castries_Central!D39,"AAAAAF63V4I=")</f>
        <v>#VALUE!</v>
      </c>
      <c r="EB21" s="1" t="e">
        <f>AND(E_Castries_Central!E39,"AAAAAF63V4M=")</f>
        <v>#VALUE!</v>
      </c>
      <c r="EC21" s="1" t="e">
        <f>AND(E_Castries_Central!F39,"AAAAAF63V4Q=")</f>
        <v>#VALUE!</v>
      </c>
      <c r="ED21" s="1" t="e">
        <f>AND(E_Castries_Central!G39,"AAAAAF63V4U=")</f>
        <v>#VALUE!</v>
      </c>
      <c r="EE21" s="1" t="e">
        <f>AND(E_Castries_Central!H39,"AAAAAF63V4Y=")</f>
        <v>#VALUE!</v>
      </c>
      <c r="EF21" s="1" t="e">
        <f>AND(E_Castries_Central!#REF!,"AAAAAF63V4c=")</f>
        <v>#REF!</v>
      </c>
      <c r="EG21" s="1" t="e">
        <f>AND(E_Castries_Central!#REF!,"AAAAAF63V4g=")</f>
        <v>#REF!</v>
      </c>
      <c r="EH21" s="1" t="e">
        <f>AND(E_Castries_Central!I39,"AAAAAF63V4k=")</f>
        <v>#VALUE!</v>
      </c>
      <c r="EI21" s="1" t="e">
        <f>AND(E_Castries_Central!J39,"AAAAAF63V4o=")</f>
        <v>#VALUE!</v>
      </c>
      <c r="EJ21" s="1" t="e">
        <f>AND(E_Castries_Central!K39,"AAAAAF63V4s=")</f>
        <v>#VALUE!</v>
      </c>
      <c r="EK21" s="1" t="e">
        <f>AND(E_Castries_Central!L39,"AAAAAF63V4w=")</f>
        <v>#VALUE!</v>
      </c>
      <c r="EL21" s="1" t="e">
        <f>AND(E_Castries_Central!M39,"AAAAAF63V40=")</f>
        <v>#VALUE!</v>
      </c>
      <c r="EM21" s="1" t="e">
        <f>AND(E_Castries_Central!N39,"AAAAAF63V44=")</f>
        <v>#VALUE!</v>
      </c>
      <c r="EN21" s="1">
        <f>IF(E_Castries_Central!40:40,"AAAAAF63V48=",0)</f>
        <v>0</v>
      </c>
      <c r="EO21" s="1" t="e">
        <f>AND(E_Castries_Central!A40,"AAAAAF63V5A=")</f>
        <v>#VALUE!</v>
      </c>
      <c r="EP21" s="1" t="b">
        <f>AND(E_Castries_Central!B40,"AAAAAF63V5E=")</f>
        <v>1</v>
      </c>
      <c r="EQ21" s="1" t="b">
        <f>AND(E_Castries_Central!C40,"AAAAAF63V5I=")</f>
        <v>1</v>
      </c>
      <c r="ER21" s="1" t="b">
        <f>AND(E_Castries_Central!D40,"AAAAAF63V5M=")</f>
        <v>1</v>
      </c>
      <c r="ES21" s="1" t="b">
        <f>AND(E_Castries_Central!E40,"AAAAAF63V5Q=")</f>
        <v>1</v>
      </c>
      <c r="ET21" s="1" t="b">
        <f>AND(E_Castries_Central!F40,"AAAAAF63V5U=")</f>
        <v>1</v>
      </c>
      <c r="EU21" s="1" t="b">
        <f>AND(E_Castries_Central!G40,"AAAAAF63V5Y=")</f>
        <v>0</v>
      </c>
      <c r="EV21" s="1" t="b">
        <f>AND(E_Castries_Central!H40,"AAAAAF63V5c=")</f>
        <v>0</v>
      </c>
      <c r="EW21" s="1" t="e">
        <f>AND(E_Castries_Central!#REF!,"AAAAAF63V5g=")</f>
        <v>#REF!</v>
      </c>
      <c r="EX21" s="1" t="e">
        <f>AND(E_Castries_Central!#REF!,"AAAAAF63V5k=")</f>
        <v>#REF!</v>
      </c>
      <c r="EY21" s="1" t="b">
        <f>AND(E_Castries_Central!I40,"AAAAAF63V5o=")</f>
        <v>0</v>
      </c>
      <c r="EZ21" s="1" t="b">
        <f>AND(E_Castries_Central!J40,"AAAAAF63V5s=")</f>
        <v>0</v>
      </c>
      <c r="FA21" s="1" t="b">
        <f>AND(E_Castries_Central!K40,"AAAAAF63V5w=")</f>
        <v>1</v>
      </c>
      <c r="FB21" s="1" t="b">
        <f>AND(E_Castries_Central!L40,"AAAAAF63V50=")</f>
        <v>1</v>
      </c>
      <c r="FC21" s="1" t="b">
        <f>AND(E_Castries_Central!M40,"AAAAAF63V54=")</f>
        <v>1</v>
      </c>
      <c r="FD21" s="1" t="b">
        <f>AND(E_Castries_Central!N40,"AAAAAF63V58=")</f>
        <v>1</v>
      </c>
      <c r="FE21" s="1">
        <f>IF(E_Castries_Central!41:41,"AAAAAF63V6A=",0)</f>
        <v>0</v>
      </c>
      <c r="FF21" s="1" t="e">
        <f>AND(E_Castries_Central!A41,"AAAAAF63V6E=")</f>
        <v>#VALUE!</v>
      </c>
      <c r="FG21" s="1" t="b">
        <f>AND(E_Castries_Central!B41,"AAAAAF63V6I=")</f>
        <v>1</v>
      </c>
      <c r="FH21" s="1" t="b">
        <f>AND(E_Castries_Central!C41,"AAAAAF63V6M=")</f>
        <v>1</v>
      </c>
      <c r="FI21" s="1" t="b">
        <f>AND(E_Castries_Central!D41,"AAAAAF63V6Q=")</f>
        <v>1</v>
      </c>
      <c r="FJ21" s="1" t="b">
        <f>AND(E_Castries_Central!E41,"AAAAAF63V6U=")</f>
        <v>1</v>
      </c>
      <c r="FK21" s="1" t="b">
        <f>AND(E_Castries_Central!F41,"AAAAAF63V6Y=")</f>
        <v>1</v>
      </c>
      <c r="FL21" s="1" t="b">
        <f>AND(E_Castries_Central!G41,"AAAAAF63V6c=")</f>
        <v>0</v>
      </c>
      <c r="FM21" s="1" t="b">
        <f>AND(E_Castries_Central!H41,"AAAAAF63V6g=")</f>
        <v>0</v>
      </c>
      <c r="FN21" s="1" t="e">
        <f>AND(E_Castries_Central!#REF!,"AAAAAF63V6k=")</f>
        <v>#REF!</v>
      </c>
      <c r="FO21" s="1" t="e">
        <f>AND(E_Castries_Central!#REF!,"AAAAAF63V6o=")</f>
        <v>#REF!</v>
      </c>
      <c r="FP21" s="1" t="b">
        <f>AND(E_Castries_Central!I41,"AAAAAF63V6s=")</f>
        <v>1</v>
      </c>
      <c r="FQ21" s="1" t="b">
        <f>AND(E_Castries_Central!J41,"AAAAAF63V6w=")</f>
        <v>1</v>
      </c>
      <c r="FR21" s="1" t="b">
        <f>AND(E_Castries_Central!K41,"AAAAAF63V60=")</f>
        <v>1</v>
      </c>
      <c r="FS21" s="1" t="b">
        <f>AND(E_Castries_Central!L41,"AAAAAF63V64=")</f>
        <v>1</v>
      </c>
      <c r="FT21" s="1" t="b">
        <f>AND(E_Castries_Central!M41,"AAAAAF63V68=")</f>
        <v>1</v>
      </c>
      <c r="FU21" s="1" t="b">
        <f>AND(E_Castries_Central!N41,"AAAAAF63V7A=")</f>
        <v>1</v>
      </c>
      <c r="FV21" s="1">
        <f>IF(E_Castries_Central!42:42,"AAAAAF63V7E=",0)</f>
        <v>0</v>
      </c>
      <c r="FW21" s="1" t="e">
        <f>AND(E_Castries_Central!A42,"AAAAAF63V7I=")</f>
        <v>#VALUE!</v>
      </c>
      <c r="FX21" s="1" t="b">
        <f>AND(E_Castries_Central!B42,"AAAAAF63V7M=")</f>
        <v>1</v>
      </c>
      <c r="FY21" s="1" t="b">
        <f>AND(E_Castries_Central!C42,"AAAAAF63V7Q=")</f>
        <v>1</v>
      </c>
      <c r="FZ21" s="1" t="b">
        <f>AND(E_Castries_Central!D42,"AAAAAF63V7U=")</f>
        <v>1</v>
      </c>
      <c r="GA21" s="1" t="b">
        <f>AND(E_Castries_Central!E42,"AAAAAF63V7Y=")</f>
        <v>1</v>
      </c>
      <c r="GB21" s="1" t="b">
        <f>AND(E_Castries_Central!F42,"AAAAAF63V7c=")</f>
        <v>1</v>
      </c>
      <c r="GC21" s="1" t="b">
        <f>AND(E_Castries_Central!G42,"AAAAAF63V7g=")</f>
        <v>0</v>
      </c>
      <c r="GD21" s="1" t="b">
        <f>AND(E_Castries_Central!H42,"AAAAAF63V7k=")</f>
        <v>0</v>
      </c>
      <c r="GE21" s="1" t="e">
        <f>AND(E_Castries_Central!#REF!,"AAAAAF63V7o=")</f>
        <v>#REF!</v>
      </c>
      <c r="GF21" s="1" t="e">
        <f>AND(E_Castries_Central!#REF!,"AAAAAF63V7s=")</f>
        <v>#REF!</v>
      </c>
      <c r="GG21" s="1" t="b">
        <f>AND(E_Castries_Central!I42,"AAAAAF63V7w=")</f>
        <v>0</v>
      </c>
      <c r="GH21" s="1" t="b">
        <f>AND(E_Castries_Central!J42,"AAAAAF63V70=")</f>
        <v>0</v>
      </c>
      <c r="GI21" s="1" t="b">
        <f>AND(E_Castries_Central!K42,"AAAAAF63V74=")</f>
        <v>1</v>
      </c>
      <c r="GJ21" s="1" t="b">
        <f>AND(E_Castries_Central!L42,"AAAAAF63V78=")</f>
        <v>1</v>
      </c>
      <c r="GK21" s="1" t="b">
        <f>AND(E_Castries_Central!M42,"AAAAAF63V8A=")</f>
        <v>1</v>
      </c>
      <c r="GL21" s="1" t="b">
        <f>AND(E_Castries_Central!N42,"AAAAAF63V8E=")</f>
        <v>1</v>
      </c>
      <c r="GM21" s="1" t="e">
        <f>IF(E_Castries_Central!#REF!,"AAAAAF63V8I=",0)</f>
        <v>#REF!</v>
      </c>
      <c r="GN21" s="1" t="e">
        <f>AND(E_Castries_Central!#REF!,"AAAAAF63V8M=")</f>
        <v>#REF!</v>
      </c>
      <c r="GO21" s="1" t="e">
        <f>AND(E_Castries_Central!#REF!,"AAAAAF63V8Q=")</f>
        <v>#REF!</v>
      </c>
      <c r="GP21" s="1" t="e">
        <f>AND(E_Castries_Central!#REF!,"AAAAAF63V8U=")</f>
        <v>#REF!</v>
      </c>
      <c r="GQ21" s="1" t="e">
        <f>AND(E_Castries_Central!#REF!,"AAAAAF63V8Y=")</f>
        <v>#REF!</v>
      </c>
      <c r="GR21" s="1" t="e">
        <f>AND(E_Castries_Central!#REF!,"AAAAAF63V8c=")</f>
        <v>#REF!</v>
      </c>
      <c r="GS21" s="1" t="e">
        <f>AND(E_Castries_Central!#REF!,"AAAAAF63V8g=")</f>
        <v>#REF!</v>
      </c>
      <c r="GT21" s="1" t="e">
        <f>AND(E_Castries_Central!#REF!,"AAAAAF63V8k=")</f>
        <v>#REF!</v>
      </c>
      <c r="GU21" s="1" t="e">
        <f>AND(E_Castries_Central!#REF!,"AAAAAF63V8o=")</f>
        <v>#REF!</v>
      </c>
      <c r="GV21" s="1" t="e">
        <f>AND(E_Castries_Central!#REF!,"AAAAAF63V8s=")</f>
        <v>#REF!</v>
      </c>
      <c r="GW21" s="1" t="e">
        <f>AND(E_Castries_Central!#REF!,"AAAAAF63V8w=")</f>
        <v>#REF!</v>
      </c>
      <c r="GX21" s="1" t="e">
        <f>AND(E_Castries_Central!#REF!,"AAAAAF63V80=")</f>
        <v>#REF!</v>
      </c>
      <c r="GY21" s="1" t="e">
        <f>AND(E_Castries_Central!#REF!,"AAAAAF63V84=")</f>
        <v>#REF!</v>
      </c>
      <c r="GZ21" s="1" t="e">
        <f>AND(E_Castries_Central!#REF!,"AAAAAF63V88=")</f>
        <v>#REF!</v>
      </c>
      <c r="HA21" s="1" t="e">
        <f>AND(E_Castries_Central!#REF!,"AAAAAF63V9A=")</f>
        <v>#REF!</v>
      </c>
      <c r="HB21" s="1" t="e">
        <f>AND(E_Castries_Central!#REF!,"AAAAAF63V9E=")</f>
        <v>#REF!</v>
      </c>
      <c r="HC21" s="1" t="e">
        <f>AND(E_Castries_Central!#REF!,"AAAAAF63V9I=")</f>
        <v>#REF!</v>
      </c>
      <c r="HD21" s="1" t="e">
        <f>IF(E_Castries_Central!#REF!,"AAAAAF63V9M=",0)</f>
        <v>#REF!</v>
      </c>
      <c r="HE21" s="1" t="e">
        <f>AND(E_Castries_Central!#REF!,"AAAAAF63V9Q=")</f>
        <v>#REF!</v>
      </c>
      <c r="HF21" s="1" t="e">
        <f>AND(E_Castries_Central!#REF!,"AAAAAF63V9U=")</f>
        <v>#REF!</v>
      </c>
      <c r="HG21" s="1" t="e">
        <f>AND(E_Castries_Central!#REF!,"AAAAAF63V9Y=")</f>
        <v>#REF!</v>
      </c>
      <c r="HH21" s="1" t="e">
        <f>AND(E_Castries_Central!#REF!,"AAAAAF63V9c=")</f>
        <v>#REF!</v>
      </c>
      <c r="HI21" s="1" t="e">
        <f>AND(E_Castries_Central!#REF!,"AAAAAF63V9g=")</f>
        <v>#REF!</v>
      </c>
      <c r="HJ21" s="1" t="e">
        <f>AND(E_Castries_Central!#REF!,"AAAAAF63V9k=")</f>
        <v>#REF!</v>
      </c>
      <c r="HK21" s="1" t="e">
        <f>AND(E_Castries_Central!#REF!,"AAAAAF63V9o=")</f>
        <v>#REF!</v>
      </c>
      <c r="HL21" s="1" t="e">
        <f>AND(E_Castries_Central!#REF!,"AAAAAF63V9s=")</f>
        <v>#REF!</v>
      </c>
      <c r="HM21" s="1" t="e">
        <f>AND(E_Castries_Central!#REF!,"AAAAAF63V9w=")</f>
        <v>#REF!</v>
      </c>
      <c r="HN21" s="1" t="e">
        <f>AND(E_Castries_Central!#REF!,"AAAAAF63V90=")</f>
        <v>#REF!</v>
      </c>
      <c r="HO21" s="1" t="e">
        <f>AND(E_Castries_Central!#REF!,"AAAAAF63V94=")</f>
        <v>#REF!</v>
      </c>
      <c r="HP21" s="1" t="e">
        <f>AND(E_Castries_Central!#REF!,"AAAAAF63V98=")</f>
        <v>#REF!</v>
      </c>
      <c r="HQ21" s="1" t="e">
        <f>AND(E_Castries_Central!#REF!,"AAAAAF63V+A=")</f>
        <v>#REF!</v>
      </c>
      <c r="HR21" s="1" t="e">
        <f>AND(E_Castries_Central!#REF!,"AAAAAF63V+E=")</f>
        <v>#REF!</v>
      </c>
      <c r="HS21" s="1" t="e">
        <f>AND(E_Castries_Central!#REF!,"AAAAAF63V+I=")</f>
        <v>#REF!</v>
      </c>
      <c r="HT21" s="1" t="e">
        <f>AND(E_Castries_Central!#REF!,"AAAAAF63V+M=")</f>
        <v>#REF!</v>
      </c>
      <c r="HU21" s="1" t="e">
        <f>IF(E_Castries_Central!#REF!,"AAAAAF63V+Q=",0)</f>
        <v>#REF!</v>
      </c>
      <c r="HV21" s="1" t="e">
        <f>AND(E_Castries_Central!#REF!,"AAAAAF63V+U=")</f>
        <v>#REF!</v>
      </c>
      <c r="HW21" s="1" t="e">
        <f>AND(E_Castries_Central!#REF!,"AAAAAF63V+Y=")</f>
        <v>#REF!</v>
      </c>
      <c r="HX21" s="1" t="e">
        <f>AND(E_Castries_Central!#REF!,"AAAAAF63V+c=")</f>
        <v>#REF!</v>
      </c>
      <c r="HY21" s="1" t="e">
        <f>AND(E_Castries_Central!#REF!,"AAAAAF63V+g=")</f>
        <v>#REF!</v>
      </c>
      <c r="HZ21" s="1" t="e">
        <f>AND(E_Castries_Central!#REF!,"AAAAAF63V+k=")</f>
        <v>#REF!</v>
      </c>
      <c r="IA21" s="1" t="e">
        <f>AND(E_Castries_Central!#REF!,"AAAAAF63V+o=")</f>
        <v>#REF!</v>
      </c>
      <c r="IB21" s="1" t="e">
        <f>AND(E_Castries_Central!#REF!,"AAAAAF63V+s=")</f>
        <v>#REF!</v>
      </c>
      <c r="IC21" s="1" t="e">
        <f>AND(E_Castries_Central!#REF!,"AAAAAF63V+w=")</f>
        <v>#REF!</v>
      </c>
      <c r="ID21" s="1" t="e">
        <f>AND(E_Castries_Central!#REF!,"AAAAAF63V+0=")</f>
        <v>#REF!</v>
      </c>
      <c r="IE21" s="1" t="e">
        <f>AND(E_Castries_Central!#REF!,"AAAAAF63V+4=")</f>
        <v>#REF!</v>
      </c>
      <c r="IF21" s="1" t="e">
        <f>AND(E_Castries_Central!#REF!,"AAAAAF63V+8=")</f>
        <v>#REF!</v>
      </c>
      <c r="IG21" s="1" t="e">
        <f>AND(E_Castries_Central!#REF!,"AAAAAF63V/A=")</f>
        <v>#REF!</v>
      </c>
      <c r="IH21" s="1" t="e">
        <f>AND(E_Castries_Central!#REF!,"AAAAAF63V/E=")</f>
        <v>#REF!</v>
      </c>
      <c r="II21" s="1" t="e">
        <f>AND(E_Castries_Central!#REF!,"AAAAAF63V/I=")</f>
        <v>#REF!</v>
      </c>
      <c r="IJ21" s="1" t="e">
        <f>AND(E_Castries_Central!#REF!,"AAAAAF63V/M=")</f>
        <v>#REF!</v>
      </c>
      <c r="IK21" s="1" t="e">
        <f>AND(E_Castries_Central!#REF!,"AAAAAF63V/Q=")</f>
        <v>#REF!</v>
      </c>
      <c r="IL21" s="1">
        <f>IF(E_Castries_Central!43:43,"AAAAAF63V/U=",0)</f>
        <v>0</v>
      </c>
      <c r="IM21" s="1" t="e">
        <f>AND(E_Castries_Central!A43,"AAAAAF63V/Y=")</f>
        <v>#VALUE!</v>
      </c>
      <c r="IN21" s="1" t="b">
        <f>AND(E_Castries_Central!B43,"AAAAAF63V/c=")</f>
        <v>1</v>
      </c>
      <c r="IO21" s="1" t="b">
        <f>AND(E_Castries_Central!C43,"AAAAAF63V/g=")</f>
        <v>1</v>
      </c>
      <c r="IP21" s="1" t="b">
        <f>AND(E_Castries_Central!D43,"AAAAAF63V/k=")</f>
        <v>1</v>
      </c>
      <c r="IQ21" s="1" t="b">
        <f>AND(E_Castries_Central!E43,"AAAAAF63V/o=")</f>
        <v>1</v>
      </c>
      <c r="IR21" s="1" t="b">
        <f>AND(E_Castries_Central!F43,"AAAAAF63V/s=")</f>
        <v>1</v>
      </c>
      <c r="IS21" s="1" t="b">
        <f>AND(E_Castries_Central!G43,"AAAAAF63V/w=")</f>
        <v>0</v>
      </c>
      <c r="IT21" s="1" t="b">
        <f>AND(E_Castries_Central!H43,"AAAAAF63V/0=")</f>
        <v>0</v>
      </c>
      <c r="IU21" s="1" t="e">
        <f>AND(E_Castries_Central!#REF!,"AAAAAF63V/4=")</f>
        <v>#REF!</v>
      </c>
      <c r="IV21" s="1" t="e">
        <f>AND(E_Castries_Central!#REF!,"AAAAAF63V/8=")</f>
        <v>#REF!</v>
      </c>
    </row>
    <row r="22" spans="1:256" ht="12" customHeight="1" x14ac:dyDescent="0.2">
      <c r="A22" s="1" t="b">
        <f>AND(E_Castries_Central!I43,"AAAAAD+ubQA=")</f>
        <v>1</v>
      </c>
      <c r="B22" s="1" t="b">
        <f>AND(E_Castries_Central!J43,"AAAAAD+ubQE=")</f>
        <v>1</v>
      </c>
      <c r="C22" s="1" t="b">
        <f>AND(E_Castries_Central!K43,"AAAAAD+ubQI=")</f>
        <v>1</v>
      </c>
      <c r="D22" s="1" t="b">
        <f>AND(E_Castries_Central!L43,"AAAAAD+ubQM=")</f>
        <v>1</v>
      </c>
      <c r="E22" s="1" t="b">
        <f>AND(E_Castries_Central!M43,"AAAAAD+ubQQ=")</f>
        <v>1</v>
      </c>
      <c r="F22" s="1" t="b">
        <f>AND(E_Castries_Central!N43,"AAAAAD+ubQU=")</f>
        <v>1</v>
      </c>
      <c r="G22" s="1">
        <f>IF(E_Castries_Central!45:45,"AAAAAD+ubQY=",0)</f>
        <v>0</v>
      </c>
      <c r="H22" s="1" t="e">
        <f>AND(E_Castries_Central!A45,"AAAAAD+ubQc=")</f>
        <v>#VALUE!</v>
      </c>
      <c r="I22" s="1" t="e">
        <f>AND(E_Castries_Central!B45,"AAAAAD+ubQg=")</f>
        <v>#VALUE!</v>
      </c>
      <c r="J22" s="1" t="e">
        <f>AND(E_Castries_Central!C45,"AAAAAD+ubQk=")</f>
        <v>#VALUE!</v>
      </c>
      <c r="K22" s="1" t="e">
        <f>AND(E_Castries_Central!D45,"AAAAAD+ubQo=")</f>
        <v>#VALUE!</v>
      </c>
      <c r="L22" s="1" t="e">
        <f>AND(E_Castries_Central!E45,"AAAAAD+ubQs=")</f>
        <v>#VALUE!</v>
      </c>
      <c r="M22" s="1" t="e">
        <f>AND(E_Castries_Central!F45,"AAAAAD+ubQw=")</f>
        <v>#VALUE!</v>
      </c>
      <c r="N22" s="1" t="e">
        <f>AND(E_Castries_Central!G45,"AAAAAD+ubQ0=")</f>
        <v>#VALUE!</v>
      </c>
      <c r="O22" s="1" t="e">
        <f>AND(E_Castries_Central!H45,"AAAAAD+ubQ4=")</f>
        <v>#VALUE!</v>
      </c>
      <c r="P22" s="1" t="e">
        <f>AND(E_Castries_Central!#REF!,"AAAAAD+ubQ8=")</f>
        <v>#REF!</v>
      </c>
      <c r="Q22" s="1" t="e">
        <f>AND(E_Castries_Central!#REF!,"AAAAAD+ubRA=")</f>
        <v>#REF!</v>
      </c>
      <c r="R22" s="1" t="e">
        <f>AND(E_Castries_Central!I45,"AAAAAD+ubRE=")</f>
        <v>#VALUE!</v>
      </c>
      <c r="S22" s="1" t="e">
        <f>AND(E_Castries_Central!J45,"AAAAAD+ubRI=")</f>
        <v>#VALUE!</v>
      </c>
      <c r="T22" s="1" t="e">
        <f>AND(E_Castries_Central!K45,"AAAAAD+ubRM=")</f>
        <v>#VALUE!</v>
      </c>
      <c r="U22" s="1" t="e">
        <f>AND(E_Castries_Central!L45,"AAAAAD+ubRQ=")</f>
        <v>#VALUE!</v>
      </c>
      <c r="V22" s="1" t="e">
        <f>AND(E_Castries_Central!M45,"AAAAAD+ubRU=")</f>
        <v>#VALUE!</v>
      </c>
      <c r="W22" s="1" t="e">
        <f>AND(E_Castries_Central!N45,"AAAAAD+ubRY=")</f>
        <v>#VALUE!</v>
      </c>
      <c r="X22" s="1">
        <f>IF(E_Castries_Central!46:46,"AAAAAD+ubRc=",0)</f>
        <v>0</v>
      </c>
      <c r="Y22" s="1" t="e">
        <f>AND(E_Castries_Central!A46,"AAAAAD+ubRg=")</f>
        <v>#VALUE!</v>
      </c>
      <c r="Z22" s="1" t="b">
        <f>AND(E_Castries_Central!B46,"AAAAAD+ubRk=")</f>
        <v>1</v>
      </c>
      <c r="AA22" s="1" t="b">
        <f>AND(E_Castries_Central!C46,"AAAAAD+ubRo=")</f>
        <v>1</v>
      </c>
      <c r="AB22" s="1" t="b">
        <f>AND(E_Castries_Central!D46,"AAAAAD+ubRs=")</f>
        <v>1</v>
      </c>
      <c r="AC22" s="1" t="b">
        <f>AND(E_Castries_Central!E46,"AAAAAD+ubRw=")</f>
        <v>1</v>
      </c>
      <c r="AD22" s="1" t="b">
        <f>AND(E_Castries_Central!F46,"AAAAAD+ubR0=")</f>
        <v>1</v>
      </c>
      <c r="AE22" s="1" t="b">
        <f>AND(E_Castries_Central!G46,"AAAAAD+ubR4=")</f>
        <v>1</v>
      </c>
      <c r="AF22" s="1" t="b">
        <f>AND(E_Castries_Central!H46,"AAAAAD+ubR8=")</f>
        <v>1</v>
      </c>
      <c r="AG22" s="1" t="e">
        <f>AND(E_Castries_Central!#REF!,"AAAAAD+ubSA=")</f>
        <v>#REF!</v>
      </c>
      <c r="AH22" s="1" t="e">
        <f>AND(E_Castries_Central!#REF!,"AAAAAD+ubSE=")</f>
        <v>#REF!</v>
      </c>
      <c r="AI22" s="1" t="b">
        <f>AND(E_Castries_Central!I46,"AAAAAD+ubSI=")</f>
        <v>0</v>
      </c>
      <c r="AJ22" s="1" t="b">
        <f>AND(E_Castries_Central!J46,"AAAAAD+ubSM=")</f>
        <v>0</v>
      </c>
      <c r="AK22" s="1" t="b">
        <f>AND(E_Castries_Central!K46,"AAAAAD+ubSQ=")</f>
        <v>1</v>
      </c>
      <c r="AL22" s="1" t="b">
        <f>AND(E_Castries_Central!L46,"AAAAAD+ubSU=")</f>
        <v>1</v>
      </c>
      <c r="AM22" s="1" t="b">
        <f>AND(E_Castries_Central!M46,"AAAAAD+ubSY=")</f>
        <v>1</v>
      </c>
      <c r="AN22" s="1" t="b">
        <f>AND(E_Castries_Central!N46,"AAAAAD+ubSc=")</f>
        <v>1</v>
      </c>
      <c r="AO22" s="1">
        <f>IF(E_Castries_Central!47:47,"AAAAAD+ubSg=",0)</f>
        <v>0</v>
      </c>
      <c r="AP22" s="1" t="e">
        <f>AND(E_Castries_Central!A47,"AAAAAD+ubSk=")</f>
        <v>#VALUE!</v>
      </c>
      <c r="AQ22" s="1" t="b">
        <f>AND(E_Castries_Central!B47,"AAAAAD+ubSo=")</f>
        <v>1</v>
      </c>
      <c r="AR22" s="1" t="b">
        <f>AND(E_Castries_Central!C47,"AAAAAD+ubSs=")</f>
        <v>1</v>
      </c>
      <c r="AS22" s="1" t="b">
        <f>AND(E_Castries_Central!D47,"AAAAAD+ubSw=")</f>
        <v>1</v>
      </c>
      <c r="AT22" s="1" t="b">
        <f>AND(E_Castries_Central!E47,"AAAAAD+ubS0=")</f>
        <v>1</v>
      </c>
      <c r="AU22" s="1" t="b">
        <f>AND(E_Castries_Central!F47,"AAAAAD+ubS4=")</f>
        <v>1</v>
      </c>
      <c r="AV22" s="1" t="b">
        <f>AND(E_Castries_Central!G47,"AAAAAD+ubS8=")</f>
        <v>0</v>
      </c>
      <c r="AW22" s="1" t="b">
        <f>AND(E_Castries_Central!H47,"AAAAAD+ubTA=")</f>
        <v>0</v>
      </c>
      <c r="AX22" s="1" t="e">
        <f>AND(E_Castries_Central!#REF!,"AAAAAD+ubTE=")</f>
        <v>#REF!</v>
      </c>
      <c r="AY22" s="1" t="e">
        <f>AND(E_Castries_Central!#REF!,"AAAAAD+ubTI=")</f>
        <v>#REF!</v>
      </c>
      <c r="AZ22" s="1" t="b">
        <f>AND(E_Castries_Central!I47,"AAAAAD+ubTM=")</f>
        <v>1</v>
      </c>
      <c r="BA22" s="1" t="b">
        <f>AND(E_Castries_Central!J47,"AAAAAD+ubTQ=")</f>
        <v>1</v>
      </c>
      <c r="BB22" s="1" t="b">
        <f>AND(E_Castries_Central!K47,"AAAAAD+ubTU=")</f>
        <v>1</v>
      </c>
      <c r="BC22" s="1" t="b">
        <f>AND(E_Castries_Central!L47,"AAAAAD+ubTY=")</f>
        <v>1</v>
      </c>
      <c r="BD22" s="1" t="b">
        <f>AND(E_Castries_Central!M47,"AAAAAD+ubTc=")</f>
        <v>1</v>
      </c>
      <c r="BE22" s="1" t="b">
        <f>AND(E_Castries_Central!N47,"AAAAAD+ubTg=")</f>
        <v>1</v>
      </c>
      <c r="BF22" s="1" t="e">
        <f>IF(E_Castries_Central!#REF!,"AAAAAD+ubTk=",0)</f>
        <v>#REF!</v>
      </c>
      <c r="BG22" s="1" t="e">
        <f>AND(E_Castries_Central!#REF!,"AAAAAD+ubTo=")</f>
        <v>#REF!</v>
      </c>
      <c r="BH22" s="1" t="e">
        <f>AND(E_Castries_Central!#REF!,"AAAAAD+ubTs=")</f>
        <v>#REF!</v>
      </c>
      <c r="BI22" s="1" t="e">
        <f>AND(E_Castries_Central!#REF!,"AAAAAD+ubTw=")</f>
        <v>#REF!</v>
      </c>
      <c r="BJ22" s="1" t="e">
        <f>AND(E_Castries_Central!#REF!,"AAAAAD+ubT0=")</f>
        <v>#REF!</v>
      </c>
      <c r="BK22" s="1" t="e">
        <f>AND(E_Castries_Central!#REF!,"AAAAAD+ubT4=")</f>
        <v>#REF!</v>
      </c>
      <c r="BL22" s="1" t="e">
        <f>AND(E_Castries_Central!#REF!,"AAAAAD+ubT8=")</f>
        <v>#REF!</v>
      </c>
      <c r="BM22" s="1" t="e">
        <f>AND(E_Castries_Central!#REF!,"AAAAAD+ubUA=")</f>
        <v>#REF!</v>
      </c>
      <c r="BN22" s="1" t="e">
        <f>AND(E_Castries_Central!#REF!,"AAAAAD+ubUE=")</f>
        <v>#REF!</v>
      </c>
      <c r="BO22" s="1" t="e">
        <f>AND(E_Castries_Central!#REF!,"AAAAAD+ubUI=")</f>
        <v>#REF!</v>
      </c>
      <c r="BP22" s="1" t="e">
        <f>AND(E_Castries_Central!#REF!,"AAAAAD+ubUM=")</f>
        <v>#REF!</v>
      </c>
      <c r="BQ22" s="1" t="e">
        <f>AND(E_Castries_Central!#REF!,"AAAAAD+ubUQ=")</f>
        <v>#REF!</v>
      </c>
      <c r="BR22" s="1" t="e">
        <f>AND(E_Castries_Central!#REF!,"AAAAAD+ubUU=")</f>
        <v>#REF!</v>
      </c>
      <c r="BS22" s="1" t="e">
        <f>AND(E_Castries_Central!#REF!,"AAAAAD+ubUY=")</f>
        <v>#REF!</v>
      </c>
      <c r="BT22" s="1" t="e">
        <f>AND(E_Castries_Central!#REF!,"AAAAAD+ubUc=")</f>
        <v>#REF!</v>
      </c>
      <c r="BU22" s="1" t="e">
        <f>AND(E_Castries_Central!#REF!,"AAAAAD+ubUg=")</f>
        <v>#REF!</v>
      </c>
      <c r="BV22" s="1" t="e">
        <f>AND(E_Castries_Central!#REF!,"AAAAAD+ubUk=")</f>
        <v>#REF!</v>
      </c>
      <c r="BW22" s="1">
        <f>IF(E_Castries_Central!50:50,"AAAAAD+ubUo=",0)</f>
        <v>0</v>
      </c>
      <c r="BX22" s="1" t="e">
        <f>AND(E_Castries_Central!A50,"AAAAAD+ubUs=")</f>
        <v>#VALUE!</v>
      </c>
      <c r="BY22" s="1" t="b">
        <f>AND(E_Castries_Central!B50,"AAAAAD+ubUw=")</f>
        <v>1</v>
      </c>
      <c r="BZ22" s="1" t="b">
        <f>AND(E_Castries_Central!C50,"AAAAAD+ubU0=")</f>
        <v>1</v>
      </c>
      <c r="CA22" s="1" t="b">
        <f>AND(E_Castries_Central!D50,"AAAAAD+ubU4=")</f>
        <v>1</v>
      </c>
      <c r="CB22" s="1" t="b">
        <f>AND(E_Castries_Central!E50,"AAAAAD+ubU8=")</f>
        <v>1</v>
      </c>
      <c r="CC22" s="1" t="b">
        <f>AND(E_Castries_Central!F50,"AAAAAD+ubVA=")</f>
        <v>1</v>
      </c>
      <c r="CD22" s="1" t="b">
        <f>AND(E_Castries_Central!G50,"AAAAAD+ubVE=")</f>
        <v>1</v>
      </c>
      <c r="CE22" s="1" t="b">
        <f>AND(E_Castries_Central!H50,"AAAAAD+ubVI=")</f>
        <v>1</v>
      </c>
      <c r="CF22" s="1" t="e">
        <f>AND(E_Castries_Central!#REF!,"AAAAAD+ubVM=")</f>
        <v>#REF!</v>
      </c>
      <c r="CG22" s="1" t="e">
        <f>AND(E_Castries_Central!#REF!,"AAAAAD+ubVQ=")</f>
        <v>#REF!</v>
      </c>
      <c r="CH22" s="1" t="b">
        <f>AND(E_Castries_Central!I50,"AAAAAD+ubVU=")</f>
        <v>1</v>
      </c>
      <c r="CI22" s="1" t="b">
        <f>AND(E_Castries_Central!J50,"AAAAAD+ubVY=")</f>
        <v>1</v>
      </c>
      <c r="CJ22" s="1" t="b">
        <f>AND(E_Castries_Central!K50,"AAAAAD+ubVc=")</f>
        <v>1</v>
      </c>
      <c r="CK22" s="1" t="b">
        <f>AND(E_Castries_Central!L50,"AAAAAD+ubVg=")</f>
        <v>1</v>
      </c>
      <c r="CL22" s="1" t="b">
        <f>AND(E_Castries_Central!M50,"AAAAAD+ubVk=")</f>
        <v>1</v>
      </c>
      <c r="CM22" s="1" t="b">
        <f>AND(E_Castries_Central!N50,"AAAAAD+ubVo=")</f>
        <v>1</v>
      </c>
      <c r="CN22" s="1" t="e">
        <f>IF(E_Castries_Central!#REF!,"AAAAAD+ubVs=",0)</f>
        <v>#REF!</v>
      </c>
      <c r="CO22" s="1" t="e">
        <f>AND(E_Castries_Central!#REF!,"AAAAAD+ubVw=")</f>
        <v>#REF!</v>
      </c>
      <c r="CP22" s="1" t="e">
        <f>AND(E_Castries_Central!#REF!,"AAAAAD+ubV0=")</f>
        <v>#REF!</v>
      </c>
      <c r="CQ22" s="1" t="e">
        <f>AND(E_Castries_Central!#REF!,"AAAAAD+ubV4=")</f>
        <v>#REF!</v>
      </c>
      <c r="CR22" s="1" t="e">
        <f>AND(E_Castries_Central!#REF!,"AAAAAD+ubV8=")</f>
        <v>#REF!</v>
      </c>
      <c r="CS22" s="1" t="e">
        <f>AND(E_Castries_Central!#REF!,"AAAAAD+ubWA=")</f>
        <v>#REF!</v>
      </c>
      <c r="CT22" s="1" t="e">
        <f>AND(E_Castries_Central!#REF!,"AAAAAD+ubWE=")</f>
        <v>#REF!</v>
      </c>
      <c r="CU22" s="1" t="e">
        <f>AND(E_Castries_Central!#REF!,"AAAAAD+ubWI=")</f>
        <v>#REF!</v>
      </c>
      <c r="CV22" s="1" t="e">
        <f>AND(E_Castries_Central!#REF!,"AAAAAD+ubWM=")</f>
        <v>#REF!</v>
      </c>
      <c r="CW22" s="1" t="e">
        <f>AND(E_Castries_Central!#REF!,"AAAAAD+ubWQ=")</f>
        <v>#REF!</v>
      </c>
      <c r="CX22" s="1" t="e">
        <f>AND(E_Castries_Central!#REF!,"AAAAAD+ubWU=")</f>
        <v>#REF!</v>
      </c>
      <c r="CY22" s="1" t="e">
        <f>AND(E_Castries_Central!#REF!,"AAAAAD+ubWY=")</f>
        <v>#REF!</v>
      </c>
      <c r="CZ22" s="1" t="e">
        <f>AND(E_Castries_Central!#REF!,"AAAAAD+ubWc=")</f>
        <v>#REF!</v>
      </c>
      <c r="DA22" s="1" t="e">
        <f>AND(E_Castries_Central!#REF!,"AAAAAD+ubWg=")</f>
        <v>#REF!</v>
      </c>
      <c r="DB22" s="1" t="e">
        <f>AND(E_Castries_Central!#REF!,"AAAAAD+ubWk=")</f>
        <v>#REF!</v>
      </c>
      <c r="DC22" s="1" t="e">
        <f>AND(E_Castries_Central!#REF!,"AAAAAD+ubWo=")</f>
        <v>#REF!</v>
      </c>
      <c r="DD22" s="1" t="e">
        <f>AND(E_Castries_Central!#REF!,"AAAAAD+ubWs=")</f>
        <v>#REF!</v>
      </c>
      <c r="DE22" s="1" t="e">
        <f>IF(E_Castries_Central!#REF!,"AAAAAD+ubWw=",0)</f>
        <v>#REF!</v>
      </c>
      <c r="DF22" s="1" t="e">
        <f>AND(E_Castries_Central!#REF!,"AAAAAD+ubW0=")</f>
        <v>#REF!</v>
      </c>
      <c r="DG22" s="1" t="e">
        <f>AND(E_Castries_Central!#REF!,"AAAAAD+ubW4=")</f>
        <v>#REF!</v>
      </c>
      <c r="DH22" s="1" t="e">
        <f>AND(E_Castries_Central!#REF!,"AAAAAD+ubW8=")</f>
        <v>#REF!</v>
      </c>
      <c r="DI22" s="1" t="e">
        <f>AND(E_Castries_Central!#REF!,"AAAAAD+ubXA=")</f>
        <v>#REF!</v>
      </c>
      <c r="DJ22" s="1" t="e">
        <f>AND(E_Castries_Central!#REF!,"AAAAAD+ubXE=")</f>
        <v>#REF!</v>
      </c>
      <c r="DK22" s="1" t="e">
        <f>AND(E_Castries_Central!#REF!,"AAAAAD+ubXI=")</f>
        <v>#REF!</v>
      </c>
      <c r="DL22" s="1" t="e">
        <f>AND(E_Castries_Central!#REF!,"AAAAAD+ubXM=")</f>
        <v>#REF!</v>
      </c>
      <c r="DM22" s="1" t="e">
        <f>AND(E_Castries_Central!#REF!,"AAAAAD+ubXQ=")</f>
        <v>#REF!</v>
      </c>
      <c r="DN22" s="1" t="e">
        <f>AND(E_Castries_Central!#REF!,"AAAAAD+ubXU=")</f>
        <v>#REF!</v>
      </c>
      <c r="DO22" s="1" t="e">
        <f>AND(E_Castries_Central!#REF!,"AAAAAD+ubXY=")</f>
        <v>#REF!</v>
      </c>
      <c r="DP22" s="1" t="e">
        <f>AND(E_Castries_Central!#REF!,"AAAAAD+ubXc=")</f>
        <v>#REF!</v>
      </c>
      <c r="DQ22" s="1" t="e">
        <f>AND(E_Castries_Central!#REF!,"AAAAAD+ubXg=")</f>
        <v>#REF!</v>
      </c>
      <c r="DR22" s="1" t="e">
        <f>AND(E_Castries_Central!#REF!,"AAAAAD+ubXk=")</f>
        <v>#REF!</v>
      </c>
      <c r="DS22" s="1" t="e">
        <f>AND(E_Castries_Central!#REF!,"AAAAAD+ubXo=")</f>
        <v>#REF!</v>
      </c>
      <c r="DT22" s="1" t="e">
        <f>AND(E_Castries_Central!#REF!,"AAAAAD+ubXs=")</f>
        <v>#REF!</v>
      </c>
      <c r="DU22" s="1" t="e">
        <f>AND(E_Castries_Central!#REF!,"AAAAAD+ubXw=")</f>
        <v>#REF!</v>
      </c>
      <c r="DV22" s="1" t="e">
        <f>IF(E_Castries_Central!#REF!,"AAAAAD+ubX0=",0)</f>
        <v>#REF!</v>
      </c>
      <c r="DW22" s="1" t="e">
        <f>AND(E_Castries_Central!#REF!,"AAAAAD+ubX4=")</f>
        <v>#REF!</v>
      </c>
      <c r="DX22" s="1" t="e">
        <f>AND(E_Castries_Central!#REF!,"AAAAAD+ubX8=")</f>
        <v>#REF!</v>
      </c>
      <c r="DY22" s="1" t="e">
        <f>AND(E_Castries_Central!#REF!,"AAAAAD+ubYA=")</f>
        <v>#REF!</v>
      </c>
      <c r="DZ22" s="1" t="e">
        <f>AND(E_Castries_Central!#REF!,"AAAAAD+ubYE=")</f>
        <v>#REF!</v>
      </c>
      <c r="EA22" s="1" t="e">
        <f>AND(E_Castries_Central!#REF!,"AAAAAD+ubYI=")</f>
        <v>#REF!</v>
      </c>
      <c r="EB22" s="1" t="e">
        <f>AND(E_Castries_Central!#REF!,"AAAAAD+ubYM=")</f>
        <v>#REF!</v>
      </c>
      <c r="EC22" s="1" t="e">
        <f>AND(E_Castries_Central!#REF!,"AAAAAD+ubYQ=")</f>
        <v>#REF!</v>
      </c>
      <c r="ED22" s="1" t="e">
        <f>AND(E_Castries_Central!#REF!,"AAAAAD+ubYU=")</f>
        <v>#REF!</v>
      </c>
      <c r="EE22" s="1" t="e">
        <f>AND(E_Castries_Central!#REF!,"AAAAAD+ubYY=")</f>
        <v>#REF!</v>
      </c>
      <c r="EF22" s="1" t="e">
        <f>AND(E_Castries_Central!#REF!,"AAAAAD+ubYc=")</f>
        <v>#REF!</v>
      </c>
      <c r="EG22" s="1" t="e">
        <f>AND(E_Castries_Central!#REF!,"AAAAAD+ubYg=")</f>
        <v>#REF!</v>
      </c>
      <c r="EH22" s="1" t="e">
        <f>AND(E_Castries_Central!#REF!,"AAAAAD+ubYk=")</f>
        <v>#REF!</v>
      </c>
      <c r="EI22" s="1" t="e">
        <f>AND(E_Castries_Central!#REF!,"AAAAAD+ubYo=")</f>
        <v>#REF!</v>
      </c>
      <c r="EJ22" s="1" t="e">
        <f>AND(E_Castries_Central!#REF!,"AAAAAD+ubYs=")</f>
        <v>#REF!</v>
      </c>
      <c r="EK22" s="1" t="e">
        <f>AND(E_Castries_Central!#REF!,"AAAAAD+ubYw=")</f>
        <v>#REF!</v>
      </c>
      <c r="EL22" s="1" t="e">
        <f>AND(E_Castries_Central!#REF!,"AAAAAD+ubY0=")</f>
        <v>#REF!</v>
      </c>
      <c r="EM22" s="1" t="e">
        <f>IF(E_Castries_Central!#REF!,"AAAAAD+ubY4=",0)</f>
        <v>#REF!</v>
      </c>
      <c r="EN22" s="1" t="e">
        <f>AND(E_Castries_Central!#REF!,"AAAAAD+ubY8=")</f>
        <v>#REF!</v>
      </c>
      <c r="EO22" s="1" t="e">
        <f>AND(E_Castries_Central!#REF!,"AAAAAD+ubZA=")</f>
        <v>#REF!</v>
      </c>
      <c r="EP22" s="1" t="e">
        <f>AND(E_Castries_Central!#REF!,"AAAAAD+ubZE=")</f>
        <v>#REF!</v>
      </c>
      <c r="EQ22" s="1" t="e">
        <f>AND(E_Castries_Central!#REF!,"AAAAAD+ubZI=")</f>
        <v>#REF!</v>
      </c>
      <c r="ER22" s="1" t="e">
        <f>AND(E_Castries_Central!#REF!,"AAAAAD+ubZM=")</f>
        <v>#REF!</v>
      </c>
      <c r="ES22" s="1" t="e">
        <f>AND(E_Castries_Central!#REF!,"AAAAAD+ubZQ=")</f>
        <v>#REF!</v>
      </c>
      <c r="ET22" s="1" t="e">
        <f>AND(E_Castries_Central!#REF!,"AAAAAD+ubZU=")</f>
        <v>#REF!</v>
      </c>
      <c r="EU22" s="1" t="e">
        <f>AND(E_Castries_Central!#REF!,"AAAAAD+ubZY=")</f>
        <v>#REF!</v>
      </c>
      <c r="EV22" s="1" t="e">
        <f>AND(E_Castries_Central!#REF!,"AAAAAD+ubZc=")</f>
        <v>#REF!</v>
      </c>
      <c r="EW22" s="1" t="e">
        <f>AND(E_Castries_Central!#REF!,"AAAAAD+ubZg=")</f>
        <v>#REF!</v>
      </c>
      <c r="EX22" s="1" t="e">
        <f>AND(E_Castries_Central!#REF!,"AAAAAD+ubZk=")</f>
        <v>#REF!</v>
      </c>
      <c r="EY22" s="1" t="e">
        <f>AND(E_Castries_Central!#REF!,"AAAAAD+ubZo=")</f>
        <v>#REF!</v>
      </c>
      <c r="EZ22" s="1" t="e">
        <f>AND(E_Castries_Central!#REF!,"AAAAAD+ubZs=")</f>
        <v>#REF!</v>
      </c>
      <c r="FA22" s="1" t="e">
        <f>AND(E_Castries_Central!#REF!,"AAAAAD+ubZw=")</f>
        <v>#REF!</v>
      </c>
      <c r="FB22" s="1" t="e">
        <f>AND(E_Castries_Central!#REF!,"AAAAAD+ubZ0=")</f>
        <v>#REF!</v>
      </c>
      <c r="FC22" s="1" t="e">
        <f>AND(E_Castries_Central!#REF!,"AAAAAD+ubZ4=")</f>
        <v>#REF!</v>
      </c>
      <c r="FD22" s="1" t="e">
        <f>IF(E_Castries_Central!#REF!,"AAAAAD+ubZ8=",0)</f>
        <v>#REF!</v>
      </c>
      <c r="FE22" s="1" t="e">
        <f>AND(E_Castries_Central!#REF!,"AAAAAD+ubaA=")</f>
        <v>#REF!</v>
      </c>
      <c r="FF22" s="1" t="e">
        <f>AND(E_Castries_Central!#REF!,"AAAAAD+ubaE=")</f>
        <v>#REF!</v>
      </c>
      <c r="FG22" s="1" t="e">
        <f>AND(E_Castries_Central!#REF!,"AAAAAD+ubaI=")</f>
        <v>#REF!</v>
      </c>
      <c r="FH22" s="1" t="e">
        <f>AND(E_Castries_Central!#REF!,"AAAAAD+ubaM=")</f>
        <v>#REF!</v>
      </c>
      <c r="FI22" s="1" t="e">
        <f>AND(E_Castries_Central!#REF!,"AAAAAD+ubaQ=")</f>
        <v>#REF!</v>
      </c>
      <c r="FJ22" s="1" t="e">
        <f>AND(E_Castries_Central!#REF!,"AAAAAD+ubaU=")</f>
        <v>#REF!</v>
      </c>
      <c r="FK22" s="1" t="e">
        <f>AND(E_Castries_Central!#REF!,"AAAAAD+ubaY=")</f>
        <v>#REF!</v>
      </c>
      <c r="FL22" s="1" t="e">
        <f>AND(E_Castries_Central!#REF!,"AAAAAD+ubac=")</f>
        <v>#REF!</v>
      </c>
      <c r="FM22" s="1" t="e">
        <f>AND(E_Castries_Central!#REF!,"AAAAAD+ubag=")</f>
        <v>#REF!</v>
      </c>
      <c r="FN22" s="1" t="e">
        <f>AND(E_Castries_Central!#REF!,"AAAAAD+ubak=")</f>
        <v>#REF!</v>
      </c>
      <c r="FO22" s="1" t="e">
        <f>AND(E_Castries_Central!#REF!,"AAAAAD+ubao=")</f>
        <v>#REF!</v>
      </c>
      <c r="FP22" s="1" t="e">
        <f>AND(E_Castries_Central!#REF!,"AAAAAD+ubas=")</f>
        <v>#REF!</v>
      </c>
      <c r="FQ22" s="1" t="e">
        <f>AND(E_Castries_Central!#REF!,"AAAAAD+ubaw=")</f>
        <v>#REF!</v>
      </c>
      <c r="FR22" s="1" t="e">
        <f>AND(E_Castries_Central!#REF!,"AAAAAD+uba0=")</f>
        <v>#REF!</v>
      </c>
      <c r="FS22" s="1" t="e">
        <f>AND(E_Castries_Central!#REF!,"AAAAAD+uba4=")</f>
        <v>#REF!</v>
      </c>
      <c r="FT22" s="1" t="e">
        <f>AND(E_Castries_Central!#REF!,"AAAAAD+uba8=")</f>
        <v>#REF!</v>
      </c>
      <c r="FU22" s="1" t="e">
        <f>IF(E_Castries_Central!#REF!,"AAAAAD+ubbA=",0)</f>
        <v>#REF!</v>
      </c>
      <c r="FV22" s="1" t="e">
        <f>AND(E_Castries_Central!#REF!,"AAAAAD+ubbE=")</f>
        <v>#REF!</v>
      </c>
      <c r="FW22" s="1" t="e">
        <f>AND(E_Castries_Central!#REF!,"AAAAAD+ubbI=")</f>
        <v>#REF!</v>
      </c>
      <c r="FX22" s="1" t="e">
        <f>AND(E_Castries_Central!#REF!,"AAAAAD+ubbM=")</f>
        <v>#REF!</v>
      </c>
      <c r="FY22" s="1" t="e">
        <f>AND(E_Castries_Central!#REF!,"AAAAAD+ubbQ=")</f>
        <v>#REF!</v>
      </c>
      <c r="FZ22" s="1" t="e">
        <f>AND(E_Castries_Central!#REF!,"AAAAAD+ubbU=")</f>
        <v>#REF!</v>
      </c>
      <c r="GA22" s="1" t="e">
        <f>AND(E_Castries_Central!#REF!,"AAAAAD+ubbY=")</f>
        <v>#REF!</v>
      </c>
      <c r="GB22" s="1" t="e">
        <f>AND(E_Castries_Central!#REF!,"AAAAAD+ubbc=")</f>
        <v>#REF!</v>
      </c>
      <c r="GC22" s="1" t="e">
        <f>AND(E_Castries_Central!#REF!,"AAAAAD+ubbg=")</f>
        <v>#REF!</v>
      </c>
      <c r="GD22" s="1" t="e">
        <f>AND(E_Castries_Central!#REF!,"AAAAAD+ubbk=")</f>
        <v>#REF!</v>
      </c>
      <c r="GE22" s="1" t="e">
        <f>AND(E_Castries_Central!#REF!,"AAAAAD+ubbo=")</f>
        <v>#REF!</v>
      </c>
      <c r="GF22" s="1" t="e">
        <f>AND(E_Castries_Central!#REF!,"AAAAAD+ubbs=")</f>
        <v>#REF!</v>
      </c>
      <c r="GG22" s="1" t="e">
        <f>AND(E_Castries_Central!#REF!,"AAAAAD+ubbw=")</f>
        <v>#REF!</v>
      </c>
      <c r="GH22" s="1" t="e">
        <f>AND(E_Castries_Central!#REF!,"AAAAAD+ubb0=")</f>
        <v>#REF!</v>
      </c>
      <c r="GI22" s="1" t="e">
        <f>AND(E_Castries_Central!#REF!,"AAAAAD+ubb4=")</f>
        <v>#REF!</v>
      </c>
      <c r="GJ22" s="1" t="e">
        <f>AND(E_Castries_Central!#REF!,"AAAAAD+ubb8=")</f>
        <v>#REF!</v>
      </c>
      <c r="GK22" s="1" t="e">
        <f>AND(E_Castries_Central!#REF!,"AAAAAD+ubcA=")</f>
        <v>#REF!</v>
      </c>
      <c r="GL22" s="1" t="e">
        <f>IF(E_Castries_Central!#REF!,"AAAAAD+ubcE=",0)</f>
        <v>#REF!</v>
      </c>
      <c r="GM22" s="1" t="e">
        <f>AND(E_Castries_Central!#REF!,"AAAAAD+ubcI=")</f>
        <v>#REF!</v>
      </c>
      <c r="GN22" s="1" t="e">
        <f>AND(E_Castries_Central!#REF!,"AAAAAD+ubcM=")</f>
        <v>#REF!</v>
      </c>
      <c r="GO22" s="1" t="e">
        <f>AND(E_Castries_Central!#REF!,"AAAAAD+ubcQ=")</f>
        <v>#REF!</v>
      </c>
      <c r="GP22" s="1" t="e">
        <f>AND(E_Castries_Central!#REF!,"AAAAAD+ubcU=")</f>
        <v>#REF!</v>
      </c>
      <c r="GQ22" s="1" t="e">
        <f>AND(E_Castries_Central!#REF!,"AAAAAD+ubcY=")</f>
        <v>#REF!</v>
      </c>
      <c r="GR22" s="1" t="e">
        <f>AND(E_Castries_Central!#REF!,"AAAAAD+ubcc=")</f>
        <v>#REF!</v>
      </c>
      <c r="GS22" s="1" t="e">
        <f>AND(E_Castries_Central!#REF!,"AAAAAD+ubcg=")</f>
        <v>#REF!</v>
      </c>
      <c r="GT22" s="1" t="e">
        <f>AND(E_Castries_Central!#REF!,"AAAAAD+ubck=")</f>
        <v>#REF!</v>
      </c>
      <c r="GU22" s="1" t="e">
        <f>AND(E_Castries_Central!#REF!,"AAAAAD+ubco=")</f>
        <v>#REF!</v>
      </c>
      <c r="GV22" s="1" t="e">
        <f>AND(E_Castries_Central!#REF!,"AAAAAD+ubcs=")</f>
        <v>#REF!</v>
      </c>
      <c r="GW22" s="1" t="e">
        <f>AND(E_Castries_Central!#REF!,"AAAAAD+ubcw=")</f>
        <v>#REF!</v>
      </c>
      <c r="GX22" s="1" t="e">
        <f>AND(E_Castries_Central!#REF!,"AAAAAD+ubc0=")</f>
        <v>#REF!</v>
      </c>
      <c r="GY22" s="1" t="e">
        <f>AND(E_Castries_Central!#REF!,"AAAAAD+ubc4=")</f>
        <v>#REF!</v>
      </c>
      <c r="GZ22" s="1" t="e">
        <f>AND(E_Castries_Central!#REF!,"AAAAAD+ubc8=")</f>
        <v>#REF!</v>
      </c>
      <c r="HA22" s="1" t="e">
        <f>AND(E_Castries_Central!#REF!,"AAAAAD+ubdA=")</f>
        <v>#REF!</v>
      </c>
      <c r="HB22" s="1" t="e">
        <f>AND(E_Castries_Central!#REF!,"AAAAAD+ubdE=")</f>
        <v>#REF!</v>
      </c>
      <c r="HC22" s="1" t="e">
        <f>IF(E_Castries_Central!#REF!,"AAAAAD+ubdI=",0)</f>
        <v>#REF!</v>
      </c>
      <c r="HD22" s="1" t="e">
        <f>AND(E_Castries_Central!#REF!,"AAAAAD+ubdM=")</f>
        <v>#REF!</v>
      </c>
      <c r="HE22" s="1" t="e">
        <f>AND(E_Castries_Central!#REF!,"AAAAAD+ubdQ=")</f>
        <v>#REF!</v>
      </c>
      <c r="HF22" s="1" t="e">
        <f>AND(E_Castries_Central!#REF!,"AAAAAD+ubdU=")</f>
        <v>#REF!</v>
      </c>
      <c r="HG22" s="1" t="e">
        <f>AND(E_Castries_Central!#REF!,"AAAAAD+ubdY=")</f>
        <v>#REF!</v>
      </c>
      <c r="HH22" s="1" t="e">
        <f>AND(E_Castries_Central!#REF!,"AAAAAD+ubdc=")</f>
        <v>#REF!</v>
      </c>
      <c r="HI22" s="1" t="e">
        <f>AND(E_Castries_Central!#REF!,"AAAAAD+ubdg=")</f>
        <v>#REF!</v>
      </c>
      <c r="HJ22" s="1" t="e">
        <f>AND(E_Castries_Central!#REF!,"AAAAAD+ubdk=")</f>
        <v>#REF!</v>
      </c>
      <c r="HK22" s="1" t="e">
        <f>AND(E_Castries_Central!#REF!,"AAAAAD+ubdo=")</f>
        <v>#REF!</v>
      </c>
      <c r="HL22" s="1" t="e">
        <f>AND(E_Castries_Central!#REF!,"AAAAAD+ubds=")</f>
        <v>#REF!</v>
      </c>
      <c r="HM22" s="1" t="e">
        <f>AND(E_Castries_Central!#REF!,"AAAAAD+ubdw=")</f>
        <v>#REF!</v>
      </c>
      <c r="HN22" s="1" t="e">
        <f>AND(E_Castries_Central!#REF!,"AAAAAD+ubd0=")</f>
        <v>#REF!</v>
      </c>
      <c r="HO22" s="1" t="e">
        <f>AND(E_Castries_Central!#REF!,"AAAAAD+ubd4=")</f>
        <v>#REF!</v>
      </c>
      <c r="HP22" s="1" t="e">
        <f>AND(E_Castries_Central!#REF!,"AAAAAD+ubd8=")</f>
        <v>#REF!</v>
      </c>
      <c r="HQ22" s="1" t="e">
        <f>AND(E_Castries_Central!#REF!,"AAAAAD+ubeA=")</f>
        <v>#REF!</v>
      </c>
      <c r="HR22" s="1" t="e">
        <f>AND(E_Castries_Central!#REF!,"AAAAAD+ubeE=")</f>
        <v>#REF!</v>
      </c>
      <c r="HS22" s="1" t="e">
        <f>AND(E_Castries_Central!#REF!,"AAAAAD+ubeI=")</f>
        <v>#REF!</v>
      </c>
      <c r="HT22" s="1">
        <f>IF(E_Castries_Central!51:51,"AAAAAD+ubeM=",0)</f>
        <v>0</v>
      </c>
      <c r="HU22" s="1" t="e">
        <f>AND(E_Castries_Central!A51,"AAAAAD+ubeQ=")</f>
        <v>#VALUE!</v>
      </c>
      <c r="HV22" s="1" t="b">
        <f>AND(E_Castries_Central!B51,"AAAAAD+ubeU=")</f>
        <v>1</v>
      </c>
      <c r="HW22" s="1" t="e">
        <f>AND(E_Castries_Central!C51,"AAAAAD+ubeY=")</f>
        <v>#VALUE!</v>
      </c>
      <c r="HX22" s="1" t="e">
        <f>AND(E_Castries_Central!D51,"AAAAAD+ubec=")</f>
        <v>#VALUE!</v>
      </c>
      <c r="HY22" s="1" t="e">
        <f>AND(E_Castries_Central!E51,"AAAAAD+ubeg=")</f>
        <v>#VALUE!</v>
      </c>
      <c r="HZ22" s="1" t="e">
        <f>AND(E_Castries_Central!F51,"AAAAAD+ubek=")</f>
        <v>#VALUE!</v>
      </c>
      <c r="IA22" s="1" t="e">
        <f>AND(E_Castries_Central!G51,"AAAAAD+ubeo=")</f>
        <v>#VALUE!</v>
      </c>
      <c r="IB22" s="1" t="e">
        <f>AND(E_Castries_Central!H51,"AAAAAD+ubes=")</f>
        <v>#VALUE!</v>
      </c>
      <c r="IC22" s="1" t="e">
        <f>IF(E_Castries_Central!A:A,"AAAAAD+ubew=",0)</f>
        <v>#VALUE!</v>
      </c>
      <c r="ID22" s="1" t="str">
        <f>IF(E_Castries_Central!B:B,"AAAAAD+ube0=",0)</f>
        <v>AAAAAD+ube0=</v>
      </c>
      <c r="IE22" s="1" t="str">
        <f>IF(E_Castries_Central!C:C,"AAAAAD+ube4=",0)</f>
        <v>AAAAAD+ube4=</v>
      </c>
      <c r="IF22" s="1" t="str">
        <f>IF(E_Castries_Central!D:D,"AAAAAD+ube8=",0)</f>
        <v>AAAAAD+ube8=</v>
      </c>
      <c r="IG22" s="1" t="str">
        <f>IF(E_Castries_Central!E:E,"AAAAAD+ubfA=",0)</f>
        <v>AAAAAD+ubfA=</v>
      </c>
      <c r="IH22" s="1" t="str">
        <f>IF(E_Castries_Central!F:F,"AAAAAD+ubfE=",0)</f>
        <v>AAAAAD+ubfE=</v>
      </c>
      <c r="II22" s="1">
        <f>IF(E_Castries_Central!G:G,"AAAAAD+ubfI=",0)</f>
        <v>0</v>
      </c>
      <c r="IJ22" s="1">
        <f>IF(E_Castries_Central!H:H,"AAAAAD+ubfM=",0)</f>
        <v>0</v>
      </c>
      <c r="IK22" s="1" t="e">
        <f>IF(E_Castries_Central!#REF!,"AAAAAD+ubfQ=",0)</f>
        <v>#REF!</v>
      </c>
      <c r="IL22" s="1" t="e">
        <f>IF(E_Castries_Central!#REF!,"AAAAAD+ubfU=",0)</f>
        <v>#REF!</v>
      </c>
      <c r="IM22" s="1">
        <f>IF(E_Castries_Central!I:I,"AAAAAD+ubfY=",0)</f>
        <v>0</v>
      </c>
      <c r="IN22" s="1">
        <f>IF(E_Castries_Central!J:J,"AAAAAD+ubfc=",0)</f>
        <v>0</v>
      </c>
      <c r="IO22" s="1" t="str">
        <f>IF(E_Castries_Central!K:K,"AAAAAD+ubfg=",0)</f>
        <v>AAAAAD+ubfg=</v>
      </c>
      <c r="IP22" s="1" t="str">
        <f>IF(E_Castries_Central!L:L,"AAAAAD+ubfk=",0)</f>
        <v>AAAAAD+ubfk=</v>
      </c>
      <c r="IQ22" s="1" t="str">
        <f>IF(E_Castries_Central!M:M,"AAAAAD+ubfo=",0)</f>
        <v>AAAAAD+ubfo=</v>
      </c>
      <c r="IR22" s="1" t="str">
        <f>IF(E_Castries_Central!N:N,"AAAAAD+ubfs=",0)</f>
        <v>AAAAAD+ubfs=</v>
      </c>
      <c r="IS22" s="1">
        <f>IF(F_Castries_South!2:2,"AAAAAD+ubfw=",0)</f>
        <v>0</v>
      </c>
      <c r="IT22" s="1" t="e">
        <f>AND(F_Castries_South!A2,"AAAAAD+ubf0=")</f>
        <v>#VALUE!</v>
      </c>
      <c r="IU22" s="1" t="e">
        <f>AND(F_Castries_South!B2,"AAAAAD+ubf4=")</f>
        <v>#VALUE!</v>
      </c>
      <c r="IV22" s="1" t="e">
        <f>AND(F_Castries_South!C2,"AAAAAD+ubf8=")</f>
        <v>#VALUE!</v>
      </c>
    </row>
    <row r="23" spans="1:256" ht="12" customHeight="1" x14ac:dyDescent="0.2">
      <c r="A23" s="1" t="e">
        <f>AND(F_Castries_South!D2,"AAAAADu3/wA=")</f>
        <v>#VALUE!</v>
      </c>
      <c r="B23" s="1" t="e">
        <f>AND(F_Castries_South!E2,"AAAAADu3/wE=")</f>
        <v>#VALUE!</v>
      </c>
      <c r="C23" s="1" t="e">
        <f>AND(F_Castries_South!F2,"AAAAADu3/wI=")</f>
        <v>#VALUE!</v>
      </c>
      <c r="D23" s="1" t="e">
        <f>AND(F_Castries_South!G2,"AAAAADu3/wM=")</f>
        <v>#VALUE!</v>
      </c>
      <c r="E23" s="1" t="e">
        <f>AND(F_Castries_South!H2,"AAAAADu3/wQ=")</f>
        <v>#VALUE!</v>
      </c>
      <c r="F23" s="1" t="e">
        <f>AND(F_Castries_South!I2,"AAAAADu3/wU=")</f>
        <v>#VALUE!</v>
      </c>
      <c r="G23" s="1" t="e">
        <f>AND(F_Castries_South!J2,"AAAAADu3/wY=")</f>
        <v>#VALUE!</v>
      </c>
      <c r="H23" s="1" t="e">
        <f>AND(F_Castries_South!K2,"AAAAADu3/wc=")</f>
        <v>#VALUE!</v>
      </c>
      <c r="I23" s="1" t="e">
        <f>AND(F_Castries_South!L2,"AAAAADu3/wg=")</f>
        <v>#VALUE!</v>
      </c>
      <c r="J23" s="1">
        <f>IF(F_Castries_South!3:3,"AAAAADu3/wk=",0)</f>
        <v>0</v>
      </c>
      <c r="K23" s="1" t="e">
        <f>AND(F_Castries_South!#REF!,"AAAAADu3/wo=")</f>
        <v>#REF!</v>
      </c>
      <c r="L23" s="1" t="e">
        <f>AND(F_Castries_South!A3,"AAAAADu3/ws=")</f>
        <v>#VALUE!</v>
      </c>
      <c r="M23" s="1" t="e">
        <f>AND(F_Castries_South!C3,"AAAAADu3/ww=")</f>
        <v>#VALUE!</v>
      </c>
      <c r="N23" s="1" t="e">
        <f>AND(F_Castries_South!D3,"AAAAADu3/w0=")</f>
        <v>#VALUE!</v>
      </c>
      <c r="O23" s="1" t="e">
        <f>AND(F_Castries_South!E3,"AAAAADu3/w4=")</f>
        <v>#VALUE!</v>
      </c>
      <c r="P23" s="1" t="e">
        <f>AND(F_Castries_South!F3,"AAAAADu3/w8=")</f>
        <v>#VALUE!</v>
      </c>
      <c r="Q23" s="1" t="e">
        <f>AND(F_Castries_South!G3,"AAAAADu3/xA=")</f>
        <v>#VALUE!</v>
      </c>
      <c r="R23" s="1" t="e">
        <f>AND(F_Castries_South!H3,"AAAAADu3/xE=")</f>
        <v>#VALUE!</v>
      </c>
      <c r="S23" s="1" t="e">
        <f>AND(F_Castries_South!I3,"AAAAADu3/xI=")</f>
        <v>#VALUE!</v>
      </c>
      <c r="T23" s="1" t="e">
        <f>AND(F_Castries_South!J3,"AAAAADu3/xM=")</f>
        <v>#VALUE!</v>
      </c>
      <c r="U23" s="1" t="e">
        <f>AND(F_Castries_South!K3,"AAAAADu3/xQ=")</f>
        <v>#VALUE!</v>
      </c>
      <c r="V23" s="1" t="e">
        <f>AND(F_Castries_South!L3,"AAAAADu3/xU=")</f>
        <v>#VALUE!</v>
      </c>
      <c r="W23" s="1">
        <f>IF(F_Castries_South!4:4,"AAAAADu3/xY=",0)</f>
        <v>0</v>
      </c>
      <c r="X23" s="1" t="e">
        <f>AND(F_Castries_South!A4,"AAAAADu3/xc=")</f>
        <v>#VALUE!</v>
      </c>
      <c r="Y23" s="1" t="b">
        <f>AND(F_Castries_South!B4,"AAAAADu3/xg=")</f>
        <v>1</v>
      </c>
      <c r="Z23" s="1" t="b">
        <f>AND(F_Castries_South!C4,"AAAAADu3/xk=")</f>
        <v>1</v>
      </c>
      <c r="AA23" s="1" t="b">
        <f>AND(F_Castries_South!D4,"AAAAADu3/xo=")</f>
        <v>1</v>
      </c>
      <c r="AB23" s="1" t="b">
        <f>AND(F_Castries_South!E4,"AAAAADu3/xs=")</f>
        <v>1</v>
      </c>
      <c r="AC23" s="1" t="b">
        <f>AND(F_Castries_South!F4,"AAAAADu3/xw=")</f>
        <v>1</v>
      </c>
      <c r="AD23" s="1" t="b">
        <f>AND(F_Castries_South!G4,"AAAAADu3/x0=")</f>
        <v>1</v>
      </c>
      <c r="AE23" s="1" t="b">
        <f>AND(F_Castries_South!H4,"AAAAADu3/x4=")</f>
        <v>1</v>
      </c>
      <c r="AF23" s="1" t="b">
        <f>AND(F_Castries_South!I4,"AAAAADu3/x8=")</f>
        <v>1</v>
      </c>
      <c r="AG23" s="1" t="b">
        <f>AND(F_Castries_South!J4,"AAAAADu3/yA=")</f>
        <v>1</v>
      </c>
      <c r="AH23" s="1" t="b">
        <f>AND(F_Castries_South!K4,"AAAAADu3/yE=")</f>
        <v>1</v>
      </c>
      <c r="AI23" s="1" t="b">
        <f>AND(F_Castries_South!L4,"AAAAADu3/yI=")</f>
        <v>1</v>
      </c>
      <c r="AJ23" s="1">
        <f>IF(F_Castries_South!5:5,"AAAAADu3/yM=",0)</f>
        <v>0</v>
      </c>
      <c r="AK23" s="1" t="e">
        <f>AND(F_Castries_South!A5,"AAAAADu3/yQ=")</f>
        <v>#VALUE!</v>
      </c>
      <c r="AL23" s="1" t="e">
        <f>AND(F_Castries_South!B5,"AAAAADu3/yU=")</f>
        <v>#VALUE!</v>
      </c>
      <c r="AM23" s="1" t="e">
        <f>AND(F_Castries_South!C5,"AAAAADu3/yY=")</f>
        <v>#VALUE!</v>
      </c>
      <c r="AN23" s="1" t="e">
        <f>AND(F_Castries_South!D5,"AAAAADu3/yc=")</f>
        <v>#VALUE!</v>
      </c>
      <c r="AO23" s="1" t="e">
        <f>AND(F_Castries_South!E5,"AAAAADu3/yg=")</f>
        <v>#VALUE!</v>
      </c>
      <c r="AP23" s="1" t="e">
        <f>AND(F_Castries_South!F5,"AAAAADu3/yk=")</f>
        <v>#VALUE!</v>
      </c>
      <c r="AQ23" s="1" t="e">
        <f>AND(F_Castries_South!G5,"AAAAADu3/yo=")</f>
        <v>#VALUE!</v>
      </c>
      <c r="AR23" s="1" t="e">
        <f>AND(F_Castries_South!H5,"AAAAADu3/ys=")</f>
        <v>#VALUE!</v>
      </c>
      <c r="AS23" s="1" t="e">
        <f>AND(F_Castries_South!I5,"AAAAADu3/yw=")</f>
        <v>#VALUE!</v>
      </c>
      <c r="AT23" s="1" t="e">
        <f>AND(F_Castries_South!J5,"AAAAADu3/y0=")</f>
        <v>#VALUE!</v>
      </c>
      <c r="AU23" s="1" t="e">
        <f>AND(F_Castries_South!K5,"AAAAADu3/y4=")</f>
        <v>#VALUE!</v>
      </c>
      <c r="AV23" s="1" t="e">
        <f>AND(F_Castries_South!L5,"AAAAADu3/y8=")</f>
        <v>#VALUE!</v>
      </c>
      <c r="AW23" s="1">
        <f>IF(F_Castries_South!6:6,"AAAAADu3/zA=",0)</f>
        <v>0</v>
      </c>
      <c r="AX23" s="1" t="e">
        <f>AND(F_Castries_South!A6,"AAAAADu3/zE=")</f>
        <v>#VALUE!</v>
      </c>
      <c r="AY23" s="1" t="b">
        <f>AND(F_Castries_South!B6,"AAAAADu3/zI=")</f>
        <v>1</v>
      </c>
      <c r="AZ23" s="1" t="b">
        <f>AND(F_Castries_South!C6,"AAAAADu3/zM=")</f>
        <v>1</v>
      </c>
      <c r="BA23" s="1" t="b">
        <f>AND(F_Castries_South!D6,"AAAAADu3/zQ=")</f>
        <v>1</v>
      </c>
      <c r="BB23" s="1" t="b">
        <f>AND(F_Castries_South!E6,"AAAAADu3/zU=")</f>
        <v>1</v>
      </c>
      <c r="BC23" s="1" t="b">
        <f>AND(F_Castries_South!F6,"AAAAADu3/zY=")</f>
        <v>1</v>
      </c>
      <c r="BD23" s="1" t="b">
        <f>AND(F_Castries_South!G6,"AAAAADu3/zc=")</f>
        <v>1</v>
      </c>
      <c r="BE23" s="1" t="b">
        <f>AND(F_Castries_South!H6,"AAAAADu3/zg=")</f>
        <v>1</v>
      </c>
      <c r="BF23" s="1" t="b">
        <f>AND(F_Castries_South!I6,"AAAAADu3/zk=")</f>
        <v>1</v>
      </c>
      <c r="BG23" s="1" t="b">
        <f>AND(F_Castries_South!J6,"AAAAADu3/zo=")</f>
        <v>1</v>
      </c>
      <c r="BH23" s="1" t="b">
        <f>AND(F_Castries_South!K6,"AAAAADu3/zs=")</f>
        <v>1</v>
      </c>
      <c r="BI23" s="1" t="b">
        <f>AND(F_Castries_South!L6,"AAAAADu3/zw=")</f>
        <v>1</v>
      </c>
      <c r="BJ23" s="1">
        <f>IF(F_Castries_South!7:7,"AAAAADu3/z0=",0)</f>
        <v>0</v>
      </c>
      <c r="BK23" s="1" t="e">
        <f>AND(F_Castries_South!A7,"AAAAADu3/z4=")</f>
        <v>#VALUE!</v>
      </c>
      <c r="BL23" s="1" t="b">
        <f>AND(F_Castries_South!B7,"AAAAADu3/z8=")</f>
        <v>1</v>
      </c>
      <c r="BM23" s="1" t="b">
        <f>AND(F_Castries_South!C7,"AAAAADu3/0A=")</f>
        <v>1</v>
      </c>
      <c r="BN23" s="1" t="b">
        <f>AND(F_Castries_South!D7,"AAAAADu3/0E=")</f>
        <v>1</v>
      </c>
      <c r="BO23" s="1" t="b">
        <f>AND(F_Castries_South!E7,"AAAAADu3/0I=")</f>
        <v>1</v>
      </c>
      <c r="BP23" s="1" t="b">
        <f>AND(F_Castries_South!F7,"AAAAADu3/0M=")</f>
        <v>1</v>
      </c>
      <c r="BQ23" s="1" t="b">
        <f>AND(F_Castries_South!G7,"AAAAADu3/0Q=")</f>
        <v>1</v>
      </c>
      <c r="BR23" s="1" t="b">
        <f>AND(F_Castries_South!H7,"AAAAADu3/0U=")</f>
        <v>1</v>
      </c>
      <c r="BS23" s="1" t="b">
        <f>AND(F_Castries_South!I7,"AAAAADu3/0Y=")</f>
        <v>1</v>
      </c>
      <c r="BT23" s="1" t="b">
        <f>AND(F_Castries_South!J7,"AAAAADu3/0c=")</f>
        <v>1</v>
      </c>
      <c r="BU23" s="1" t="b">
        <f>AND(F_Castries_South!K7,"AAAAADu3/0g=")</f>
        <v>1</v>
      </c>
      <c r="BV23" s="1" t="b">
        <f>AND(F_Castries_South!L7,"AAAAADu3/0k=")</f>
        <v>1</v>
      </c>
      <c r="BW23" s="1">
        <f>IF(F_Castries_South!8:8,"AAAAADu3/0o=",0)</f>
        <v>0</v>
      </c>
      <c r="BX23" s="1" t="e">
        <f>AND(F_Castries_South!A8,"AAAAADu3/0s=")</f>
        <v>#VALUE!</v>
      </c>
      <c r="BY23" s="1" t="b">
        <f>AND(F_Castries_South!B8,"AAAAADu3/0w=")</f>
        <v>1</v>
      </c>
      <c r="BZ23" s="1" t="b">
        <f>AND(F_Castries_South!C8,"AAAAADu3/00=")</f>
        <v>1</v>
      </c>
      <c r="CA23" s="1" t="b">
        <f>AND(F_Castries_South!D8,"AAAAADu3/04=")</f>
        <v>1</v>
      </c>
      <c r="CB23" s="1" t="b">
        <f>AND(F_Castries_South!E8,"AAAAADu3/08=")</f>
        <v>1</v>
      </c>
      <c r="CC23" s="1" t="b">
        <f>AND(F_Castries_South!F8,"AAAAADu3/1A=")</f>
        <v>1</v>
      </c>
      <c r="CD23" s="1" t="b">
        <f>AND(F_Castries_South!G8,"AAAAADu3/1E=")</f>
        <v>1</v>
      </c>
      <c r="CE23" s="1" t="b">
        <f>AND(F_Castries_South!H8,"AAAAADu3/1I=")</f>
        <v>1</v>
      </c>
      <c r="CF23" s="1" t="b">
        <f>AND(F_Castries_South!I8,"AAAAADu3/1M=")</f>
        <v>1</v>
      </c>
      <c r="CG23" s="1" t="b">
        <f>AND(F_Castries_South!J8,"AAAAADu3/1Q=")</f>
        <v>1</v>
      </c>
      <c r="CH23" s="1" t="b">
        <f>AND(F_Castries_South!K8,"AAAAADu3/1U=")</f>
        <v>1</v>
      </c>
      <c r="CI23" s="1" t="b">
        <f>AND(F_Castries_South!L8,"AAAAADu3/1Y=")</f>
        <v>1</v>
      </c>
      <c r="CJ23" s="1">
        <f>IF(F_Castries_South!9:9,"AAAAADu3/1c=",0)</f>
        <v>0</v>
      </c>
      <c r="CK23" s="1" t="e">
        <f>AND(F_Castries_South!A9,"AAAAADu3/1g=")</f>
        <v>#VALUE!</v>
      </c>
      <c r="CL23" s="1" t="b">
        <f>AND(F_Castries_South!B9,"AAAAADu3/1k=")</f>
        <v>1</v>
      </c>
      <c r="CM23" s="1" t="b">
        <f>AND(F_Castries_South!C9,"AAAAADu3/1o=")</f>
        <v>1</v>
      </c>
      <c r="CN23" s="1" t="b">
        <f>AND(F_Castries_South!D9,"AAAAADu3/1s=")</f>
        <v>1</v>
      </c>
      <c r="CO23" s="1" t="b">
        <f>AND(F_Castries_South!E9,"AAAAADu3/1w=")</f>
        <v>1</v>
      </c>
      <c r="CP23" s="1" t="b">
        <f>AND(F_Castries_South!F9,"AAAAADu3/10=")</f>
        <v>1</v>
      </c>
      <c r="CQ23" s="1" t="b">
        <f>AND(F_Castries_South!G9,"AAAAADu3/14=")</f>
        <v>1</v>
      </c>
      <c r="CR23" s="1" t="b">
        <f>AND(F_Castries_South!H9,"AAAAADu3/18=")</f>
        <v>1</v>
      </c>
      <c r="CS23" s="1" t="b">
        <f>AND(F_Castries_South!I9,"AAAAADu3/2A=")</f>
        <v>1</v>
      </c>
      <c r="CT23" s="1" t="b">
        <f>AND(F_Castries_South!J9,"AAAAADu3/2E=")</f>
        <v>1</v>
      </c>
      <c r="CU23" s="1" t="b">
        <f>AND(F_Castries_South!K9,"AAAAADu3/2I=")</f>
        <v>1</v>
      </c>
      <c r="CV23" s="1" t="b">
        <f>AND(F_Castries_South!L9,"AAAAADu3/2M=")</f>
        <v>1</v>
      </c>
      <c r="CW23" s="1">
        <f>IF(F_Castries_South!10:10,"AAAAADu3/2Q=",0)</f>
        <v>0</v>
      </c>
      <c r="CX23" s="1" t="e">
        <f>AND(F_Castries_South!A10,"AAAAADu3/2U=")</f>
        <v>#VALUE!</v>
      </c>
      <c r="CY23" s="1" t="b">
        <f>AND(F_Castries_South!B10,"AAAAADu3/2Y=")</f>
        <v>1</v>
      </c>
      <c r="CZ23" s="1" t="b">
        <f>AND(F_Castries_South!C10,"AAAAADu3/2c=")</f>
        <v>1</v>
      </c>
      <c r="DA23" s="1" t="b">
        <f>AND(F_Castries_South!D10,"AAAAADu3/2g=")</f>
        <v>1</v>
      </c>
      <c r="DB23" s="1" t="b">
        <f>AND(F_Castries_South!E10,"AAAAADu3/2k=")</f>
        <v>1</v>
      </c>
      <c r="DC23" s="1" t="b">
        <f>AND(F_Castries_South!F10,"AAAAADu3/2o=")</f>
        <v>1</v>
      </c>
      <c r="DD23" s="1" t="b">
        <f>AND(F_Castries_South!G10,"AAAAADu3/2s=")</f>
        <v>1</v>
      </c>
      <c r="DE23" s="1" t="b">
        <f>AND(F_Castries_South!H10,"AAAAADu3/2w=")</f>
        <v>1</v>
      </c>
      <c r="DF23" s="1" t="b">
        <f>AND(F_Castries_South!I10,"AAAAADu3/20=")</f>
        <v>1</v>
      </c>
      <c r="DG23" s="1" t="b">
        <f>AND(F_Castries_South!J10,"AAAAADu3/24=")</f>
        <v>1</v>
      </c>
      <c r="DH23" s="1" t="b">
        <f>AND(F_Castries_South!K10,"AAAAADu3/28=")</f>
        <v>1</v>
      </c>
      <c r="DI23" s="1" t="b">
        <f>AND(F_Castries_South!L10,"AAAAADu3/3A=")</f>
        <v>1</v>
      </c>
      <c r="DJ23" s="1">
        <f>IF(F_Castries_South!11:11,"AAAAADu3/3E=",0)</f>
        <v>0</v>
      </c>
      <c r="DK23" s="1" t="e">
        <f>AND(F_Castries_South!A11,"AAAAADu3/3I=")</f>
        <v>#VALUE!</v>
      </c>
      <c r="DL23" s="1" t="b">
        <f>AND(F_Castries_South!B11,"AAAAADu3/3M=")</f>
        <v>1</v>
      </c>
      <c r="DM23" s="1" t="b">
        <f>AND(F_Castries_South!C11,"AAAAADu3/3Q=")</f>
        <v>1</v>
      </c>
      <c r="DN23" s="1" t="b">
        <f>AND(F_Castries_South!D11,"AAAAADu3/3U=")</f>
        <v>1</v>
      </c>
      <c r="DO23" s="1" t="b">
        <f>AND(F_Castries_South!E11,"AAAAADu3/3Y=")</f>
        <v>1</v>
      </c>
      <c r="DP23" s="1" t="b">
        <f>AND(F_Castries_South!F11,"AAAAADu3/3c=")</f>
        <v>1</v>
      </c>
      <c r="DQ23" s="1" t="b">
        <f>AND(F_Castries_South!G11,"AAAAADu3/3g=")</f>
        <v>1</v>
      </c>
      <c r="DR23" s="1" t="b">
        <f>AND(F_Castries_South!H11,"AAAAADu3/3k=")</f>
        <v>1</v>
      </c>
      <c r="DS23" s="1" t="b">
        <f>AND(F_Castries_South!I11,"AAAAADu3/3o=")</f>
        <v>1</v>
      </c>
      <c r="DT23" s="1" t="b">
        <f>AND(F_Castries_South!J11,"AAAAADu3/3s=")</f>
        <v>1</v>
      </c>
      <c r="DU23" s="1" t="b">
        <f>AND(F_Castries_South!K11,"AAAAADu3/3w=")</f>
        <v>1</v>
      </c>
      <c r="DV23" s="1" t="b">
        <f>AND(F_Castries_South!L11,"AAAAADu3/30=")</f>
        <v>1</v>
      </c>
      <c r="DW23" s="1">
        <f>IF(F_Castries_South!12:12,"AAAAADu3/34=",0)</f>
        <v>0</v>
      </c>
      <c r="DX23" s="1" t="e">
        <f>AND(F_Castries_South!A12,"AAAAADu3/38=")</f>
        <v>#VALUE!</v>
      </c>
      <c r="DY23" s="1" t="b">
        <f>AND(F_Castries_South!B12,"AAAAADu3/4A=")</f>
        <v>1</v>
      </c>
      <c r="DZ23" s="1" t="b">
        <f>AND(F_Castries_South!C12,"AAAAADu3/4E=")</f>
        <v>1</v>
      </c>
      <c r="EA23" s="1" t="b">
        <f>AND(F_Castries_South!D12,"AAAAADu3/4I=")</f>
        <v>1</v>
      </c>
      <c r="EB23" s="1" t="b">
        <f>AND(F_Castries_South!E12,"AAAAADu3/4M=")</f>
        <v>1</v>
      </c>
      <c r="EC23" s="1" t="b">
        <f>AND(F_Castries_South!F12,"AAAAADu3/4Q=")</f>
        <v>1</v>
      </c>
      <c r="ED23" s="1" t="b">
        <f>AND(F_Castries_South!G12,"AAAAADu3/4U=")</f>
        <v>1</v>
      </c>
      <c r="EE23" s="1" t="b">
        <f>AND(F_Castries_South!H12,"AAAAADu3/4Y=")</f>
        <v>1</v>
      </c>
      <c r="EF23" s="1" t="b">
        <f>AND(F_Castries_South!I12,"AAAAADu3/4c=")</f>
        <v>1</v>
      </c>
      <c r="EG23" s="1" t="b">
        <f>AND(F_Castries_South!J12,"AAAAADu3/4g=")</f>
        <v>1</v>
      </c>
      <c r="EH23" s="1" t="b">
        <f>AND(F_Castries_South!K12,"AAAAADu3/4k=")</f>
        <v>1</v>
      </c>
      <c r="EI23" s="1" t="b">
        <f>AND(F_Castries_South!L12,"AAAAADu3/4o=")</f>
        <v>1</v>
      </c>
      <c r="EJ23" s="1" t="e">
        <f>IF(F_Castries_South!#REF!,"AAAAADu3/4s=",0)</f>
        <v>#REF!</v>
      </c>
      <c r="EK23" s="1" t="e">
        <f>AND(F_Castries_South!#REF!,"AAAAADu3/4w=")</f>
        <v>#REF!</v>
      </c>
      <c r="EL23" s="1" t="e">
        <f>AND(F_Castries_South!#REF!,"AAAAADu3/40=")</f>
        <v>#REF!</v>
      </c>
      <c r="EM23" s="1" t="e">
        <f>AND(F_Castries_South!#REF!,"AAAAADu3/44=")</f>
        <v>#REF!</v>
      </c>
      <c r="EN23" s="1" t="e">
        <f>AND(F_Castries_South!#REF!,"AAAAADu3/48=")</f>
        <v>#REF!</v>
      </c>
      <c r="EO23" s="1" t="e">
        <f>AND(F_Castries_South!#REF!,"AAAAADu3/5A=")</f>
        <v>#REF!</v>
      </c>
      <c r="EP23" s="1" t="e">
        <f>AND(F_Castries_South!#REF!,"AAAAADu3/5E=")</f>
        <v>#REF!</v>
      </c>
      <c r="EQ23" s="1" t="e">
        <f>AND(F_Castries_South!#REF!,"AAAAADu3/5I=")</f>
        <v>#REF!</v>
      </c>
      <c r="ER23" s="1" t="e">
        <f>AND(F_Castries_South!#REF!,"AAAAADu3/5M=")</f>
        <v>#REF!</v>
      </c>
      <c r="ES23" s="1" t="e">
        <f>AND(F_Castries_South!#REF!,"AAAAADu3/5Q=")</f>
        <v>#REF!</v>
      </c>
      <c r="ET23" s="1" t="e">
        <f>AND(F_Castries_South!#REF!,"AAAAADu3/5U=")</f>
        <v>#REF!</v>
      </c>
      <c r="EU23" s="1" t="e">
        <f>AND(F_Castries_South!#REF!,"AAAAADu3/5Y=")</f>
        <v>#REF!</v>
      </c>
      <c r="EV23" s="1" t="e">
        <f>AND(F_Castries_South!#REF!,"AAAAADu3/5c=")</f>
        <v>#REF!</v>
      </c>
      <c r="EW23" s="1">
        <f>IF(F_Castries_South!13:13,"AAAAADu3/5g=",0)</f>
        <v>0</v>
      </c>
      <c r="EX23" s="1" t="e">
        <f>AND(F_Castries_South!A13,"AAAAADu3/5k=")</f>
        <v>#VALUE!</v>
      </c>
      <c r="EY23" s="1" t="b">
        <f>AND(F_Castries_South!B13,"AAAAADu3/5o=")</f>
        <v>1</v>
      </c>
      <c r="EZ23" s="1" t="b">
        <f>AND(F_Castries_South!C13,"AAAAADu3/5s=")</f>
        <v>1</v>
      </c>
      <c r="FA23" s="1" t="b">
        <f>AND(F_Castries_South!D13,"AAAAADu3/5w=")</f>
        <v>1</v>
      </c>
      <c r="FB23" s="1" t="b">
        <f>AND(F_Castries_South!E13,"AAAAADu3/50=")</f>
        <v>1</v>
      </c>
      <c r="FC23" s="1" t="b">
        <f>AND(F_Castries_South!F13,"AAAAADu3/54=")</f>
        <v>1</v>
      </c>
      <c r="FD23" s="1" t="b">
        <f>AND(F_Castries_South!G13,"AAAAADu3/58=")</f>
        <v>1</v>
      </c>
      <c r="FE23" s="1" t="b">
        <f>AND(F_Castries_South!H13,"AAAAADu3/6A=")</f>
        <v>1</v>
      </c>
      <c r="FF23" s="1" t="b">
        <f>AND(F_Castries_South!I13,"AAAAADu3/6E=")</f>
        <v>1</v>
      </c>
      <c r="FG23" s="1" t="b">
        <f>AND(F_Castries_South!J13,"AAAAADu3/6I=")</f>
        <v>1</v>
      </c>
      <c r="FH23" s="1" t="b">
        <f>AND(F_Castries_South!K13,"AAAAADu3/6M=")</f>
        <v>1</v>
      </c>
      <c r="FI23" s="1" t="b">
        <f>AND(F_Castries_South!L13,"AAAAADu3/6Q=")</f>
        <v>1</v>
      </c>
      <c r="FJ23" s="1">
        <f>IF(F_Castries_South!15:15,"AAAAADu3/6U=",0)</f>
        <v>0</v>
      </c>
      <c r="FK23" s="1" t="e">
        <f>AND(F_Castries_South!A15,"AAAAADu3/6Y=")</f>
        <v>#VALUE!</v>
      </c>
      <c r="FL23" s="1" t="e">
        <f>AND(F_Castries_South!B15,"AAAAADu3/6c=")</f>
        <v>#VALUE!</v>
      </c>
      <c r="FM23" s="1" t="e">
        <f>AND(F_Castries_South!C15,"AAAAADu3/6g=")</f>
        <v>#VALUE!</v>
      </c>
      <c r="FN23" s="1" t="e">
        <f>AND(F_Castries_South!D15,"AAAAADu3/6k=")</f>
        <v>#VALUE!</v>
      </c>
      <c r="FO23" s="1" t="e">
        <f>AND(F_Castries_South!E15,"AAAAADu3/6o=")</f>
        <v>#VALUE!</v>
      </c>
      <c r="FP23" s="1" t="e">
        <f>AND(F_Castries_South!F15,"AAAAADu3/6s=")</f>
        <v>#VALUE!</v>
      </c>
      <c r="FQ23" s="1" t="e">
        <f>AND(F_Castries_South!G15,"AAAAADu3/6w=")</f>
        <v>#VALUE!</v>
      </c>
      <c r="FR23" s="1" t="e">
        <f>AND(F_Castries_South!H15,"AAAAADu3/60=")</f>
        <v>#VALUE!</v>
      </c>
      <c r="FS23" s="1" t="e">
        <f>AND(F_Castries_South!I15,"AAAAADu3/64=")</f>
        <v>#VALUE!</v>
      </c>
      <c r="FT23" s="1" t="e">
        <f>AND(F_Castries_South!J15,"AAAAADu3/68=")</f>
        <v>#VALUE!</v>
      </c>
      <c r="FU23" s="1" t="e">
        <f>AND(F_Castries_South!K15,"AAAAADu3/7A=")</f>
        <v>#VALUE!</v>
      </c>
      <c r="FV23" s="1" t="e">
        <f>AND(F_Castries_South!L15,"AAAAADu3/7E=")</f>
        <v>#VALUE!</v>
      </c>
      <c r="FW23" s="1">
        <f>IF(F_Castries_South!16:16,"AAAAADu3/7I=",0)</f>
        <v>0</v>
      </c>
      <c r="FX23" s="1" t="e">
        <f>AND(F_Castries_South!A16,"AAAAADu3/7M=")</f>
        <v>#VALUE!</v>
      </c>
      <c r="FY23" s="1" t="b">
        <f>AND(F_Castries_South!B16,"AAAAADu3/7Q=")</f>
        <v>1</v>
      </c>
      <c r="FZ23" s="1" t="b">
        <f>AND(F_Castries_South!C16,"AAAAADu3/7U=")</f>
        <v>1</v>
      </c>
      <c r="GA23" s="1" t="b">
        <f>AND(F_Castries_South!D16,"AAAAADu3/7Y=")</f>
        <v>1</v>
      </c>
      <c r="GB23" s="1" t="b">
        <f>AND(F_Castries_South!E16,"AAAAADu3/7c=")</f>
        <v>1</v>
      </c>
      <c r="GC23" s="1" t="b">
        <f>AND(F_Castries_South!F16,"AAAAADu3/7g=")</f>
        <v>1</v>
      </c>
      <c r="GD23" s="1" t="b">
        <f>AND(F_Castries_South!G16,"AAAAADu3/7k=")</f>
        <v>1</v>
      </c>
      <c r="GE23" s="1" t="b">
        <f>AND(F_Castries_South!H16,"AAAAADu3/7o=")</f>
        <v>1</v>
      </c>
      <c r="GF23" s="1" t="b">
        <f>AND(F_Castries_South!I16,"AAAAADu3/7s=")</f>
        <v>1</v>
      </c>
      <c r="GG23" s="1" t="b">
        <f>AND(F_Castries_South!J16,"AAAAADu3/7w=")</f>
        <v>1</v>
      </c>
      <c r="GH23" s="1" t="b">
        <f>AND(F_Castries_South!K16,"AAAAADu3/70=")</f>
        <v>1</v>
      </c>
      <c r="GI23" s="1" t="b">
        <f>AND(F_Castries_South!L16,"AAAAADu3/74=")</f>
        <v>1</v>
      </c>
      <c r="GJ23" s="1">
        <f>IF(F_Castries_South!17:17,"AAAAADu3/78=",0)</f>
        <v>0</v>
      </c>
      <c r="GK23" s="1" t="e">
        <f>AND(F_Castries_South!A17,"AAAAADu3/8A=")</f>
        <v>#VALUE!</v>
      </c>
      <c r="GL23" s="1" t="b">
        <f>AND(F_Castries_South!B17,"AAAAADu3/8E=")</f>
        <v>1</v>
      </c>
      <c r="GM23" s="1" t="b">
        <f>AND(F_Castries_South!C17,"AAAAADu3/8I=")</f>
        <v>1</v>
      </c>
      <c r="GN23" s="1" t="b">
        <f>AND(F_Castries_South!D17,"AAAAADu3/8M=")</f>
        <v>1</v>
      </c>
      <c r="GO23" s="1" t="b">
        <f>AND(F_Castries_South!E17,"AAAAADu3/8Q=")</f>
        <v>1</v>
      </c>
      <c r="GP23" s="1" t="b">
        <f>AND(F_Castries_South!F17,"AAAAADu3/8U=")</f>
        <v>1</v>
      </c>
      <c r="GQ23" s="1" t="b">
        <f>AND(F_Castries_South!G17,"AAAAADu3/8Y=")</f>
        <v>1</v>
      </c>
      <c r="GR23" s="1" t="b">
        <f>AND(F_Castries_South!H17,"AAAAADu3/8c=")</f>
        <v>1</v>
      </c>
      <c r="GS23" s="1" t="b">
        <f>AND(F_Castries_South!I17,"AAAAADu3/8g=")</f>
        <v>1</v>
      </c>
      <c r="GT23" s="1" t="b">
        <f>AND(F_Castries_South!J17,"AAAAADu3/8k=")</f>
        <v>1</v>
      </c>
      <c r="GU23" s="1" t="b">
        <f>AND(F_Castries_South!K17,"AAAAADu3/8o=")</f>
        <v>1</v>
      </c>
      <c r="GV23" s="1" t="b">
        <f>AND(F_Castries_South!L17,"AAAAADu3/8s=")</f>
        <v>1</v>
      </c>
      <c r="GW23" s="1">
        <f>IF(F_Castries_South!18:18,"AAAAADu3/8w=",0)</f>
        <v>0</v>
      </c>
      <c r="GX23" s="1" t="e">
        <f>AND(F_Castries_South!A18,"AAAAADu3/80=")</f>
        <v>#VALUE!</v>
      </c>
      <c r="GY23" s="1" t="b">
        <f>AND(F_Castries_South!B18,"AAAAADu3/84=")</f>
        <v>1</v>
      </c>
      <c r="GZ23" s="1" t="b">
        <f>AND(F_Castries_South!C18,"AAAAADu3/88=")</f>
        <v>1</v>
      </c>
      <c r="HA23" s="1" t="b">
        <f>AND(F_Castries_South!D18,"AAAAADu3/9A=")</f>
        <v>1</v>
      </c>
      <c r="HB23" s="1" t="b">
        <f>AND(F_Castries_South!E18,"AAAAADu3/9E=")</f>
        <v>1</v>
      </c>
      <c r="HC23" s="1" t="b">
        <f>AND(F_Castries_South!F18,"AAAAADu3/9I=")</f>
        <v>1</v>
      </c>
      <c r="HD23" s="1" t="b">
        <f>AND(F_Castries_South!G18,"AAAAADu3/9M=")</f>
        <v>1</v>
      </c>
      <c r="HE23" s="1" t="b">
        <f>AND(F_Castries_South!H18,"AAAAADu3/9Q=")</f>
        <v>1</v>
      </c>
      <c r="HF23" s="1" t="b">
        <f>AND(F_Castries_South!I18,"AAAAADu3/9U=")</f>
        <v>1</v>
      </c>
      <c r="HG23" s="1" t="b">
        <f>AND(F_Castries_South!J18,"AAAAADu3/9Y=")</f>
        <v>1</v>
      </c>
      <c r="HH23" s="1" t="b">
        <f>AND(F_Castries_South!K18,"AAAAADu3/9c=")</f>
        <v>1</v>
      </c>
      <c r="HI23" s="1" t="b">
        <f>AND(F_Castries_South!L18,"AAAAADu3/9g=")</f>
        <v>1</v>
      </c>
      <c r="HJ23" s="1">
        <f>IF(F_Castries_South!19:19,"AAAAADu3/9k=",0)</f>
        <v>0</v>
      </c>
      <c r="HK23" s="1" t="e">
        <f>AND(F_Castries_South!A19,"AAAAADu3/9o=")</f>
        <v>#VALUE!</v>
      </c>
      <c r="HL23" s="1" t="b">
        <f>AND(F_Castries_South!B19,"AAAAADu3/9s=")</f>
        <v>1</v>
      </c>
      <c r="HM23" s="1" t="b">
        <f>AND(F_Castries_South!C19,"AAAAADu3/9w=")</f>
        <v>1</v>
      </c>
      <c r="HN23" s="1" t="b">
        <f>AND(F_Castries_South!D19,"AAAAADu3/90=")</f>
        <v>1</v>
      </c>
      <c r="HO23" s="1" t="b">
        <f>AND(F_Castries_South!E19,"AAAAADu3/94=")</f>
        <v>1</v>
      </c>
      <c r="HP23" s="1" t="b">
        <f>AND(F_Castries_South!F19,"AAAAADu3/98=")</f>
        <v>1</v>
      </c>
      <c r="HQ23" s="1" t="b">
        <f>AND(F_Castries_South!G19,"AAAAADu3/+A=")</f>
        <v>1</v>
      </c>
      <c r="HR23" s="1" t="b">
        <f>AND(F_Castries_South!H19,"AAAAADu3/+E=")</f>
        <v>1</v>
      </c>
      <c r="HS23" s="1" t="b">
        <f>AND(F_Castries_South!I19,"AAAAADu3/+I=")</f>
        <v>1</v>
      </c>
      <c r="HT23" s="1" t="b">
        <f>AND(F_Castries_South!J19,"AAAAADu3/+M=")</f>
        <v>1</v>
      </c>
      <c r="HU23" s="1" t="b">
        <f>AND(F_Castries_South!K19,"AAAAADu3/+Q=")</f>
        <v>1</v>
      </c>
      <c r="HV23" s="1" t="b">
        <f>AND(F_Castries_South!L19,"AAAAADu3/+U=")</f>
        <v>1</v>
      </c>
      <c r="HW23" s="1">
        <f>IF(F_Castries_South!20:20,"AAAAADu3/+Y=",0)</f>
        <v>0</v>
      </c>
      <c r="HX23" s="1" t="e">
        <f>AND(F_Castries_South!A20,"AAAAADu3/+c=")</f>
        <v>#VALUE!</v>
      </c>
      <c r="HY23" s="1" t="b">
        <f>AND(F_Castries_South!B20,"AAAAADu3/+g=")</f>
        <v>1</v>
      </c>
      <c r="HZ23" s="1" t="b">
        <f>AND(F_Castries_South!C20,"AAAAADu3/+k=")</f>
        <v>1</v>
      </c>
      <c r="IA23" s="1" t="b">
        <f>AND(F_Castries_South!D20,"AAAAADu3/+o=")</f>
        <v>1</v>
      </c>
      <c r="IB23" s="1" t="b">
        <f>AND(F_Castries_South!E20,"AAAAADu3/+s=")</f>
        <v>1</v>
      </c>
      <c r="IC23" s="1" t="b">
        <f>AND(F_Castries_South!F20,"AAAAADu3/+w=")</f>
        <v>1</v>
      </c>
      <c r="ID23" s="1" t="b">
        <f>AND(F_Castries_South!G20,"AAAAADu3/+0=")</f>
        <v>1</v>
      </c>
      <c r="IE23" s="1" t="b">
        <f>AND(F_Castries_South!H20,"AAAAADu3/+4=")</f>
        <v>1</v>
      </c>
      <c r="IF23" s="1" t="b">
        <f>AND(F_Castries_South!I20,"AAAAADu3/+8=")</f>
        <v>1</v>
      </c>
      <c r="IG23" s="1" t="b">
        <f>AND(F_Castries_South!J20,"AAAAADu3//A=")</f>
        <v>1</v>
      </c>
      <c r="IH23" s="1" t="b">
        <f>AND(F_Castries_South!K20,"AAAAADu3//E=")</f>
        <v>1</v>
      </c>
      <c r="II23" s="1" t="b">
        <f>AND(F_Castries_South!L20,"AAAAADu3//I=")</f>
        <v>1</v>
      </c>
      <c r="IJ23" s="1">
        <f>IF(F_Castries_South!21:21,"AAAAADu3//M=",0)</f>
        <v>0</v>
      </c>
      <c r="IK23" s="1" t="e">
        <f>AND(F_Castries_South!A21,"AAAAADu3//Q=")</f>
        <v>#VALUE!</v>
      </c>
      <c r="IL23" s="1" t="b">
        <f>AND(F_Castries_South!B21,"AAAAADu3//U=")</f>
        <v>1</v>
      </c>
      <c r="IM23" s="1" t="b">
        <f>AND(F_Castries_South!C21,"AAAAADu3//Y=")</f>
        <v>1</v>
      </c>
      <c r="IN23" s="1" t="b">
        <f>AND(F_Castries_South!D21,"AAAAADu3//c=")</f>
        <v>1</v>
      </c>
      <c r="IO23" s="1" t="b">
        <f>AND(F_Castries_South!E21,"AAAAADu3//g=")</f>
        <v>1</v>
      </c>
      <c r="IP23" s="1" t="b">
        <f>AND(F_Castries_South!F21,"AAAAADu3//k=")</f>
        <v>1</v>
      </c>
      <c r="IQ23" s="1" t="b">
        <f>AND(F_Castries_South!G21,"AAAAADu3//o=")</f>
        <v>1</v>
      </c>
      <c r="IR23" s="1" t="b">
        <f>AND(F_Castries_South!H21,"AAAAADu3//s=")</f>
        <v>1</v>
      </c>
      <c r="IS23" s="1" t="b">
        <f>AND(F_Castries_South!I21,"AAAAADu3//w=")</f>
        <v>1</v>
      </c>
      <c r="IT23" s="1" t="b">
        <f>AND(F_Castries_South!J21,"AAAAADu3//0=")</f>
        <v>1</v>
      </c>
      <c r="IU23" s="1" t="b">
        <f>AND(F_Castries_South!K21,"AAAAADu3//4=")</f>
        <v>1</v>
      </c>
      <c r="IV23" s="1" t="b">
        <f>AND(F_Castries_South!L21,"AAAAADu3//8=")</f>
        <v>1</v>
      </c>
    </row>
    <row r="24" spans="1:256" ht="12" customHeight="1" x14ac:dyDescent="0.2">
      <c r="A24" s="1" t="e">
        <f>IF(F_Castries_South!22:22,"AAAAAH6bawA=",0)</f>
        <v>#VALUE!</v>
      </c>
      <c r="B24" s="1" t="e">
        <f>AND(F_Castries_South!A22,"AAAAAH6bawE=")</f>
        <v>#VALUE!</v>
      </c>
      <c r="C24" s="1" t="b">
        <f>AND(F_Castries_South!B22,"AAAAAH6bawI=")</f>
        <v>1</v>
      </c>
      <c r="D24" s="1" t="b">
        <f>AND(F_Castries_South!C22,"AAAAAH6bawM=")</f>
        <v>1</v>
      </c>
      <c r="E24" s="1" t="b">
        <f>AND(F_Castries_South!D22,"AAAAAH6bawQ=")</f>
        <v>1</v>
      </c>
      <c r="F24" s="1" t="b">
        <f>AND(F_Castries_South!E22,"AAAAAH6bawU=")</f>
        <v>1</v>
      </c>
      <c r="G24" s="1" t="b">
        <f>AND(F_Castries_South!F22,"AAAAAH6bawY=")</f>
        <v>1</v>
      </c>
      <c r="H24" s="1" t="b">
        <f>AND(F_Castries_South!G22,"AAAAAH6bawc=")</f>
        <v>1</v>
      </c>
      <c r="I24" s="1" t="b">
        <f>AND(F_Castries_South!H22,"AAAAAH6bawg=")</f>
        <v>1</v>
      </c>
      <c r="J24" s="1" t="b">
        <f>AND(F_Castries_South!I22,"AAAAAH6bawk=")</f>
        <v>1</v>
      </c>
      <c r="K24" s="1" t="b">
        <f>AND(F_Castries_South!J22,"AAAAAH6bawo=")</f>
        <v>1</v>
      </c>
      <c r="L24" s="1" t="b">
        <f>AND(F_Castries_South!K22,"AAAAAH6baws=")</f>
        <v>1</v>
      </c>
      <c r="M24" s="1" t="b">
        <f>AND(F_Castries_South!L22,"AAAAAH6baww=")</f>
        <v>1</v>
      </c>
      <c r="N24" s="1">
        <f>IF(F_Castries_South!23:23,"AAAAAH6baw0=",0)</f>
        <v>0</v>
      </c>
      <c r="O24" s="1" t="e">
        <f>AND(F_Castries_South!A23,"AAAAAH6baw4=")</f>
        <v>#VALUE!</v>
      </c>
      <c r="P24" s="1" t="b">
        <f>AND(F_Castries_South!B23,"AAAAAH6baw8=")</f>
        <v>1</v>
      </c>
      <c r="Q24" s="1" t="b">
        <f>AND(F_Castries_South!C23,"AAAAAH6baxA=")</f>
        <v>1</v>
      </c>
      <c r="R24" s="1" t="b">
        <f>AND(F_Castries_South!D23,"AAAAAH6baxE=")</f>
        <v>1</v>
      </c>
      <c r="S24" s="1" t="b">
        <f>AND(F_Castries_South!E23,"AAAAAH6baxI=")</f>
        <v>1</v>
      </c>
      <c r="T24" s="1" t="b">
        <f>AND(F_Castries_South!F23,"AAAAAH6baxM=")</f>
        <v>1</v>
      </c>
      <c r="U24" s="1" t="b">
        <f>AND(F_Castries_South!G23,"AAAAAH6baxQ=")</f>
        <v>1</v>
      </c>
      <c r="V24" s="1" t="b">
        <f>AND(F_Castries_South!H23,"AAAAAH6baxU=")</f>
        <v>1</v>
      </c>
      <c r="W24" s="1" t="b">
        <f>AND(F_Castries_South!I23,"AAAAAH6baxY=")</f>
        <v>1</v>
      </c>
      <c r="X24" s="1" t="b">
        <f>AND(F_Castries_South!J23,"AAAAAH6baxc=")</f>
        <v>1</v>
      </c>
      <c r="Y24" s="1" t="b">
        <f>AND(F_Castries_South!K23,"AAAAAH6baxg=")</f>
        <v>1</v>
      </c>
      <c r="Z24" s="1" t="b">
        <f>AND(F_Castries_South!L23,"AAAAAH6baxk=")</f>
        <v>1</v>
      </c>
      <c r="AA24" s="1">
        <f>IF(F_Castries_South!24:24,"AAAAAH6baxo=",0)</f>
        <v>0</v>
      </c>
      <c r="AB24" s="1" t="e">
        <f>AND(F_Castries_South!A24,"AAAAAH6baxs=")</f>
        <v>#VALUE!</v>
      </c>
      <c r="AC24" s="1" t="b">
        <f>AND(F_Castries_South!B24,"AAAAAH6baxw=")</f>
        <v>1</v>
      </c>
      <c r="AD24" s="1" t="b">
        <f>AND(F_Castries_South!C24,"AAAAAH6bax0=")</f>
        <v>1</v>
      </c>
      <c r="AE24" s="1" t="b">
        <f>AND(F_Castries_South!D24,"AAAAAH6bax4=")</f>
        <v>1</v>
      </c>
      <c r="AF24" s="1" t="b">
        <f>AND(F_Castries_South!E24,"AAAAAH6bax8=")</f>
        <v>1</v>
      </c>
      <c r="AG24" s="1" t="b">
        <f>AND(F_Castries_South!F24,"AAAAAH6bayA=")</f>
        <v>1</v>
      </c>
      <c r="AH24" s="1" t="b">
        <f>AND(F_Castries_South!G24,"AAAAAH6bayE=")</f>
        <v>1</v>
      </c>
      <c r="AI24" s="1" t="b">
        <f>AND(F_Castries_South!H24,"AAAAAH6bayI=")</f>
        <v>1</v>
      </c>
      <c r="AJ24" s="1" t="b">
        <f>AND(F_Castries_South!I24,"AAAAAH6bayM=")</f>
        <v>1</v>
      </c>
      <c r="AK24" s="1" t="b">
        <f>AND(F_Castries_South!J24,"AAAAAH6bayQ=")</f>
        <v>1</v>
      </c>
      <c r="AL24" s="1" t="b">
        <f>AND(F_Castries_South!K24,"AAAAAH6bayU=")</f>
        <v>1</v>
      </c>
      <c r="AM24" s="1" t="b">
        <f>AND(F_Castries_South!L24,"AAAAAH6bayY=")</f>
        <v>1</v>
      </c>
      <c r="AN24" s="1" t="e">
        <f>IF(F_Castries_South!#REF!,"AAAAAH6bayc=",0)</f>
        <v>#REF!</v>
      </c>
      <c r="AO24" s="1" t="e">
        <f>AND(F_Castries_South!#REF!,"AAAAAH6bayg=")</f>
        <v>#REF!</v>
      </c>
      <c r="AP24" s="1" t="e">
        <f>AND(F_Castries_South!#REF!,"AAAAAH6bayk=")</f>
        <v>#REF!</v>
      </c>
      <c r="AQ24" s="1" t="e">
        <f>AND(F_Castries_South!#REF!,"AAAAAH6bayo=")</f>
        <v>#REF!</v>
      </c>
      <c r="AR24" s="1" t="e">
        <f>AND(F_Castries_South!#REF!,"AAAAAH6bays=")</f>
        <v>#REF!</v>
      </c>
      <c r="AS24" s="1" t="e">
        <f>AND(F_Castries_South!#REF!,"AAAAAH6bayw=")</f>
        <v>#REF!</v>
      </c>
      <c r="AT24" s="1" t="e">
        <f>AND(F_Castries_South!#REF!,"AAAAAH6bay0=")</f>
        <v>#REF!</v>
      </c>
      <c r="AU24" s="1" t="e">
        <f>AND(F_Castries_South!#REF!,"AAAAAH6bay4=")</f>
        <v>#REF!</v>
      </c>
      <c r="AV24" s="1" t="e">
        <f>AND(F_Castries_South!#REF!,"AAAAAH6bay8=")</f>
        <v>#REF!</v>
      </c>
      <c r="AW24" s="1" t="e">
        <f>AND(F_Castries_South!#REF!,"AAAAAH6bazA=")</f>
        <v>#REF!</v>
      </c>
      <c r="AX24" s="1" t="e">
        <f>AND(F_Castries_South!#REF!,"AAAAAH6bazE=")</f>
        <v>#REF!</v>
      </c>
      <c r="AY24" s="1" t="e">
        <f>AND(F_Castries_South!#REF!,"AAAAAH6bazI=")</f>
        <v>#REF!</v>
      </c>
      <c r="AZ24" s="1" t="e">
        <f>AND(F_Castries_South!#REF!,"AAAAAH6bazM=")</f>
        <v>#REF!</v>
      </c>
      <c r="BA24" s="1">
        <f>IF(F_Castries_South!25:25,"AAAAAH6bazQ=",0)</f>
        <v>0</v>
      </c>
      <c r="BB24" s="1" t="e">
        <f>AND(F_Castries_South!A25,"AAAAAH6bazU=")</f>
        <v>#VALUE!</v>
      </c>
      <c r="BC24" s="1" t="b">
        <f>AND(F_Castries_South!B25,"AAAAAH6bazY=")</f>
        <v>1</v>
      </c>
      <c r="BD24" s="1" t="b">
        <f>AND(F_Castries_South!C25,"AAAAAH6bazc=")</f>
        <v>1</v>
      </c>
      <c r="BE24" s="1" t="b">
        <f>AND(F_Castries_South!D25,"AAAAAH6bazg=")</f>
        <v>1</v>
      </c>
      <c r="BF24" s="1" t="b">
        <f>AND(F_Castries_South!E25,"AAAAAH6bazk=")</f>
        <v>1</v>
      </c>
      <c r="BG24" s="1" t="b">
        <f>AND(F_Castries_South!F25,"AAAAAH6bazo=")</f>
        <v>1</v>
      </c>
      <c r="BH24" s="1" t="b">
        <f>AND(F_Castries_South!G25,"AAAAAH6bazs=")</f>
        <v>1</v>
      </c>
      <c r="BI24" s="1" t="b">
        <f>AND(F_Castries_South!H25,"AAAAAH6bazw=")</f>
        <v>1</v>
      </c>
      <c r="BJ24" s="1" t="b">
        <f>AND(F_Castries_South!I25,"AAAAAH6baz0=")</f>
        <v>1</v>
      </c>
      <c r="BK24" s="1" t="b">
        <f>AND(F_Castries_South!J25,"AAAAAH6baz4=")</f>
        <v>1</v>
      </c>
      <c r="BL24" s="1" t="b">
        <f>AND(F_Castries_South!K25,"AAAAAH6baz8=")</f>
        <v>1</v>
      </c>
      <c r="BM24" s="1" t="b">
        <f>AND(F_Castries_South!L25,"AAAAAH6ba0A=")</f>
        <v>1</v>
      </c>
      <c r="BN24" s="1">
        <f>IF(F_Castries_South!27:27,"AAAAAH6ba0E=",0)</f>
        <v>0</v>
      </c>
      <c r="BO24" s="1" t="e">
        <f>AND(F_Castries_South!A27,"AAAAAH6ba0I=")</f>
        <v>#VALUE!</v>
      </c>
      <c r="BP24" s="1" t="e">
        <f>AND(F_Castries_South!B27,"AAAAAH6ba0M=")</f>
        <v>#VALUE!</v>
      </c>
      <c r="BQ24" s="1" t="e">
        <f>AND(F_Castries_South!C27,"AAAAAH6ba0Q=")</f>
        <v>#VALUE!</v>
      </c>
      <c r="BR24" s="1" t="e">
        <f>AND(F_Castries_South!D27,"AAAAAH6ba0U=")</f>
        <v>#VALUE!</v>
      </c>
      <c r="BS24" s="1" t="e">
        <f>AND(F_Castries_South!E27,"AAAAAH6ba0Y=")</f>
        <v>#VALUE!</v>
      </c>
      <c r="BT24" s="1" t="e">
        <f>AND(F_Castries_South!F27,"AAAAAH6ba0c=")</f>
        <v>#VALUE!</v>
      </c>
      <c r="BU24" s="1" t="e">
        <f>AND(F_Castries_South!G27,"AAAAAH6ba0g=")</f>
        <v>#VALUE!</v>
      </c>
      <c r="BV24" s="1" t="e">
        <f>AND(F_Castries_South!H27,"AAAAAH6ba0k=")</f>
        <v>#VALUE!</v>
      </c>
      <c r="BW24" s="1" t="e">
        <f>AND(F_Castries_South!I27,"AAAAAH6ba0o=")</f>
        <v>#VALUE!</v>
      </c>
      <c r="BX24" s="1" t="e">
        <f>AND(F_Castries_South!J27,"AAAAAH6ba0s=")</f>
        <v>#VALUE!</v>
      </c>
      <c r="BY24" s="1" t="e">
        <f>AND(F_Castries_South!K27,"AAAAAH6ba0w=")</f>
        <v>#VALUE!</v>
      </c>
      <c r="BZ24" s="1" t="e">
        <f>AND(F_Castries_South!L27,"AAAAAH6ba00=")</f>
        <v>#VALUE!</v>
      </c>
      <c r="CA24" s="1">
        <f>IF(F_Castries_South!28:28,"AAAAAH6ba04=",0)</f>
        <v>0</v>
      </c>
      <c r="CB24" s="1" t="e">
        <f>AND(F_Castries_South!A28,"AAAAAH6ba08=")</f>
        <v>#VALUE!</v>
      </c>
      <c r="CC24" s="1" t="b">
        <f>AND(F_Castries_South!B28,"AAAAAH6ba1A=")</f>
        <v>1</v>
      </c>
      <c r="CD24" s="1" t="b">
        <f>AND(F_Castries_South!C28,"AAAAAH6ba1E=")</f>
        <v>1</v>
      </c>
      <c r="CE24" s="1" t="b">
        <f>AND(F_Castries_South!D28,"AAAAAH6ba1I=")</f>
        <v>1</v>
      </c>
      <c r="CF24" s="1" t="b">
        <f>AND(F_Castries_South!E28,"AAAAAH6ba1M=")</f>
        <v>1</v>
      </c>
      <c r="CG24" s="1" t="b">
        <f>AND(F_Castries_South!F28,"AAAAAH6ba1Q=")</f>
        <v>1</v>
      </c>
      <c r="CH24" s="1" t="b">
        <f>AND(F_Castries_South!G28,"AAAAAH6ba1U=")</f>
        <v>1</v>
      </c>
      <c r="CI24" s="1" t="b">
        <f>AND(F_Castries_South!H28,"AAAAAH6ba1Y=")</f>
        <v>1</v>
      </c>
      <c r="CJ24" s="1" t="b">
        <f>AND(F_Castries_South!I28,"AAAAAH6ba1c=")</f>
        <v>1</v>
      </c>
      <c r="CK24" s="1" t="b">
        <f>AND(F_Castries_South!J28,"AAAAAH6ba1g=")</f>
        <v>1</v>
      </c>
      <c r="CL24" s="1" t="b">
        <f>AND(F_Castries_South!K28,"AAAAAH6ba1k=")</f>
        <v>1</v>
      </c>
      <c r="CM24" s="1" t="b">
        <f>AND(F_Castries_South!L28,"AAAAAH6ba1o=")</f>
        <v>1</v>
      </c>
      <c r="CN24" s="1">
        <f>IF(F_Castries_South!29:29,"AAAAAH6ba1s=",0)</f>
        <v>0</v>
      </c>
      <c r="CO24" s="1" t="e">
        <f>AND(F_Castries_South!A29,"AAAAAH6ba1w=")</f>
        <v>#VALUE!</v>
      </c>
      <c r="CP24" s="1" t="b">
        <f>AND(F_Castries_South!B29,"AAAAAH6ba10=")</f>
        <v>1</v>
      </c>
      <c r="CQ24" s="1" t="b">
        <f>AND(F_Castries_South!C29,"AAAAAH6ba14=")</f>
        <v>1</v>
      </c>
      <c r="CR24" s="1" t="b">
        <f>AND(F_Castries_South!D29,"AAAAAH6ba18=")</f>
        <v>1</v>
      </c>
      <c r="CS24" s="1" t="b">
        <f>AND(F_Castries_South!E29,"AAAAAH6ba2A=")</f>
        <v>1</v>
      </c>
      <c r="CT24" s="1" t="b">
        <f>AND(F_Castries_South!F29,"AAAAAH6ba2E=")</f>
        <v>1</v>
      </c>
      <c r="CU24" s="1" t="b">
        <f>AND(F_Castries_South!G29,"AAAAAH6ba2I=")</f>
        <v>0</v>
      </c>
      <c r="CV24" s="1" t="b">
        <f>AND(F_Castries_South!H29,"AAAAAH6ba2M=")</f>
        <v>0</v>
      </c>
      <c r="CW24" s="1" t="b">
        <f>AND(F_Castries_South!I29,"AAAAAH6ba2Q=")</f>
        <v>1</v>
      </c>
      <c r="CX24" s="1" t="b">
        <f>AND(F_Castries_South!J29,"AAAAAH6ba2U=")</f>
        <v>1</v>
      </c>
      <c r="CY24" s="1" t="b">
        <f>AND(F_Castries_South!K29,"AAAAAH6ba2Y=")</f>
        <v>1</v>
      </c>
      <c r="CZ24" s="1" t="b">
        <f>AND(F_Castries_South!L29,"AAAAAH6ba2c=")</f>
        <v>1</v>
      </c>
      <c r="DA24" s="1">
        <f>IF(F_Castries_South!30:30,"AAAAAH6ba2g=",0)</f>
        <v>0</v>
      </c>
      <c r="DB24" s="1" t="e">
        <f>AND(F_Castries_South!A30,"AAAAAH6ba2k=")</f>
        <v>#VALUE!</v>
      </c>
      <c r="DC24" s="1" t="b">
        <f>AND(F_Castries_South!B30,"AAAAAH6ba2o=")</f>
        <v>1</v>
      </c>
      <c r="DD24" s="1" t="b">
        <f>AND(F_Castries_South!C30,"AAAAAH6ba2s=")</f>
        <v>1</v>
      </c>
      <c r="DE24" s="1" t="b">
        <f>AND(F_Castries_South!D30,"AAAAAH6ba2w=")</f>
        <v>1</v>
      </c>
      <c r="DF24" s="1" t="b">
        <f>AND(F_Castries_South!E30,"AAAAAH6ba20=")</f>
        <v>1</v>
      </c>
      <c r="DG24" s="1" t="b">
        <f>AND(F_Castries_South!F30,"AAAAAH6ba24=")</f>
        <v>1</v>
      </c>
      <c r="DH24" s="1" t="b">
        <f>AND(F_Castries_South!G30,"AAAAAH6ba28=")</f>
        <v>1</v>
      </c>
      <c r="DI24" s="1" t="b">
        <f>AND(F_Castries_South!H30,"AAAAAH6ba3A=")</f>
        <v>1</v>
      </c>
      <c r="DJ24" s="1" t="b">
        <f>AND(F_Castries_South!I30,"AAAAAH6ba3E=")</f>
        <v>1</v>
      </c>
      <c r="DK24" s="1" t="b">
        <f>AND(F_Castries_South!J30,"AAAAAH6ba3I=")</f>
        <v>1</v>
      </c>
      <c r="DL24" s="1" t="b">
        <f>AND(F_Castries_South!K30,"AAAAAH6ba3M=")</f>
        <v>1</v>
      </c>
      <c r="DM24" s="1" t="b">
        <f>AND(F_Castries_South!L30,"AAAAAH6ba3Q=")</f>
        <v>1</v>
      </c>
      <c r="DN24" s="1">
        <f>IF(F_Castries_South!31:31,"AAAAAH6ba3U=",0)</f>
        <v>0</v>
      </c>
      <c r="DO24" s="1" t="e">
        <f>AND(F_Castries_South!A31,"AAAAAH6ba3Y=")</f>
        <v>#VALUE!</v>
      </c>
      <c r="DP24" s="1" t="b">
        <f>AND(F_Castries_South!B31,"AAAAAH6ba3c=")</f>
        <v>1</v>
      </c>
      <c r="DQ24" s="1" t="b">
        <f>AND(F_Castries_South!C31,"AAAAAH6ba3g=")</f>
        <v>1</v>
      </c>
      <c r="DR24" s="1" t="b">
        <f>AND(F_Castries_South!D31,"AAAAAH6ba3k=")</f>
        <v>1</v>
      </c>
      <c r="DS24" s="1" t="b">
        <f>AND(F_Castries_South!E31,"AAAAAH6ba3o=")</f>
        <v>1</v>
      </c>
      <c r="DT24" s="1" t="b">
        <f>AND(F_Castries_South!F31,"AAAAAH6ba3s=")</f>
        <v>1</v>
      </c>
      <c r="DU24" s="1" t="b">
        <f>AND(F_Castries_South!G31,"AAAAAH6ba3w=")</f>
        <v>1</v>
      </c>
      <c r="DV24" s="1" t="b">
        <f>AND(F_Castries_South!H31,"AAAAAH6ba30=")</f>
        <v>1</v>
      </c>
      <c r="DW24" s="1" t="b">
        <f>AND(F_Castries_South!I31,"AAAAAH6ba34=")</f>
        <v>1</v>
      </c>
      <c r="DX24" s="1" t="b">
        <f>AND(F_Castries_South!J31,"AAAAAH6ba38=")</f>
        <v>1</v>
      </c>
      <c r="DY24" s="1" t="b">
        <f>AND(F_Castries_South!K31,"AAAAAH6ba4A=")</f>
        <v>1</v>
      </c>
      <c r="DZ24" s="1" t="b">
        <f>AND(F_Castries_South!L31,"AAAAAH6ba4E=")</f>
        <v>1</v>
      </c>
      <c r="EA24" s="1">
        <f>IF(F_Castries_South!32:32,"AAAAAH6ba4I=",0)</f>
        <v>0</v>
      </c>
      <c r="EB24" s="1" t="e">
        <f>AND(F_Castries_South!A32,"AAAAAH6ba4M=")</f>
        <v>#VALUE!</v>
      </c>
      <c r="EC24" s="1" t="b">
        <f>AND(F_Castries_South!B32,"AAAAAH6ba4Q=")</f>
        <v>1</v>
      </c>
      <c r="ED24" s="1" t="b">
        <f>AND(F_Castries_South!C32,"AAAAAH6ba4U=")</f>
        <v>1</v>
      </c>
      <c r="EE24" s="1" t="b">
        <f>AND(F_Castries_South!D32,"AAAAAH6ba4Y=")</f>
        <v>1</v>
      </c>
      <c r="EF24" s="1" t="b">
        <f>AND(F_Castries_South!E32,"AAAAAH6ba4c=")</f>
        <v>1</v>
      </c>
      <c r="EG24" s="1" t="b">
        <f>AND(F_Castries_South!F32,"AAAAAH6ba4g=")</f>
        <v>1</v>
      </c>
      <c r="EH24" s="1" t="b">
        <f>AND(F_Castries_South!G32,"AAAAAH6ba4k=")</f>
        <v>1</v>
      </c>
      <c r="EI24" s="1" t="b">
        <f>AND(F_Castries_South!H32,"AAAAAH6ba4o=")</f>
        <v>1</v>
      </c>
      <c r="EJ24" s="1" t="b">
        <f>AND(F_Castries_South!I32,"AAAAAH6ba4s=")</f>
        <v>1</v>
      </c>
      <c r="EK24" s="1" t="b">
        <f>AND(F_Castries_South!J32,"AAAAAH6ba4w=")</f>
        <v>1</v>
      </c>
      <c r="EL24" s="1" t="b">
        <f>AND(F_Castries_South!K32,"AAAAAH6ba40=")</f>
        <v>1</v>
      </c>
      <c r="EM24" s="1" t="b">
        <f>AND(F_Castries_South!L32,"AAAAAH6ba44=")</f>
        <v>1</v>
      </c>
      <c r="EN24" s="1">
        <f>IF(F_Castries_South!33:33,"AAAAAH6ba48=",0)</f>
        <v>0</v>
      </c>
      <c r="EO24" s="1" t="e">
        <f>AND(F_Castries_South!A33,"AAAAAH6ba5A=")</f>
        <v>#VALUE!</v>
      </c>
      <c r="EP24" s="1" t="b">
        <f>AND(F_Castries_South!B33,"AAAAAH6ba5E=")</f>
        <v>1</v>
      </c>
      <c r="EQ24" s="1" t="b">
        <f>AND(F_Castries_South!C33,"AAAAAH6ba5I=")</f>
        <v>1</v>
      </c>
      <c r="ER24" s="1" t="b">
        <f>AND(F_Castries_South!D33,"AAAAAH6ba5M=")</f>
        <v>1</v>
      </c>
      <c r="ES24" s="1" t="b">
        <f>AND(F_Castries_South!E33,"AAAAAH6ba5Q=")</f>
        <v>1</v>
      </c>
      <c r="ET24" s="1" t="b">
        <f>AND(F_Castries_South!F33,"AAAAAH6ba5U=")</f>
        <v>1</v>
      </c>
      <c r="EU24" s="1" t="b">
        <f>AND(F_Castries_South!G33,"AAAAAH6ba5Y=")</f>
        <v>1</v>
      </c>
      <c r="EV24" s="1" t="b">
        <f>AND(F_Castries_South!H33,"AAAAAH6ba5c=")</f>
        <v>1</v>
      </c>
      <c r="EW24" s="1" t="b">
        <f>AND(F_Castries_South!I33,"AAAAAH6ba5g=")</f>
        <v>1</v>
      </c>
      <c r="EX24" s="1" t="b">
        <f>AND(F_Castries_South!J33,"AAAAAH6ba5k=")</f>
        <v>1</v>
      </c>
      <c r="EY24" s="1" t="b">
        <f>AND(F_Castries_South!K33,"AAAAAH6ba5o=")</f>
        <v>1</v>
      </c>
      <c r="EZ24" s="1" t="b">
        <f>AND(F_Castries_South!L33,"AAAAAH6ba5s=")</f>
        <v>1</v>
      </c>
      <c r="FA24" s="1" t="e">
        <f>IF(F_Castries_South!A:A,"AAAAAH6ba5w=",0)</f>
        <v>#VALUE!</v>
      </c>
      <c r="FB24" s="1" t="str">
        <f>IF(F_Castries_South!B:B,"AAAAAH6ba50=",0)</f>
        <v>AAAAAH6ba50=</v>
      </c>
      <c r="FC24" s="1" t="str">
        <f>IF(F_Castries_South!C:C,"AAAAAH6ba54=",0)</f>
        <v>AAAAAH6ba54=</v>
      </c>
      <c r="FD24" s="1" t="str">
        <f>IF(F_Castries_South!D:D,"AAAAAH6ba58=",0)</f>
        <v>AAAAAH6ba58=</v>
      </c>
      <c r="FE24" s="1" t="str">
        <f>IF(F_Castries_South!E:E,"AAAAAH6ba6A=",0)</f>
        <v>AAAAAH6ba6A=</v>
      </c>
      <c r="FF24" s="1" t="str">
        <f>IF(F_Castries_South!F:F,"AAAAAH6ba6E=",0)</f>
        <v>AAAAAH6ba6E=</v>
      </c>
      <c r="FG24" s="1" t="str">
        <f>IF(F_Castries_South!G:G,"AAAAAH6ba6I=",0)</f>
        <v>AAAAAH6ba6I=</v>
      </c>
      <c r="FH24" s="1" t="str">
        <f>IF(F_Castries_South!H:H,"AAAAAH6ba6M=",0)</f>
        <v>AAAAAH6ba6M=</v>
      </c>
      <c r="FI24" s="1" t="str">
        <f>IF(F_Castries_South!I:I,"AAAAAH6ba6Q=",0)</f>
        <v>AAAAAH6ba6Q=</v>
      </c>
      <c r="FJ24" s="1" t="str">
        <f>IF(F_Castries_South!J:J,"AAAAAH6ba6U=",0)</f>
        <v>AAAAAH6ba6U=</v>
      </c>
      <c r="FK24" s="1" t="str">
        <f>IF(F_Castries_South!K:K,"AAAAAH6ba6Y=",0)</f>
        <v>AAAAAH6ba6Y=</v>
      </c>
      <c r="FL24" s="1" t="str">
        <f>IF(F_Castries_South!L:L,"AAAAAH6ba6c=",0)</f>
        <v>AAAAAH6ba6c=</v>
      </c>
      <c r="FM24" s="1">
        <f>IF(G_Anse_La_Raye_and_Canaries!1:1,"AAAAAH6ba6g=",0)</f>
        <v>0</v>
      </c>
      <c r="FN24" s="1" t="e">
        <f>AND(G_Anse_La_Raye_and_Canaries!A1,"AAAAAH6ba6k=")</f>
        <v>#VALUE!</v>
      </c>
      <c r="FO24" s="1" t="e">
        <f>AND(G_Anse_La_Raye_and_Canaries!B1,"AAAAAH6ba6o=")</f>
        <v>#VALUE!</v>
      </c>
      <c r="FP24" s="1" t="e">
        <f>AND(G_Anse_La_Raye_and_Canaries!C1,"AAAAAH6ba6s=")</f>
        <v>#VALUE!</v>
      </c>
      <c r="FQ24" s="1" t="e">
        <f>AND(G_Anse_La_Raye_and_Canaries!D1,"AAAAAH6ba6w=")</f>
        <v>#VALUE!</v>
      </c>
      <c r="FR24" s="1" t="e">
        <f>AND(G_Anse_La_Raye_and_Canaries!E1,"AAAAAH6ba60=")</f>
        <v>#VALUE!</v>
      </c>
      <c r="FS24" s="1" t="e">
        <f>AND(G_Anse_La_Raye_and_Canaries!F1,"AAAAAH6ba64=")</f>
        <v>#VALUE!</v>
      </c>
      <c r="FT24" s="1" t="e">
        <f>AND(G_Anse_La_Raye_and_Canaries!#REF!,"AAAAAH6ba68=")</f>
        <v>#REF!</v>
      </c>
      <c r="FU24" s="1" t="e">
        <f>AND(G_Anse_La_Raye_and_Canaries!#REF!,"AAAAAH6ba7A=")</f>
        <v>#REF!</v>
      </c>
      <c r="FV24" s="1" t="e">
        <f>AND(G_Anse_La_Raye_and_Canaries!#REF!,"AAAAAH6ba7E=")</f>
        <v>#REF!</v>
      </c>
      <c r="FW24" s="1" t="e">
        <f>AND(G_Anse_La_Raye_and_Canaries!#REF!,"AAAAAH6ba7I=")</f>
        <v>#REF!</v>
      </c>
      <c r="FX24" s="1" t="e">
        <f>AND(G_Anse_La_Raye_and_Canaries!#REF!,"AAAAAH6ba7M=")</f>
        <v>#REF!</v>
      </c>
      <c r="FY24" s="1" t="e">
        <f>AND(G_Anse_La_Raye_and_Canaries!#REF!,"AAAAAH6ba7Q=")</f>
        <v>#REF!</v>
      </c>
      <c r="FZ24" s="1" t="e">
        <f>AND(G_Anse_La_Raye_and_Canaries!G1,"AAAAAH6ba7U=")</f>
        <v>#VALUE!</v>
      </c>
      <c r="GA24" s="1" t="e">
        <f>AND(G_Anse_La_Raye_and_Canaries!H1,"AAAAAH6ba7Y=")</f>
        <v>#VALUE!</v>
      </c>
      <c r="GB24" s="1" t="e">
        <f>AND(G_Anse_La_Raye_and_Canaries!I1,"AAAAAH6ba7c=")</f>
        <v>#VALUE!</v>
      </c>
      <c r="GC24" s="1" t="e">
        <f>AND(G_Anse_La_Raye_and_Canaries!J1,"AAAAAH6ba7g=")</f>
        <v>#VALUE!</v>
      </c>
      <c r="GD24" s="1" t="e">
        <f>AND(G_Anse_La_Raye_and_Canaries!K1,"AAAAAH6ba7k=")</f>
        <v>#VALUE!</v>
      </c>
      <c r="GE24" s="1" t="e">
        <f>AND(G_Anse_La_Raye_and_Canaries!L1,"AAAAAH6ba7o=")</f>
        <v>#VALUE!</v>
      </c>
      <c r="GF24" s="1">
        <f>IF(G_Anse_La_Raye_and_Canaries!2:2,"AAAAAH6ba7s=",0)</f>
        <v>0</v>
      </c>
      <c r="GG24" s="1" t="e">
        <f>AND(G_Anse_La_Raye_and_Canaries!A2,"AAAAAH6ba7w=")</f>
        <v>#VALUE!</v>
      </c>
      <c r="GH24" s="1" t="e">
        <f>AND(G_Anse_La_Raye_and_Canaries!B2,"AAAAAH6ba70=")</f>
        <v>#VALUE!</v>
      </c>
      <c r="GI24" s="1" t="e">
        <f>AND(G_Anse_La_Raye_and_Canaries!C2,"AAAAAH6ba74=")</f>
        <v>#VALUE!</v>
      </c>
      <c r="GJ24" s="1" t="e">
        <f>AND(G_Anse_La_Raye_and_Canaries!D2,"AAAAAH6ba78=")</f>
        <v>#VALUE!</v>
      </c>
      <c r="GK24" s="1" t="e">
        <f>AND(G_Anse_La_Raye_and_Canaries!E2,"AAAAAH6ba8A=")</f>
        <v>#VALUE!</v>
      </c>
      <c r="GL24" s="1" t="e">
        <f>AND(G_Anse_La_Raye_and_Canaries!F2,"AAAAAH6ba8E=")</f>
        <v>#VALUE!</v>
      </c>
      <c r="GM24" s="1" t="e">
        <f>AND(G_Anse_La_Raye_and_Canaries!#REF!,"AAAAAH6ba8I=")</f>
        <v>#REF!</v>
      </c>
      <c r="GN24" s="1" t="e">
        <f>AND(G_Anse_La_Raye_and_Canaries!#REF!,"AAAAAH6ba8M=")</f>
        <v>#REF!</v>
      </c>
      <c r="GO24" s="1" t="e">
        <f>AND(G_Anse_La_Raye_and_Canaries!#REF!,"AAAAAH6ba8Q=")</f>
        <v>#REF!</v>
      </c>
      <c r="GP24" s="1" t="e">
        <f>AND(G_Anse_La_Raye_and_Canaries!#REF!,"AAAAAH6ba8U=")</f>
        <v>#REF!</v>
      </c>
      <c r="GQ24" s="1" t="e">
        <f>AND(G_Anse_La_Raye_and_Canaries!#REF!,"AAAAAH6ba8Y=")</f>
        <v>#REF!</v>
      </c>
      <c r="GR24" s="1" t="e">
        <f>AND(G_Anse_La_Raye_and_Canaries!#REF!,"AAAAAH6ba8c=")</f>
        <v>#REF!</v>
      </c>
      <c r="GS24" s="1" t="e">
        <f>AND(G_Anse_La_Raye_and_Canaries!G2,"AAAAAH6ba8g=")</f>
        <v>#VALUE!</v>
      </c>
      <c r="GT24" s="1" t="e">
        <f>AND(G_Anse_La_Raye_and_Canaries!H2,"AAAAAH6ba8k=")</f>
        <v>#VALUE!</v>
      </c>
      <c r="GU24" s="1" t="e">
        <f>AND(G_Anse_La_Raye_and_Canaries!I2,"AAAAAH6ba8o=")</f>
        <v>#VALUE!</v>
      </c>
      <c r="GV24" s="1" t="e">
        <f>AND(G_Anse_La_Raye_and_Canaries!J2,"AAAAAH6ba8s=")</f>
        <v>#VALUE!</v>
      </c>
      <c r="GW24" s="1" t="e">
        <f>AND(G_Anse_La_Raye_and_Canaries!K2,"AAAAAH6ba8w=")</f>
        <v>#VALUE!</v>
      </c>
      <c r="GX24" s="1" t="e">
        <f>AND(G_Anse_La_Raye_and_Canaries!L2,"AAAAAH6ba80=")</f>
        <v>#VALUE!</v>
      </c>
      <c r="GY24" s="1">
        <f>IF(G_Anse_La_Raye_and_Canaries!3:3,"AAAAAH6ba84=",0)</f>
        <v>0</v>
      </c>
      <c r="GZ24" s="1" t="e">
        <f>AND(G_Anse_La_Raye_and_Canaries!#REF!,"AAAAAH6ba88=")</f>
        <v>#REF!</v>
      </c>
      <c r="HA24" s="1" t="e">
        <f>AND(G_Anse_La_Raye_and_Canaries!A3,"AAAAAH6ba9A=")</f>
        <v>#VALUE!</v>
      </c>
      <c r="HB24" s="1" t="e">
        <f>AND(G_Anse_La_Raye_and_Canaries!C3,"AAAAAH6ba9E=")</f>
        <v>#VALUE!</v>
      </c>
      <c r="HC24" s="1" t="e">
        <f>AND(G_Anse_La_Raye_and_Canaries!D3,"AAAAAH6ba9I=")</f>
        <v>#VALUE!</v>
      </c>
      <c r="HD24" s="1" t="e">
        <f>AND(G_Anse_La_Raye_and_Canaries!E3,"AAAAAH6ba9M=")</f>
        <v>#VALUE!</v>
      </c>
      <c r="HE24" s="1" t="e">
        <f>AND(G_Anse_La_Raye_and_Canaries!F3,"AAAAAH6ba9Q=")</f>
        <v>#VALUE!</v>
      </c>
      <c r="HF24" s="1" t="e">
        <f>AND(G_Anse_La_Raye_and_Canaries!#REF!,"AAAAAH6ba9U=")</f>
        <v>#REF!</v>
      </c>
      <c r="HG24" s="1" t="e">
        <f>AND(G_Anse_La_Raye_and_Canaries!#REF!,"AAAAAH6ba9Y=")</f>
        <v>#REF!</v>
      </c>
      <c r="HH24" s="1" t="e">
        <f>AND(G_Anse_La_Raye_and_Canaries!#REF!,"AAAAAH6ba9c=")</f>
        <v>#REF!</v>
      </c>
      <c r="HI24" s="1" t="e">
        <f>AND(G_Anse_La_Raye_and_Canaries!#REF!,"AAAAAH6ba9g=")</f>
        <v>#REF!</v>
      </c>
      <c r="HJ24" s="1" t="e">
        <f>AND(G_Anse_La_Raye_and_Canaries!#REF!,"AAAAAH6ba9k=")</f>
        <v>#REF!</v>
      </c>
      <c r="HK24" s="1" t="e">
        <f>AND(G_Anse_La_Raye_and_Canaries!#REF!,"AAAAAH6ba9o=")</f>
        <v>#REF!</v>
      </c>
      <c r="HL24" s="1" t="e">
        <f>AND(G_Anse_La_Raye_and_Canaries!G3,"AAAAAH6ba9s=")</f>
        <v>#VALUE!</v>
      </c>
      <c r="HM24" s="1" t="e">
        <f>AND(G_Anse_La_Raye_and_Canaries!H3,"AAAAAH6ba9w=")</f>
        <v>#VALUE!</v>
      </c>
      <c r="HN24" s="1" t="e">
        <f>AND(G_Anse_La_Raye_and_Canaries!I3,"AAAAAH6ba90=")</f>
        <v>#VALUE!</v>
      </c>
      <c r="HO24" s="1" t="e">
        <f>AND(G_Anse_La_Raye_and_Canaries!J3,"AAAAAH6ba94=")</f>
        <v>#VALUE!</v>
      </c>
      <c r="HP24" s="1" t="e">
        <f>AND(G_Anse_La_Raye_and_Canaries!K3,"AAAAAH6ba98=")</f>
        <v>#VALUE!</v>
      </c>
      <c r="HQ24" s="1" t="e">
        <f>AND(G_Anse_La_Raye_and_Canaries!L3,"AAAAAH6ba+A=")</f>
        <v>#VALUE!</v>
      </c>
      <c r="HR24" s="1">
        <f>IF(G_Anse_La_Raye_and_Canaries!4:4,"AAAAAH6ba+E=",0)</f>
        <v>0</v>
      </c>
      <c r="HS24" s="1" t="e">
        <f>AND(G_Anse_La_Raye_and_Canaries!A4,"AAAAAH6ba+I=")</f>
        <v>#VALUE!</v>
      </c>
      <c r="HT24" s="1" t="b">
        <f>AND(G_Anse_La_Raye_and_Canaries!B4,"AAAAAH6ba+M=")</f>
        <v>1</v>
      </c>
      <c r="HU24" s="1" t="b">
        <f>AND(G_Anse_La_Raye_and_Canaries!C4,"AAAAAH6ba+Q=")</f>
        <v>1</v>
      </c>
      <c r="HV24" s="1" t="b">
        <f>AND(G_Anse_La_Raye_and_Canaries!D4,"AAAAAH6ba+U=")</f>
        <v>1</v>
      </c>
      <c r="HW24" s="1" t="b">
        <f>AND(G_Anse_La_Raye_and_Canaries!E4,"AAAAAH6ba+Y=")</f>
        <v>1</v>
      </c>
      <c r="HX24" s="1" t="b">
        <f>AND(G_Anse_La_Raye_and_Canaries!F4,"AAAAAH6ba+c=")</f>
        <v>1</v>
      </c>
      <c r="HY24" s="1" t="e">
        <f>AND(G_Anse_La_Raye_and_Canaries!#REF!,"AAAAAH6ba+g=")</f>
        <v>#REF!</v>
      </c>
      <c r="HZ24" s="1" t="e">
        <f>AND(G_Anse_La_Raye_and_Canaries!#REF!,"AAAAAH6ba+k=")</f>
        <v>#REF!</v>
      </c>
      <c r="IA24" s="1" t="e">
        <f>AND(G_Anse_La_Raye_and_Canaries!#REF!,"AAAAAH6ba+o=")</f>
        <v>#REF!</v>
      </c>
      <c r="IB24" s="1" t="e">
        <f>AND(G_Anse_La_Raye_and_Canaries!#REF!,"AAAAAH6ba+s=")</f>
        <v>#REF!</v>
      </c>
      <c r="IC24" s="1" t="e">
        <f>AND(G_Anse_La_Raye_and_Canaries!#REF!,"AAAAAH6ba+w=")</f>
        <v>#REF!</v>
      </c>
      <c r="ID24" s="1" t="e">
        <f>AND(G_Anse_La_Raye_and_Canaries!#REF!,"AAAAAH6ba+0=")</f>
        <v>#REF!</v>
      </c>
      <c r="IE24" s="1" t="b">
        <f>AND(G_Anse_La_Raye_and_Canaries!G4,"AAAAAH6ba+4=")</f>
        <v>1</v>
      </c>
      <c r="IF24" s="1" t="b">
        <f>AND(G_Anse_La_Raye_and_Canaries!H4,"AAAAAH6ba+8=")</f>
        <v>1</v>
      </c>
      <c r="IG24" s="1" t="b">
        <f>AND(G_Anse_La_Raye_and_Canaries!I4,"AAAAAH6ba/A=")</f>
        <v>1</v>
      </c>
      <c r="IH24" s="1" t="b">
        <f>AND(G_Anse_La_Raye_and_Canaries!J4,"AAAAAH6ba/E=")</f>
        <v>1</v>
      </c>
      <c r="II24" s="1" t="b">
        <f>AND(G_Anse_La_Raye_and_Canaries!K4,"AAAAAH6ba/I=")</f>
        <v>1</v>
      </c>
      <c r="IJ24" s="1" t="b">
        <f>AND(G_Anse_La_Raye_and_Canaries!L4,"AAAAAH6ba/M=")</f>
        <v>1</v>
      </c>
      <c r="IK24" s="1">
        <f>IF(G_Anse_La_Raye_and_Canaries!5:5,"AAAAAH6ba/Q=",0)</f>
        <v>0</v>
      </c>
      <c r="IL24" s="1" t="e">
        <f>AND(G_Anse_La_Raye_and_Canaries!A5,"AAAAAH6ba/U=")</f>
        <v>#VALUE!</v>
      </c>
      <c r="IM24" s="1" t="e">
        <f>AND(G_Anse_La_Raye_and_Canaries!B5,"AAAAAH6ba/Y=")</f>
        <v>#VALUE!</v>
      </c>
      <c r="IN24" s="1" t="e">
        <f>AND(G_Anse_La_Raye_and_Canaries!C5,"AAAAAH6ba/c=")</f>
        <v>#VALUE!</v>
      </c>
      <c r="IO24" s="1" t="e">
        <f>AND(G_Anse_La_Raye_and_Canaries!D5,"AAAAAH6ba/g=")</f>
        <v>#VALUE!</v>
      </c>
      <c r="IP24" s="1" t="e">
        <f>AND(G_Anse_La_Raye_and_Canaries!E5,"AAAAAH6ba/k=")</f>
        <v>#VALUE!</v>
      </c>
      <c r="IQ24" s="1" t="e">
        <f>AND(G_Anse_La_Raye_and_Canaries!F5,"AAAAAH6ba/o=")</f>
        <v>#VALUE!</v>
      </c>
      <c r="IR24" s="1" t="e">
        <f>AND(G_Anse_La_Raye_and_Canaries!#REF!,"AAAAAH6ba/s=")</f>
        <v>#REF!</v>
      </c>
      <c r="IS24" s="1" t="e">
        <f>AND(G_Anse_La_Raye_and_Canaries!#REF!,"AAAAAH6ba/w=")</f>
        <v>#REF!</v>
      </c>
      <c r="IT24" s="1" t="e">
        <f>AND(G_Anse_La_Raye_and_Canaries!#REF!,"AAAAAH6ba/0=")</f>
        <v>#REF!</v>
      </c>
      <c r="IU24" s="1" t="e">
        <f>AND(G_Anse_La_Raye_and_Canaries!#REF!,"AAAAAH6ba/4=")</f>
        <v>#REF!</v>
      </c>
      <c r="IV24" s="1" t="e">
        <f>AND(G_Anse_La_Raye_and_Canaries!#REF!,"AAAAAH6ba/8=")</f>
        <v>#REF!</v>
      </c>
    </row>
    <row r="25" spans="1:256" ht="12" customHeight="1" x14ac:dyDescent="0.2">
      <c r="A25" s="1" t="e">
        <f>AND(G_Anse_La_Raye_and_Canaries!#REF!,"AAAAABfXwwA=")</f>
        <v>#REF!</v>
      </c>
      <c r="B25" s="1" t="e">
        <f>AND(G_Anse_La_Raye_and_Canaries!G5,"AAAAABfXwwE=")</f>
        <v>#VALUE!</v>
      </c>
      <c r="C25" s="1" t="e">
        <f>AND(G_Anse_La_Raye_and_Canaries!H5,"AAAAABfXwwI=")</f>
        <v>#VALUE!</v>
      </c>
      <c r="D25" s="1" t="e">
        <f>AND(G_Anse_La_Raye_and_Canaries!I5,"AAAAABfXwwM=")</f>
        <v>#VALUE!</v>
      </c>
      <c r="E25" s="1" t="e">
        <f>AND(G_Anse_La_Raye_and_Canaries!J5,"AAAAABfXwwQ=")</f>
        <v>#VALUE!</v>
      </c>
      <c r="F25" s="1" t="e">
        <f>AND(G_Anse_La_Raye_and_Canaries!K5,"AAAAABfXwwU=")</f>
        <v>#VALUE!</v>
      </c>
      <c r="G25" s="1" t="e">
        <f>AND(G_Anse_La_Raye_and_Canaries!L5,"AAAAABfXwwY=")</f>
        <v>#VALUE!</v>
      </c>
      <c r="H25" s="1" t="str">
        <f>IF(G_Anse_La_Raye_and_Canaries!6:6,"AAAAABfXwwc=",0)</f>
        <v>AAAAABfXwwc=</v>
      </c>
      <c r="I25" s="1" t="e">
        <f>AND(G_Anse_La_Raye_and_Canaries!A6,"AAAAABfXwwg=")</f>
        <v>#VALUE!</v>
      </c>
      <c r="J25" s="1" t="b">
        <f>AND(G_Anse_La_Raye_and_Canaries!B6,"AAAAABfXwwk=")</f>
        <v>1</v>
      </c>
      <c r="K25" s="1" t="b">
        <f>AND(G_Anse_La_Raye_and_Canaries!C6,"AAAAABfXwwo=")</f>
        <v>1</v>
      </c>
      <c r="L25" s="1" t="b">
        <f>AND(G_Anse_La_Raye_and_Canaries!D6,"AAAAABfXwws=")</f>
        <v>1</v>
      </c>
      <c r="M25" s="1" t="b">
        <f>AND(G_Anse_La_Raye_and_Canaries!E6,"AAAAABfXwww=")</f>
        <v>1</v>
      </c>
      <c r="N25" s="1" t="b">
        <f>AND(G_Anse_La_Raye_and_Canaries!F6,"AAAAABfXww0=")</f>
        <v>1</v>
      </c>
      <c r="O25" s="1" t="e">
        <f>AND(G_Anse_La_Raye_and_Canaries!#REF!,"AAAAABfXww4=")</f>
        <v>#REF!</v>
      </c>
      <c r="P25" s="1" t="e">
        <f>AND(G_Anse_La_Raye_and_Canaries!#REF!,"AAAAABfXww8=")</f>
        <v>#REF!</v>
      </c>
      <c r="Q25" s="1" t="e">
        <f>AND(G_Anse_La_Raye_and_Canaries!#REF!,"AAAAABfXwxA=")</f>
        <v>#REF!</v>
      </c>
      <c r="R25" s="1" t="e">
        <f>AND(G_Anse_La_Raye_and_Canaries!#REF!,"AAAAABfXwxE=")</f>
        <v>#REF!</v>
      </c>
      <c r="S25" s="1" t="e">
        <f>AND(G_Anse_La_Raye_and_Canaries!#REF!,"AAAAABfXwxI=")</f>
        <v>#REF!</v>
      </c>
      <c r="T25" s="1" t="e">
        <f>AND(G_Anse_La_Raye_and_Canaries!#REF!,"AAAAABfXwxM=")</f>
        <v>#REF!</v>
      </c>
      <c r="U25" s="1" t="b">
        <f>AND(G_Anse_La_Raye_and_Canaries!G6,"AAAAABfXwxQ=")</f>
        <v>1</v>
      </c>
      <c r="V25" s="1" t="b">
        <f>AND(G_Anse_La_Raye_and_Canaries!H6,"AAAAABfXwxU=")</f>
        <v>1</v>
      </c>
      <c r="W25" s="1" t="b">
        <f>AND(G_Anse_La_Raye_and_Canaries!I6,"AAAAABfXwxY=")</f>
        <v>1</v>
      </c>
      <c r="X25" s="1" t="b">
        <f>AND(G_Anse_La_Raye_and_Canaries!J6,"AAAAABfXwxc=")</f>
        <v>1</v>
      </c>
      <c r="Y25" s="1" t="b">
        <f>AND(G_Anse_La_Raye_and_Canaries!K6,"AAAAABfXwxg=")</f>
        <v>1</v>
      </c>
      <c r="Z25" s="1" t="b">
        <f>AND(G_Anse_La_Raye_and_Canaries!L6,"AAAAABfXwxk=")</f>
        <v>1</v>
      </c>
      <c r="AA25" s="1">
        <f>IF(G_Anse_La_Raye_and_Canaries!7:7,"AAAAABfXwxo=",0)</f>
        <v>0</v>
      </c>
      <c r="AB25" s="1" t="e">
        <f>AND(G_Anse_La_Raye_and_Canaries!A7,"AAAAABfXwxs=")</f>
        <v>#VALUE!</v>
      </c>
      <c r="AC25" s="1" t="b">
        <f>AND(G_Anse_La_Raye_and_Canaries!B7,"AAAAABfXwxw=")</f>
        <v>1</v>
      </c>
      <c r="AD25" s="1" t="b">
        <f>AND(G_Anse_La_Raye_and_Canaries!C7,"AAAAABfXwx0=")</f>
        <v>1</v>
      </c>
      <c r="AE25" s="1" t="b">
        <f>AND(G_Anse_La_Raye_and_Canaries!D7,"AAAAABfXwx4=")</f>
        <v>1</v>
      </c>
      <c r="AF25" s="1" t="b">
        <f>AND(G_Anse_La_Raye_and_Canaries!E7,"AAAAABfXwx8=")</f>
        <v>1</v>
      </c>
      <c r="AG25" s="1" t="b">
        <f>AND(G_Anse_La_Raye_and_Canaries!F7,"AAAAABfXwyA=")</f>
        <v>1</v>
      </c>
      <c r="AH25" s="1" t="e">
        <f>AND(G_Anse_La_Raye_and_Canaries!#REF!,"AAAAABfXwyE=")</f>
        <v>#REF!</v>
      </c>
      <c r="AI25" s="1" t="e">
        <f>AND(G_Anse_La_Raye_and_Canaries!#REF!,"AAAAABfXwyI=")</f>
        <v>#REF!</v>
      </c>
      <c r="AJ25" s="1" t="e">
        <f>AND(G_Anse_La_Raye_and_Canaries!#REF!,"AAAAABfXwyM=")</f>
        <v>#REF!</v>
      </c>
      <c r="AK25" s="1" t="e">
        <f>AND(G_Anse_La_Raye_and_Canaries!#REF!,"AAAAABfXwyQ=")</f>
        <v>#REF!</v>
      </c>
      <c r="AL25" s="1" t="e">
        <f>AND(G_Anse_La_Raye_and_Canaries!#REF!,"AAAAABfXwyU=")</f>
        <v>#REF!</v>
      </c>
      <c r="AM25" s="1" t="e">
        <f>AND(G_Anse_La_Raye_and_Canaries!#REF!,"AAAAABfXwyY=")</f>
        <v>#REF!</v>
      </c>
      <c r="AN25" s="1" t="b">
        <f>AND(G_Anse_La_Raye_and_Canaries!G7,"AAAAABfXwyc=")</f>
        <v>1</v>
      </c>
      <c r="AO25" s="1" t="b">
        <f>AND(G_Anse_La_Raye_and_Canaries!H7,"AAAAABfXwyg=")</f>
        <v>1</v>
      </c>
      <c r="AP25" s="1" t="b">
        <f>AND(G_Anse_La_Raye_and_Canaries!I7,"AAAAABfXwyk=")</f>
        <v>1</v>
      </c>
      <c r="AQ25" s="1" t="b">
        <f>AND(G_Anse_La_Raye_and_Canaries!J7,"AAAAABfXwyo=")</f>
        <v>1</v>
      </c>
      <c r="AR25" s="1" t="b">
        <f>AND(G_Anse_La_Raye_and_Canaries!K7,"AAAAABfXwys=")</f>
        <v>1</v>
      </c>
      <c r="AS25" s="1" t="b">
        <f>AND(G_Anse_La_Raye_and_Canaries!L7,"AAAAABfXwyw=")</f>
        <v>1</v>
      </c>
      <c r="AT25" s="1">
        <f>IF(G_Anse_La_Raye_and_Canaries!8:8,"AAAAABfXwy0=",0)</f>
        <v>0</v>
      </c>
      <c r="AU25" s="1" t="e">
        <f>AND(G_Anse_La_Raye_and_Canaries!A8,"AAAAABfXwy4=")</f>
        <v>#VALUE!</v>
      </c>
      <c r="AV25" s="1" t="b">
        <f>AND(G_Anse_La_Raye_and_Canaries!B8,"AAAAABfXwy8=")</f>
        <v>1</v>
      </c>
      <c r="AW25" s="1" t="b">
        <f>AND(G_Anse_La_Raye_and_Canaries!C8,"AAAAABfXwzA=")</f>
        <v>1</v>
      </c>
      <c r="AX25" s="1" t="b">
        <f>AND(G_Anse_La_Raye_and_Canaries!D8,"AAAAABfXwzE=")</f>
        <v>1</v>
      </c>
      <c r="AY25" s="1" t="b">
        <f>AND(G_Anse_La_Raye_and_Canaries!E8,"AAAAABfXwzI=")</f>
        <v>1</v>
      </c>
      <c r="AZ25" s="1" t="b">
        <f>AND(G_Anse_La_Raye_and_Canaries!F8,"AAAAABfXwzM=")</f>
        <v>1</v>
      </c>
      <c r="BA25" s="1" t="e">
        <f>AND(G_Anse_La_Raye_and_Canaries!#REF!,"AAAAABfXwzQ=")</f>
        <v>#REF!</v>
      </c>
      <c r="BB25" s="1" t="e">
        <f>AND(G_Anse_La_Raye_and_Canaries!#REF!,"AAAAABfXwzU=")</f>
        <v>#REF!</v>
      </c>
      <c r="BC25" s="1" t="e">
        <f>AND(G_Anse_La_Raye_and_Canaries!#REF!,"AAAAABfXwzY=")</f>
        <v>#REF!</v>
      </c>
      <c r="BD25" s="1" t="e">
        <f>AND(G_Anse_La_Raye_and_Canaries!#REF!,"AAAAABfXwzc=")</f>
        <v>#REF!</v>
      </c>
      <c r="BE25" s="1" t="e">
        <f>AND(G_Anse_La_Raye_and_Canaries!#REF!,"AAAAABfXwzg=")</f>
        <v>#REF!</v>
      </c>
      <c r="BF25" s="1" t="e">
        <f>AND(G_Anse_La_Raye_and_Canaries!#REF!,"AAAAABfXwzk=")</f>
        <v>#REF!</v>
      </c>
      <c r="BG25" s="1" t="b">
        <f>AND(G_Anse_La_Raye_and_Canaries!G8,"AAAAABfXwzo=")</f>
        <v>1</v>
      </c>
      <c r="BH25" s="1" t="b">
        <f>AND(G_Anse_La_Raye_and_Canaries!H8,"AAAAABfXwzs=")</f>
        <v>1</v>
      </c>
      <c r="BI25" s="1" t="b">
        <f>AND(G_Anse_La_Raye_and_Canaries!I8,"AAAAABfXwzw=")</f>
        <v>1</v>
      </c>
      <c r="BJ25" s="1" t="b">
        <f>AND(G_Anse_La_Raye_and_Canaries!J8,"AAAAABfXwz0=")</f>
        <v>1</v>
      </c>
      <c r="BK25" s="1" t="b">
        <f>AND(G_Anse_La_Raye_and_Canaries!K8,"AAAAABfXwz4=")</f>
        <v>1</v>
      </c>
      <c r="BL25" s="1" t="b">
        <f>AND(G_Anse_La_Raye_and_Canaries!L8,"AAAAABfXwz8=")</f>
        <v>1</v>
      </c>
      <c r="BM25" s="1">
        <f>IF(G_Anse_La_Raye_and_Canaries!9:9,"AAAAABfXw0A=",0)</f>
        <v>0</v>
      </c>
      <c r="BN25" s="1" t="e">
        <f>AND(G_Anse_La_Raye_and_Canaries!A9,"AAAAABfXw0E=")</f>
        <v>#VALUE!</v>
      </c>
      <c r="BO25" s="1" t="b">
        <f>AND(G_Anse_La_Raye_and_Canaries!B9,"AAAAABfXw0I=")</f>
        <v>1</v>
      </c>
      <c r="BP25" s="1" t="b">
        <f>AND(G_Anse_La_Raye_and_Canaries!C9,"AAAAABfXw0M=")</f>
        <v>1</v>
      </c>
      <c r="BQ25" s="1" t="b">
        <f>AND(G_Anse_La_Raye_and_Canaries!D9,"AAAAABfXw0Q=")</f>
        <v>1</v>
      </c>
      <c r="BR25" s="1" t="b">
        <f>AND(G_Anse_La_Raye_and_Canaries!E9,"AAAAABfXw0U=")</f>
        <v>1</v>
      </c>
      <c r="BS25" s="1" t="b">
        <f>AND(G_Anse_La_Raye_and_Canaries!F9,"AAAAABfXw0Y=")</f>
        <v>1</v>
      </c>
      <c r="BT25" s="1" t="e">
        <f>AND(G_Anse_La_Raye_and_Canaries!#REF!,"AAAAABfXw0c=")</f>
        <v>#REF!</v>
      </c>
      <c r="BU25" s="1" t="e">
        <f>AND(G_Anse_La_Raye_and_Canaries!#REF!,"AAAAABfXw0g=")</f>
        <v>#REF!</v>
      </c>
      <c r="BV25" s="1" t="e">
        <f>AND(G_Anse_La_Raye_and_Canaries!#REF!,"AAAAABfXw0k=")</f>
        <v>#REF!</v>
      </c>
      <c r="BW25" s="1" t="e">
        <f>AND(G_Anse_La_Raye_and_Canaries!#REF!,"AAAAABfXw0o=")</f>
        <v>#REF!</v>
      </c>
      <c r="BX25" s="1" t="e">
        <f>AND(G_Anse_La_Raye_and_Canaries!#REF!,"AAAAABfXw0s=")</f>
        <v>#REF!</v>
      </c>
      <c r="BY25" s="1" t="e">
        <f>AND(G_Anse_La_Raye_and_Canaries!#REF!,"AAAAABfXw0w=")</f>
        <v>#REF!</v>
      </c>
      <c r="BZ25" s="1" t="b">
        <f>AND(G_Anse_La_Raye_and_Canaries!G9,"AAAAABfXw00=")</f>
        <v>1</v>
      </c>
      <c r="CA25" s="1" t="b">
        <f>AND(G_Anse_La_Raye_and_Canaries!H9,"AAAAABfXw04=")</f>
        <v>1</v>
      </c>
      <c r="CB25" s="1" t="b">
        <f>AND(G_Anse_La_Raye_and_Canaries!I9,"AAAAABfXw08=")</f>
        <v>1</v>
      </c>
      <c r="CC25" s="1" t="b">
        <f>AND(G_Anse_La_Raye_and_Canaries!J9,"AAAAABfXw1A=")</f>
        <v>1</v>
      </c>
      <c r="CD25" s="1" t="b">
        <f>AND(G_Anse_La_Raye_and_Canaries!K9,"AAAAABfXw1E=")</f>
        <v>1</v>
      </c>
      <c r="CE25" s="1" t="b">
        <f>AND(G_Anse_La_Raye_and_Canaries!L9,"AAAAABfXw1I=")</f>
        <v>1</v>
      </c>
      <c r="CF25" s="1">
        <f>IF(G_Anse_La_Raye_and_Canaries!10:10,"AAAAABfXw1M=",0)</f>
        <v>0</v>
      </c>
      <c r="CG25" s="1" t="e">
        <f>AND(G_Anse_La_Raye_and_Canaries!A10,"AAAAABfXw1Q=")</f>
        <v>#VALUE!</v>
      </c>
      <c r="CH25" s="1" t="b">
        <f>AND(G_Anse_La_Raye_and_Canaries!B10,"AAAAABfXw1U=")</f>
        <v>1</v>
      </c>
      <c r="CI25" s="1" t="b">
        <f>AND(G_Anse_La_Raye_and_Canaries!C10,"AAAAABfXw1Y=")</f>
        <v>1</v>
      </c>
      <c r="CJ25" s="1" t="b">
        <f>AND(G_Anse_La_Raye_and_Canaries!D10,"AAAAABfXw1c=")</f>
        <v>1</v>
      </c>
      <c r="CK25" s="1" t="b">
        <f>AND(G_Anse_La_Raye_and_Canaries!E10,"AAAAABfXw1g=")</f>
        <v>1</v>
      </c>
      <c r="CL25" s="1" t="b">
        <f>AND(G_Anse_La_Raye_and_Canaries!F10,"AAAAABfXw1k=")</f>
        <v>1</v>
      </c>
      <c r="CM25" s="1" t="e">
        <f>AND(G_Anse_La_Raye_and_Canaries!#REF!,"AAAAABfXw1o=")</f>
        <v>#REF!</v>
      </c>
      <c r="CN25" s="1" t="e">
        <f>AND(G_Anse_La_Raye_and_Canaries!#REF!,"AAAAABfXw1s=")</f>
        <v>#REF!</v>
      </c>
      <c r="CO25" s="1" t="e">
        <f>AND(G_Anse_La_Raye_and_Canaries!#REF!,"AAAAABfXw1w=")</f>
        <v>#REF!</v>
      </c>
      <c r="CP25" s="1" t="e">
        <f>AND(G_Anse_La_Raye_and_Canaries!#REF!,"AAAAABfXw10=")</f>
        <v>#REF!</v>
      </c>
      <c r="CQ25" s="1" t="e">
        <f>AND(G_Anse_La_Raye_and_Canaries!#REF!,"AAAAABfXw14=")</f>
        <v>#REF!</v>
      </c>
      <c r="CR25" s="1" t="e">
        <f>AND(G_Anse_La_Raye_and_Canaries!#REF!,"AAAAABfXw18=")</f>
        <v>#REF!</v>
      </c>
      <c r="CS25" s="1" t="b">
        <f>AND(G_Anse_La_Raye_and_Canaries!G10,"AAAAABfXw2A=")</f>
        <v>1</v>
      </c>
      <c r="CT25" s="1" t="b">
        <f>AND(G_Anse_La_Raye_and_Canaries!H10,"AAAAABfXw2E=")</f>
        <v>1</v>
      </c>
      <c r="CU25" s="1" t="b">
        <f>AND(G_Anse_La_Raye_and_Canaries!I10,"AAAAABfXw2I=")</f>
        <v>1</v>
      </c>
      <c r="CV25" s="1" t="b">
        <f>AND(G_Anse_La_Raye_and_Canaries!J10,"AAAAABfXw2M=")</f>
        <v>1</v>
      </c>
      <c r="CW25" s="1" t="b">
        <f>AND(G_Anse_La_Raye_and_Canaries!K10,"AAAAABfXw2Q=")</f>
        <v>1</v>
      </c>
      <c r="CX25" s="1" t="b">
        <f>AND(G_Anse_La_Raye_and_Canaries!L10,"AAAAABfXw2U=")</f>
        <v>1</v>
      </c>
      <c r="CY25" s="1">
        <f>IF(G_Anse_La_Raye_and_Canaries!11:11,"AAAAABfXw2Y=",0)</f>
        <v>0</v>
      </c>
      <c r="CZ25" s="1" t="e">
        <f>AND(G_Anse_La_Raye_and_Canaries!A11,"AAAAABfXw2c=")</f>
        <v>#VALUE!</v>
      </c>
      <c r="DA25" s="1" t="b">
        <f>AND(G_Anse_La_Raye_and_Canaries!B11,"AAAAABfXw2g=")</f>
        <v>1</v>
      </c>
      <c r="DB25" s="1" t="b">
        <f>AND(G_Anse_La_Raye_and_Canaries!C11,"AAAAABfXw2k=")</f>
        <v>1</v>
      </c>
      <c r="DC25" s="1" t="b">
        <f>AND(G_Anse_La_Raye_and_Canaries!D11,"AAAAABfXw2o=")</f>
        <v>1</v>
      </c>
      <c r="DD25" s="1" t="b">
        <f>AND(G_Anse_La_Raye_and_Canaries!E11,"AAAAABfXw2s=")</f>
        <v>1</v>
      </c>
      <c r="DE25" s="1" t="b">
        <f>AND(G_Anse_La_Raye_and_Canaries!F11,"AAAAABfXw2w=")</f>
        <v>1</v>
      </c>
      <c r="DF25" s="1" t="e">
        <f>AND(G_Anse_La_Raye_and_Canaries!#REF!,"AAAAABfXw20=")</f>
        <v>#REF!</v>
      </c>
      <c r="DG25" s="1" t="e">
        <f>AND(G_Anse_La_Raye_and_Canaries!#REF!,"AAAAABfXw24=")</f>
        <v>#REF!</v>
      </c>
      <c r="DH25" s="1" t="e">
        <f>AND(G_Anse_La_Raye_and_Canaries!#REF!,"AAAAABfXw28=")</f>
        <v>#REF!</v>
      </c>
      <c r="DI25" s="1" t="e">
        <f>AND(G_Anse_La_Raye_and_Canaries!#REF!,"AAAAABfXw3A=")</f>
        <v>#REF!</v>
      </c>
      <c r="DJ25" s="1" t="e">
        <f>AND(G_Anse_La_Raye_and_Canaries!#REF!,"AAAAABfXw3E=")</f>
        <v>#REF!</v>
      </c>
      <c r="DK25" s="1" t="e">
        <f>AND(G_Anse_La_Raye_and_Canaries!#REF!,"AAAAABfXw3I=")</f>
        <v>#REF!</v>
      </c>
      <c r="DL25" s="1" t="b">
        <f>AND(G_Anse_La_Raye_and_Canaries!G11,"AAAAABfXw3M=")</f>
        <v>1</v>
      </c>
      <c r="DM25" s="1" t="b">
        <f>AND(G_Anse_La_Raye_and_Canaries!H11,"AAAAABfXw3Q=")</f>
        <v>1</v>
      </c>
      <c r="DN25" s="1" t="b">
        <f>AND(G_Anse_La_Raye_and_Canaries!I11,"AAAAABfXw3U=")</f>
        <v>1</v>
      </c>
      <c r="DO25" s="1" t="b">
        <f>AND(G_Anse_La_Raye_and_Canaries!J11,"AAAAABfXw3Y=")</f>
        <v>1</v>
      </c>
      <c r="DP25" s="1" t="b">
        <f>AND(G_Anse_La_Raye_and_Canaries!K11,"AAAAABfXw3c=")</f>
        <v>1</v>
      </c>
      <c r="DQ25" s="1" t="b">
        <f>AND(G_Anse_La_Raye_and_Canaries!L11,"AAAAABfXw3g=")</f>
        <v>1</v>
      </c>
      <c r="DR25" s="1">
        <f>IF(G_Anse_La_Raye_and_Canaries!12:12,"AAAAABfXw3k=",0)</f>
        <v>0</v>
      </c>
      <c r="DS25" s="1" t="e">
        <f>AND(G_Anse_La_Raye_and_Canaries!A12,"AAAAABfXw3o=")</f>
        <v>#VALUE!</v>
      </c>
      <c r="DT25" s="1" t="b">
        <f>AND(G_Anse_La_Raye_and_Canaries!B12,"AAAAABfXw3s=")</f>
        <v>1</v>
      </c>
      <c r="DU25" s="1" t="b">
        <f>AND(G_Anse_La_Raye_and_Canaries!C12,"AAAAABfXw3w=")</f>
        <v>1</v>
      </c>
      <c r="DV25" s="1" t="b">
        <f>AND(G_Anse_La_Raye_and_Canaries!D12,"AAAAABfXw30=")</f>
        <v>1</v>
      </c>
      <c r="DW25" s="1" t="b">
        <f>AND(G_Anse_La_Raye_and_Canaries!E12,"AAAAABfXw34=")</f>
        <v>1</v>
      </c>
      <c r="DX25" s="1" t="b">
        <f>AND(G_Anse_La_Raye_and_Canaries!F12,"AAAAABfXw38=")</f>
        <v>1</v>
      </c>
      <c r="DY25" s="1" t="e">
        <f>AND(G_Anse_La_Raye_and_Canaries!#REF!,"AAAAABfXw4A=")</f>
        <v>#REF!</v>
      </c>
      <c r="DZ25" s="1" t="e">
        <f>AND(G_Anse_La_Raye_and_Canaries!#REF!,"AAAAABfXw4E=")</f>
        <v>#REF!</v>
      </c>
      <c r="EA25" s="1" t="e">
        <f>AND(G_Anse_La_Raye_and_Canaries!#REF!,"AAAAABfXw4I=")</f>
        <v>#REF!</v>
      </c>
      <c r="EB25" s="1" t="e">
        <f>AND(G_Anse_La_Raye_and_Canaries!#REF!,"AAAAABfXw4M=")</f>
        <v>#REF!</v>
      </c>
      <c r="EC25" s="1" t="e">
        <f>AND(G_Anse_La_Raye_and_Canaries!#REF!,"AAAAABfXw4Q=")</f>
        <v>#REF!</v>
      </c>
      <c r="ED25" s="1" t="e">
        <f>AND(G_Anse_La_Raye_and_Canaries!#REF!,"AAAAABfXw4U=")</f>
        <v>#REF!</v>
      </c>
      <c r="EE25" s="1" t="b">
        <f>AND(G_Anse_La_Raye_and_Canaries!G12,"AAAAABfXw4Y=")</f>
        <v>1</v>
      </c>
      <c r="EF25" s="1" t="b">
        <f>AND(G_Anse_La_Raye_and_Canaries!H12,"AAAAABfXw4c=")</f>
        <v>1</v>
      </c>
      <c r="EG25" s="1" t="b">
        <f>AND(G_Anse_La_Raye_and_Canaries!I12,"AAAAABfXw4g=")</f>
        <v>1</v>
      </c>
      <c r="EH25" s="1" t="b">
        <f>AND(G_Anse_La_Raye_and_Canaries!J12,"AAAAABfXw4k=")</f>
        <v>1</v>
      </c>
      <c r="EI25" s="1" t="b">
        <f>AND(G_Anse_La_Raye_and_Canaries!K12,"AAAAABfXw4o=")</f>
        <v>1</v>
      </c>
      <c r="EJ25" s="1" t="b">
        <f>AND(G_Anse_La_Raye_and_Canaries!L12,"AAAAABfXw4s=")</f>
        <v>1</v>
      </c>
      <c r="EK25" s="1">
        <f>IF(G_Anse_La_Raye_and_Canaries!14:14,"AAAAABfXw4w=",0)</f>
        <v>0</v>
      </c>
      <c r="EL25" s="1" t="e">
        <f>AND(G_Anse_La_Raye_and_Canaries!A14,"AAAAABfXw40=")</f>
        <v>#VALUE!</v>
      </c>
      <c r="EM25" s="1" t="e">
        <f>AND(G_Anse_La_Raye_and_Canaries!B14,"AAAAABfXw44=")</f>
        <v>#VALUE!</v>
      </c>
      <c r="EN25" s="1" t="e">
        <f>AND(G_Anse_La_Raye_and_Canaries!C14,"AAAAABfXw48=")</f>
        <v>#VALUE!</v>
      </c>
      <c r="EO25" s="1" t="e">
        <f>AND(G_Anse_La_Raye_and_Canaries!D14,"AAAAABfXw5A=")</f>
        <v>#VALUE!</v>
      </c>
      <c r="EP25" s="1" t="e">
        <f>AND(G_Anse_La_Raye_and_Canaries!E14,"AAAAABfXw5E=")</f>
        <v>#VALUE!</v>
      </c>
      <c r="EQ25" s="1" t="e">
        <f>AND(G_Anse_La_Raye_and_Canaries!F14,"AAAAABfXw5I=")</f>
        <v>#VALUE!</v>
      </c>
      <c r="ER25" s="1" t="e">
        <f>AND(G_Anse_La_Raye_and_Canaries!#REF!,"AAAAABfXw5M=")</f>
        <v>#REF!</v>
      </c>
      <c r="ES25" s="1" t="e">
        <f>AND(G_Anse_La_Raye_and_Canaries!#REF!,"AAAAABfXw5Q=")</f>
        <v>#REF!</v>
      </c>
      <c r="ET25" s="1" t="e">
        <f>AND(G_Anse_La_Raye_and_Canaries!#REF!,"AAAAABfXw5U=")</f>
        <v>#REF!</v>
      </c>
      <c r="EU25" s="1" t="e">
        <f>AND(G_Anse_La_Raye_and_Canaries!#REF!,"AAAAABfXw5Y=")</f>
        <v>#REF!</v>
      </c>
      <c r="EV25" s="1" t="e">
        <f>AND(G_Anse_La_Raye_and_Canaries!#REF!,"AAAAABfXw5c=")</f>
        <v>#REF!</v>
      </c>
      <c r="EW25" s="1" t="e">
        <f>AND(G_Anse_La_Raye_and_Canaries!#REF!,"AAAAABfXw5g=")</f>
        <v>#REF!</v>
      </c>
      <c r="EX25" s="1" t="e">
        <f>AND(G_Anse_La_Raye_and_Canaries!G14,"AAAAABfXw5k=")</f>
        <v>#VALUE!</v>
      </c>
      <c r="EY25" s="1" t="e">
        <f>AND(G_Anse_La_Raye_and_Canaries!H14,"AAAAABfXw5o=")</f>
        <v>#VALUE!</v>
      </c>
      <c r="EZ25" s="1" t="e">
        <f>AND(G_Anse_La_Raye_and_Canaries!I14,"AAAAABfXw5s=")</f>
        <v>#VALUE!</v>
      </c>
      <c r="FA25" s="1" t="e">
        <f>AND(G_Anse_La_Raye_and_Canaries!J14,"AAAAABfXw5w=")</f>
        <v>#VALUE!</v>
      </c>
      <c r="FB25" s="1" t="e">
        <f>AND(G_Anse_La_Raye_and_Canaries!K14,"AAAAABfXw50=")</f>
        <v>#VALUE!</v>
      </c>
      <c r="FC25" s="1" t="e">
        <f>AND(G_Anse_La_Raye_and_Canaries!L14,"AAAAABfXw54=")</f>
        <v>#VALUE!</v>
      </c>
      <c r="FD25" s="1">
        <f>IF(G_Anse_La_Raye_and_Canaries!15:15,"AAAAABfXw58=",0)</f>
        <v>0</v>
      </c>
      <c r="FE25" s="1" t="e">
        <f>AND(G_Anse_La_Raye_and_Canaries!A15,"AAAAABfXw6A=")</f>
        <v>#VALUE!</v>
      </c>
      <c r="FF25" s="1" t="b">
        <f>AND(G_Anse_La_Raye_and_Canaries!B15,"AAAAABfXw6E=")</f>
        <v>1</v>
      </c>
      <c r="FG25" s="1" t="b">
        <f>AND(G_Anse_La_Raye_and_Canaries!C15,"AAAAABfXw6I=")</f>
        <v>1</v>
      </c>
      <c r="FH25" s="1" t="b">
        <f>AND(G_Anse_La_Raye_and_Canaries!D15,"AAAAABfXw6M=")</f>
        <v>1</v>
      </c>
      <c r="FI25" s="1" t="b">
        <f>AND(G_Anse_La_Raye_and_Canaries!E15,"AAAAABfXw6Q=")</f>
        <v>1</v>
      </c>
      <c r="FJ25" s="1" t="b">
        <f>AND(G_Anse_La_Raye_and_Canaries!F15,"AAAAABfXw6U=")</f>
        <v>1</v>
      </c>
      <c r="FK25" s="1" t="e">
        <f>AND(G_Anse_La_Raye_and_Canaries!#REF!,"AAAAABfXw6Y=")</f>
        <v>#REF!</v>
      </c>
      <c r="FL25" s="1" t="e">
        <f>AND(G_Anse_La_Raye_and_Canaries!#REF!,"AAAAABfXw6c=")</f>
        <v>#REF!</v>
      </c>
      <c r="FM25" s="1" t="e">
        <f>AND(G_Anse_La_Raye_and_Canaries!#REF!,"AAAAABfXw6g=")</f>
        <v>#REF!</v>
      </c>
      <c r="FN25" s="1" t="e">
        <f>AND(G_Anse_La_Raye_and_Canaries!#REF!,"AAAAABfXw6k=")</f>
        <v>#REF!</v>
      </c>
      <c r="FO25" s="1" t="e">
        <f>AND(G_Anse_La_Raye_and_Canaries!#REF!,"AAAAABfXw6o=")</f>
        <v>#REF!</v>
      </c>
      <c r="FP25" s="1" t="e">
        <f>AND(G_Anse_La_Raye_and_Canaries!#REF!,"AAAAABfXw6s=")</f>
        <v>#REF!</v>
      </c>
      <c r="FQ25" s="1" t="b">
        <f>AND(G_Anse_La_Raye_and_Canaries!G15,"AAAAABfXw6w=")</f>
        <v>1</v>
      </c>
      <c r="FR25" s="1" t="b">
        <f>AND(G_Anse_La_Raye_and_Canaries!H15,"AAAAABfXw60=")</f>
        <v>1</v>
      </c>
      <c r="FS25" s="1" t="b">
        <f>AND(G_Anse_La_Raye_and_Canaries!I15,"AAAAABfXw64=")</f>
        <v>1</v>
      </c>
      <c r="FT25" s="1" t="b">
        <f>AND(G_Anse_La_Raye_and_Canaries!J15,"AAAAABfXw68=")</f>
        <v>1</v>
      </c>
      <c r="FU25" s="1" t="b">
        <f>AND(G_Anse_La_Raye_and_Canaries!K15,"AAAAABfXw7A=")</f>
        <v>1</v>
      </c>
      <c r="FV25" s="1" t="b">
        <f>AND(G_Anse_La_Raye_and_Canaries!L15,"AAAAABfXw7E=")</f>
        <v>1</v>
      </c>
      <c r="FW25" s="1">
        <f>IF(G_Anse_La_Raye_and_Canaries!16:16,"AAAAABfXw7I=",0)</f>
        <v>0</v>
      </c>
      <c r="FX25" s="1" t="e">
        <f>AND(G_Anse_La_Raye_and_Canaries!A16,"AAAAABfXw7M=")</f>
        <v>#VALUE!</v>
      </c>
      <c r="FY25" s="1" t="b">
        <f>AND(G_Anse_La_Raye_and_Canaries!B16,"AAAAABfXw7Q=")</f>
        <v>1</v>
      </c>
      <c r="FZ25" s="1" t="b">
        <f>AND(G_Anse_La_Raye_and_Canaries!C16,"AAAAABfXw7U=")</f>
        <v>1</v>
      </c>
      <c r="GA25" s="1" t="b">
        <f>AND(G_Anse_La_Raye_and_Canaries!D16,"AAAAABfXw7Y=")</f>
        <v>1</v>
      </c>
      <c r="GB25" s="1" t="b">
        <f>AND(G_Anse_La_Raye_and_Canaries!E16,"AAAAABfXw7c=")</f>
        <v>1</v>
      </c>
      <c r="GC25" s="1" t="b">
        <f>AND(G_Anse_La_Raye_and_Canaries!F16,"AAAAABfXw7g=")</f>
        <v>1</v>
      </c>
      <c r="GD25" s="1" t="e">
        <f>AND(G_Anse_La_Raye_and_Canaries!#REF!,"AAAAABfXw7k=")</f>
        <v>#REF!</v>
      </c>
      <c r="GE25" s="1" t="e">
        <f>AND(G_Anse_La_Raye_and_Canaries!#REF!,"AAAAABfXw7o=")</f>
        <v>#REF!</v>
      </c>
      <c r="GF25" s="1" t="e">
        <f>AND(G_Anse_La_Raye_and_Canaries!#REF!,"AAAAABfXw7s=")</f>
        <v>#REF!</v>
      </c>
      <c r="GG25" s="1" t="e">
        <f>AND(G_Anse_La_Raye_and_Canaries!#REF!,"AAAAABfXw7w=")</f>
        <v>#REF!</v>
      </c>
      <c r="GH25" s="1" t="e">
        <f>AND(G_Anse_La_Raye_and_Canaries!#REF!,"AAAAABfXw70=")</f>
        <v>#REF!</v>
      </c>
      <c r="GI25" s="1" t="e">
        <f>AND(G_Anse_La_Raye_and_Canaries!#REF!,"AAAAABfXw74=")</f>
        <v>#REF!</v>
      </c>
      <c r="GJ25" s="1" t="b">
        <f>AND(G_Anse_La_Raye_and_Canaries!G16,"AAAAABfXw78=")</f>
        <v>1</v>
      </c>
      <c r="GK25" s="1" t="b">
        <f>AND(G_Anse_La_Raye_and_Canaries!H16,"AAAAABfXw8A=")</f>
        <v>1</v>
      </c>
      <c r="GL25" s="1" t="b">
        <f>AND(G_Anse_La_Raye_and_Canaries!I16,"AAAAABfXw8E=")</f>
        <v>1</v>
      </c>
      <c r="GM25" s="1" t="b">
        <f>AND(G_Anse_La_Raye_and_Canaries!J16,"AAAAABfXw8I=")</f>
        <v>1</v>
      </c>
      <c r="GN25" s="1" t="b">
        <f>AND(G_Anse_La_Raye_and_Canaries!K16,"AAAAABfXw8M=")</f>
        <v>1</v>
      </c>
      <c r="GO25" s="1" t="b">
        <f>AND(G_Anse_La_Raye_and_Canaries!L16,"AAAAABfXw8Q=")</f>
        <v>1</v>
      </c>
      <c r="GP25" s="1">
        <f>IF(G_Anse_La_Raye_and_Canaries!17:17,"AAAAABfXw8U=",0)</f>
        <v>0</v>
      </c>
      <c r="GQ25" s="1" t="e">
        <f>AND(G_Anse_La_Raye_and_Canaries!A17,"AAAAABfXw8Y=")</f>
        <v>#VALUE!</v>
      </c>
      <c r="GR25" s="1" t="b">
        <f>AND(G_Anse_La_Raye_and_Canaries!B17,"AAAAABfXw8c=")</f>
        <v>1</v>
      </c>
      <c r="GS25" s="1" t="b">
        <f>AND(G_Anse_La_Raye_and_Canaries!C17,"AAAAABfXw8g=")</f>
        <v>1</v>
      </c>
      <c r="GT25" s="1" t="b">
        <f>AND(G_Anse_La_Raye_and_Canaries!D17,"AAAAABfXw8k=")</f>
        <v>1</v>
      </c>
      <c r="GU25" s="1" t="b">
        <f>AND(G_Anse_La_Raye_and_Canaries!E17,"AAAAABfXw8o=")</f>
        <v>1</v>
      </c>
      <c r="GV25" s="1" t="b">
        <f>AND(G_Anse_La_Raye_and_Canaries!F17,"AAAAABfXw8s=")</f>
        <v>1</v>
      </c>
      <c r="GW25" s="1" t="e">
        <f>AND(G_Anse_La_Raye_and_Canaries!#REF!,"AAAAABfXw8w=")</f>
        <v>#REF!</v>
      </c>
      <c r="GX25" s="1" t="e">
        <f>AND(G_Anse_La_Raye_and_Canaries!#REF!,"AAAAABfXw80=")</f>
        <v>#REF!</v>
      </c>
      <c r="GY25" s="1" t="e">
        <f>AND(G_Anse_La_Raye_and_Canaries!#REF!,"AAAAABfXw84=")</f>
        <v>#REF!</v>
      </c>
      <c r="GZ25" s="1" t="e">
        <f>AND(G_Anse_La_Raye_and_Canaries!#REF!,"AAAAABfXw88=")</f>
        <v>#REF!</v>
      </c>
      <c r="HA25" s="1" t="e">
        <f>AND(G_Anse_La_Raye_and_Canaries!#REF!,"AAAAABfXw9A=")</f>
        <v>#REF!</v>
      </c>
      <c r="HB25" s="1" t="e">
        <f>AND(G_Anse_La_Raye_and_Canaries!#REF!,"AAAAABfXw9E=")</f>
        <v>#REF!</v>
      </c>
      <c r="HC25" s="1" t="b">
        <f>AND(G_Anse_La_Raye_and_Canaries!G17,"AAAAABfXw9I=")</f>
        <v>1</v>
      </c>
      <c r="HD25" s="1" t="b">
        <f>AND(G_Anse_La_Raye_and_Canaries!H17,"AAAAABfXw9M=")</f>
        <v>1</v>
      </c>
      <c r="HE25" s="1" t="b">
        <f>AND(G_Anse_La_Raye_and_Canaries!I17,"AAAAABfXw9Q=")</f>
        <v>1</v>
      </c>
      <c r="HF25" s="1" t="b">
        <f>AND(G_Anse_La_Raye_and_Canaries!J17,"AAAAABfXw9U=")</f>
        <v>1</v>
      </c>
      <c r="HG25" s="1" t="b">
        <f>AND(G_Anse_La_Raye_and_Canaries!K17,"AAAAABfXw9Y=")</f>
        <v>1</v>
      </c>
      <c r="HH25" s="1" t="b">
        <f>AND(G_Anse_La_Raye_and_Canaries!L17,"AAAAABfXw9c=")</f>
        <v>1</v>
      </c>
      <c r="HI25" s="1" t="e">
        <f>IF(G_Anse_La_Raye_and_Canaries!#REF!,"AAAAABfXw9g=",0)</f>
        <v>#REF!</v>
      </c>
      <c r="HJ25" s="1" t="e">
        <f>AND(G_Anse_La_Raye_and_Canaries!#REF!,"AAAAABfXw9k=")</f>
        <v>#REF!</v>
      </c>
      <c r="HK25" s="1" t="e">
        <f>AND(G_Anse_La_Raye_and_Canaries!#REF!,"AAAAABfXw9o=")</f>
        <v>#REF!</v>
      </c>
      <c r="HL25" s="1" t="e">
        <f>AND(G_Anse_La_Raye_and_Canaries!#REF!,"AAAAABfXw9s=")</f>
        <v>#REF!</v>
      </c>
      <c r="HM25" s="1" t="e">
        <f>AND(G_Anse_La_Raye_and_Canaries!#REF!,"AAAAABfXw9w=")</f>
        <v>#REF!</v>
      </c>
      <c r="HN25" s="1" t="e">
        <f>AND(G_Anse_La_Raye_and_Canaries!#REF!,"AAAAABfXw90=")</f>
        <v>#REF!</v>
      </c>
      <c r="HO25" s="1" t="e">
        <f>AND(G_Anse_La_Raye_and_Canaries!#REF!,"AAAAABfXw94=")</f>
        <v>#REF!</v>
      </c>
      <c r="HP25" s="1" t="e">
        <f>AND(G_Anse_La_Raye_and_Canaries!#REF!,"AAAAABfXw98=")</f>
        <v>#REF!</v>
      </c>
      <c r="HQ25" s="1" t="e">
        <f>AND(G_Anse_La_Raye_and_Canaries!#REF!,"AAAAABfXw+A=")</f>
        <v>#REF!</v>
      </c>
      <c r="HR25" s="1" t="e">
        <f>AND(G_Anse_La_Raye_and_Canaries!#REF!,"AAAAABfXw+E=")</f>
        <v>#REF!</v>
      </c>
      <c r="HS25" s="1" t="e">
        <f>AND(G_Anse_La_Raye_and_Canaries!#REF!,"AAAAABfXw+I=")</f>
        <v>#REF!</v>
      </c>
      <c r="HT25" s="1" t="e">
        <f>AND(G_Anse_La_Raye_and_Canaries!#REF!,"AAAAABfXw+M=")</f>
        <v>#REF!</v>
      </c>
      <c r="HU25" s="1" t="e">
        <f>AND(G_Anse_La_Raye_and_Canaries!#REF!,"AAAAABfXw+Q=")</f>
        <v>#REF!</v>
      </c>
      <c r="HV25" s="1" t="e">
        <f>AND(G_Anse_La_Raye_and_Canaries!#REF!,"AAAAABfXw+U=")</f>
        <v>#REF!</v>
      </c>
      <c r="HW25" s="1" t="e">
        <f>AND(G_Anse_La_Raye_and_Canaries!#REF!,"AAAAABfXw+Y=")</f>
        <v>#REF!</v>
      </c>
      <c r="HX25" s="1" t="e">
        <f>AND(G_Anse_La_Raye_and_Canaries!#REF!,"AAAAABfXw+c=")</f>
        <v>#REF!</v>
      </c>
      <c r="HY25" s="1" t="e">
        <f>AND(G_Anse_La_Raye_and_Canaries!#REF!,"AAAAABfXw+g=")</f>
        <v>#REF!</v>
      </c>
      <c r="HZ25" s="1" t="e">
        <f>AND(G_Anse_La_Raye_and_Canaries!#REF!,"AAAAABfXw+k=")</f>
        <v>#REF!</v>
      </c>
      <c r="IA25" s="1" t="e">
        <f>AND(G_Anse_La_Raye_and_Canaries!#REF!,"AAAAABfXw+o=")</f>
        <v>#REF!</v>
      </c>
      <c r="IB25" s="1" t="e">
        <f>IF(G_Anse_La_Raye_and_Canaries!#REF!,"AAAAABfXw+s=",0)</f>
        <v>#REF!</v>
      </c>
      <c r="IC25" s="1" t="e">
        <f>AND(G_Anse_La_Raye_and_Canaries!#REF!,"AAAAABfXw+w=")</f>
        <v>#REF!</v>
      </c>
      <c r="ID25" s="1" t="e">
        <f>AND(G_Anse_La_Raye_and_Canaries!#REF!,"AAAAABfXw+0=")</f>
        <v>#REF!</v>
      </c>
      <c r="IE25" s="1" t="e">
        <f>AND(G_Anse_La_Raye_and_Canaries!#REF!,"AAAAABfXw+4=")</f>
        <v>#REF!</v>
      </c>
      <c r="IF25" s="1" t="e">
        <f>AND(G_Anse_La_Raye_and_Canaries!#REF!,"AAAAABfXw+8=")</f>
        <v>#REF!</v>
      </c>
      <c r="IG25" s="1" t="e">
        <f>AND(G_Anse_La_Raye_and_Canaries!#REF!,"AAAAABfXw/A=")</f>
        <v>#REF!</v>
      </c>
      <c r="IH25" s="1" t="e">
        <f>AND(G_Anse_La_Raye_and_Canaries!#REF!,"AAAAABfXw/E=")</f>
        <v>#REF!</v>
      </c>
      <c r="II25" s="1" t="e">
        <f>AND(G_Anse_La_Raye_and_Canaries!#REF!,"AAAAABfXw/I=")</f>
        <v>#REF!</v>
      </c>
      <c r="IJ25" s="1" t="e">
        <f>AND(G_Anse_La_Raye_and_Canaries!#REF!,"AAAAABfXw/M=")</f>
        <v>#REF!</v>
      </c>
      <c r="IK25" s="1" t="e">
        <f>AND(G_Anse_La_Raye_and_Canaries!#REF!,"AAAAABfXw/Q=")</f>
        <v>#REF!</v>
      </c>
      <c r="IL25" s="1" t="e">
        <f>AND(G_Anse_La_Raye_and_Canaries!#REF!,"AAAAABfXw/U=")</f>
        <v>#REF!</v>
      </c>
      <c r="IM25" s="1" t="e">
        <f>AND(G_Anse_La_Raye_and_Canaries!#REF!,"AAAAABfXw/Y=")</f>
        <v>#REF!</v>
      </c>
      <c r="IN25" s="1" t="e">
        <f>AND(G_Anse_La_Raye_and_Canaries!#REF!,"AAAAABfXw/c=")</f>
        <v>#REF!</v>
      </c>
      <c r="IO25" s="1" t="e">
        <f>AND(G_Anse_La_Raye_and_Canaries!#REF!,"AAAAABfXw/g=")</f>
        <v>#REF!</v>
      </c>
      <c r="IP25" s="1" t="e">
        <f>AND(G_Anse_La_Raye_and_Canaries!#REF!,"AAAAABfXw/k=")</f>
        <v>#REF!</v>
      </c>
      <c r="IQ25" s="1" t="e">
        <f>AND(G_Anse_La_Raye_and_Canaries!#REF!,"AAAAABfXw/o=")</f>
        <v>#REF!</v>
      </c>
      <c r="IR25" s="1" t="e">
        <f>AND(G_Anse_La_Raye_and_Canaries!#REF!,"AAAAABfXw/s=")</f>
        <v>#REF!</v>
      </c>
      <c r="IS25" s="1" t="e">
        <f>AND(G_Anse_La_Raye_and_Canaries!#REF!,"AAAAABfXw/w=")</f>
        <v>#REF!</v>
      </c>
      <c r="IT25" s="1" t="e">
        <f>AND(G_Anse_La_Raye_and_Canaries!#REF!,"AAAAABfXw/0=")</f>
        <v>#REF!</v>
      </c>
      <c r="IU25" s="1">
        <f>IF(G_Anse_La_Raye_and_Canaries!18:18,"AAAAABfXw/4=",0)</f>
        <v>0</v>
      </c>
      <c r="IV25" s="1" t="e">
        <f>AND(G_Anse_La_Raye_and_Canaries!A18,"AAAAABfXw/8=")</f>
        <v>#VALUE!</v>
      </c>
    </row>
    <row r="26" spans="1:256" ht="12" customHeight="1" x14ac:dyDescent="0.2">
      <c r="A26" s="1" t="b">
        <f>AND(G_Anse_La_Raye_and_Canaries!B18,"AAAAAHn5/wA=")</f>
        <v>1</v>
      </c>
      <c r="B26" s="1" t="b">
        <f>AND(G_Anse_La_Raye_and_Canaries!C18,"AAAAAHn5/wE=")</f>
        <v>1</v>
      </c>
      <c r="C26" s="1" t="b">
        <f>AND(G_Anse_La_Raye_and_Canaries!D18,"AAAAAHn5/wI=")</f>
        <v>1</v>
      </c>
      <c r="D26" s="1" t="b">
        <f>AND(G_Anse_La_Raye_and_Canaries!E18,"AAAAAHn5/wM=")</f>
        <v>1</v>
      </c>
      <c r="E26" s="1" t="b">
        <f>AND(G_Anse_La_Raye_and_Canaries!F18,"AAAAAHn5/wQ=")</f>
        <v>1</v>
      </c>
      <c r="F26" s="1" t="e">
        <f>AND(G_Anse_La_Raye_and_Canaries!#REF!,"AAAAAHn5/wU=")</f>
        <v>#REF!</v>
      </c>
      <c r="G26" s="1" t="e">
        <f>AND(G_Anse_La_Raye_and_Canaries!#REF!,"AAAAAHn5/wY=")</f>
        <v>#REF!</v>
      </c>
      <c r="H26" s="1" t="e">
        <f>AND(G_Anse_La_Raye_and_Canaries!#REF!,"AAAAAHn5/wc=")</f>
        <v>#REF!</v>
      </c>
      <c r="I26" s="1" t="e">
        <f>AND(G_Anse_La_Raye_and_Canaries!#REF!,"AAAAAHn5/wg=")</f>
        <v>#REF!</v>
      </c>
      <c r="J26" s="1" t="e">
        <f>AND(G_Anse_La_Raye_and_Canaries!#REF!,"AAAAAHn5/wk=")</f>
        <v>#REF!</v>
      </c>
      <c r="K26" s="1" t="e">
        <f>AND(G_Anse_La_Raye_and_Canaries!#REF!,"AAAAAHn5/wo=")</f>
        <v>#REF!</v>
      </c>
      <c r="L26" s="1" t="b">
        <f>AND(G_Anse_La_Raye_and_Canaries!G18,"AAAAAHn5/ws=")</f>
        <v>1</v>
      </c>
      <c r="M26" s="1" t="b">
        <f>AND(G_Anse_La_Raye_and_Canaries!H18,"AAAAAHn5/ww=")</f>
        <v>1</v>
      </c>
      <c r="N26" s="1" t="b">
        <f>AND(G_Anse_La_Raye_and_Canaries!I18,"AAAAAHn5/w0=")</f>
        <v>1</v>
      </c>
      <c r="O26" s="1" t="b">
        <f>AND(G_Anse_La_Raye_and_Canaries!J18,"AAAAAHn5/w4=")</f>
        <v>1</v>
      </c>
      <c r="P26" s="1" t="b">
        <f>AND(G_Anse_La_Raye_and_Canaries!K18,"AAAAAHn5/w8=")</f>
        <v>1</v>
      </c>
      <c r="Q26" s="1" t="b">
        <f>AND(G_Anse_La_Raye_and_Canaries!L18,"AAAAAHn5/xA=")</f>
        <v>1</v>
      </c>
      <c r="R26" s="1">
        <f>IF(G_Anse_La_Raye_and_Canaries!20:20,"AAAAAHn5/xE=",0)</f>
        <v>0</v>
      </c>
      <c r="S26" s="1" t="e">
        <f>AND(G_Anse_La_Raye_and_Canaries!A20,"AAAAAHn5/xI=")</f>
        <v>#VALUE!</v>
      </c>
      <c r="T26" s="1" t="e">
        <f>AND(G_Anse_La_Raye_and_Canaries!B20,"AAAAAHn5/xM=")</f>
        <v>#VALUE!</v>
      </c>
      <c r="U26" s="1" t="e">
        <f>AND(G_Anse_La_Raye_and_Canaries!C20,"AAAAAHn5/xQ=")</f>
        <v>#VALUE!</v>
      </c>
      <c r="V26" s="1" t="e">
        <f>AND(G_Anse_La_Raye_and_Canaries!D20,"AAAAAHn5/xU=")</f>
        <v>#VALUE!</v>
      </c>
      <c r="W26" s="1" t="e">
        <f>AND(G_Anse_La_Raye_and_Canaries!E20,"AAAAAHn5/xY=")</f>
        <v>#VALUE!</v>
      </c>
      <c r="X26" s="1" t="e">
        <f>AND(G_Anse_La_Raye_and_Canaries!F20,"AAAAAHn5/xc=")</f>
        <v>#VALUE!</v>
      </c>
      <c r="Y26" s="1" t="e">
        <f>AND(G_Anse_La_Raye_and_Canaries!#REF!,"AAAAAHn5/xg=")</f>
        <v>#REF!</v>
      </c>
      <c r="Z26" s="1" t="e">
        <f>AND(G_Anse_La_Raye_and_Canaries!#REF!,"AAAAAHn5/xk=")</f>
        <v>#REF!</v>
      </c>
      <c r="AA26" s="1" t="e">
        <f>AND(G_Anse_La_Raye_and_Canaries!#REF!,"AAAAAHn5/xo=")</f>
        <v>#REF!</v>
      </c>
      <c r="AB26" s="1" t="e">
        <f>AND(G_Anse_La_Raye_and_Canaries!#REF!,"AAAAAHn5/xs=")</f>
        <v>#REF!</v>
      </c>
      <c r="AC26" s="1" t="e">
        <f>AND(G_Anse_La_Raye_and_Canaries!#REF!,"AAAAAHn5/xw=")</f>
        <v>#REF!</v>
      </c>
      <c r="AD26" s="1" t="e">
        <f>AND(G_Anse_La_Raye_and_Canaries!#REF!,"AAAAAHn5/x0=")</f>
        <v>#REF!</v>
      </c>
      <c r="AE26" s="1" t="e">
        <f>AND(G_Anse_La_Raye_and_Canaries!G20,"AAAAAHn5/x4=")</f>
        <v>#VALUE!</v>
      </c>
      <c r="AF26" s="1" t="e">
        <f>AND(G_Anse_La_Raye_and_Canaries!H20,"AAAAAHn5/x8=")</f>
        <v>#VALUE!</v>
      </c>
      <c r="AG26" s="1" t="e">
        <f>AND(G_Anse_La_Raye_and_Canaries!I20,"AAAAAHn5/yA=")</f>
        <v>#VALUE!</v>
      </c>
      <c r="AH26" s="1" t="e">
        <f>AND(G_Anse_La_Raye_and_Canaries!J20,"AAAAAHn5/yE=")</f>
        <v>#VALUE!</v>
      </c>
      <c r="AI26" s="1" t="e">
        <f>AND(G_Anse_La_Raye_and_Canaries!K20,"AAAAAHn5/yI=")</f>
        <v>#VALUE!</v>
      </c>
      <c r="AJ26" s="1" t="e">
        <f>AND(G_Anse_La_Raye_and_Canaries!L20,"AAAAAHn5/yM=")</f>
        <v>#VALUE!</v>
      </c>
      <c r="AK26" s="1">
        <f>IF(G_Anse_La_Raye_and_Canaries!21:21,"AAAAAHn5/yQ=",0)</f>
        <v>0</v>
      </c>
      <c r="AL26" s="1" t="e">
        <f>AND(G_Anse_La_Raye_and_Canaries!A21,"AAAAAHn5/yU=")</f>
        <v>#VALUE!</v>
      </c>
      <c r="AM26" s="1" t="b">
        <f>AND(G_Anse_La_Raye_and_Canaries!B21,"AAAAAHn5/yY=")</f>
        <v>1</v>
      </c>
      <c r="AN26" s="1" t="b">
        <f>AND(G_Anse_La_Raye_and_Canaries!C21,"AAAAAHn5/yc=")</f>
        <v>1</v>
      </c>
      <c r="AO26" s="1" t="b">
        <f>AND(G_Anse_La_Raye_and_Canaries!D21,"AAAAAHn5/yg=")</f>
        <v>1</v>
      </c>
      <c r="AP26" s="1" t="b">
        <f>AND(G_Anse_La_Raye_and_Canaries!E21,"AAAAAHn5/yk=")</f>
        <v>1</v>
      </c>
      <c r="AQ26" s="1" t="b">
        <f>AND(G_Anse_La_Raye_and_Canaries!F21,"AAAAAHn5/yo=")</f>
        <v>1</v>
      </c>
      <c r="AR26" s="1" t="e">
        <f>AND(G_Anse_La_Raye_and_Canaries!#REF!,"AAAAAHn5/ys=")</f>
        <v>#REF!</v>
      </c>
      <c r="AS26" s="1" t="e">
        <f>AND(G_Anse_La_Raye_and_Canaries!#REF!,"AAAAAHn5/yw=")</f>
        <v>#REF!</v>
      </c>
      <c r="AT26" s="1" t="e">
        <f>AND(G_Anse_La_Raye_and_Canaries!#REF!,"AAAAAHn5/y0=")</f>
        <v>#REF!</v>
      </c>
      <c r="AU26" s="1" t="e">
        <f>AND(G_Anse_La_Raye_and_Canaries!#REF!,"AAAAAHn5/y4=")</f>
        <v>#REF!</v>
      </c>
      <c r="AV26" s="1" t="e">
        <f>AND(G_Anse_La_Raye_and_Canaries!#REF!,"AAAAAHn5/y8=")</f>
        <v>#REF!</v>
      </c>
      <c r="AW26" s="1" t="e">
        <f>AND(G_Anse_La_Raye_and_Canaries!#REF!,"AAAAAHn5/zA=")</f>
        <v>#REF!</v>
      </c>
      <c r="AX26" s="1" t="b">
        <f>AND(G_Anse_La_Raye_and_Canaries!G21,"AAAAAHn5/zE=")</f>
        <v>1</v>
      </c>
      <c r="AY26" s="1" t="b">
        <f>AND(G_Anse_La_Raye_and_Canaries!H21,"AAAAAHn5/zI=")</f>
        <v>1</v>
      </c>
      <c r="AZ26" s="1" t="b">
        <f>AND(G_Anse_La_Raye_and_Canaries!I21,"AAAAAHn5/zM=")</f>
        <v>1</v>
      </c>
      <c r="BA26" s="1" t="b">
        <f>AND(G_Anse_La_Raye_and_Canaries!J21,"AAAAAHn5/zQ=")</f>
        <v>1</v>
      </c>
      <c r="BB26" s="1" t="b">
        <f>AND(G_Anse_La_Raye_and_Canaries!K21,"AAAAAHn5/zU=")</f>
        <v>1</v>
      </c>
      <c r="BC26" s="1" t="b">
        <f>AND(G_Anse_La_Raye_and_Canaries!L21,"AAAAAHn5/zY=")</f>
        <v>1</v>
      </c>
      <c r="BD26" s="1">
        <f>IF(G_Anse_La_Raye_and_Canaries!22:22,"AAAAAHn5/zc=",0)</f>
        <v>0</v>
      </c>
      <c r="BE26" s="1" t="e">
        <f>AND(G_Anse_La_Raye_and_Canaries!A22,"AAAAAHn5/zg=")</f>
        <v>#VALUE!</v>
      </c>
      <c r="BF26" s="1" t="b">
        <f>AND(G_Anse_La_Raye_and_Canaries!B22,"AAAAAHn5/zk=")</f>
        <v>1</v>
      </c>
      <c r="BG26" s="1" t="b">
        <f>AND(G_Anse_La_Raye_and_Canaries!C22,"AAAAAHn5/zo=")</f>
        <v>1</v>
      </c>
      <c r="BH26" s="1" t="b">
        <f>AND(G_Anse_La_Raye_and_Canaries!D22,"AAAAAHn5/zs=")</f>
        <v>1</v>
      </c>
      <c r="BI26" s="1" t="b">
        <f>AND(G_Anse_La_Raye_and_Canaries!E22,"AAAAAHn5/zw=")</f>
        <v>1</v>
      </c>
      <c r="BJ26" s="1" t="b">
        <f>AND(G_Anse_La_Raye_and_Canaries!F22,"AAAAAHn5/z0=")</f>
        <v>1</v>
      </c>
      <c r="BK26" s="1" t="e">
        <f>AND(G_Anse_La_Raye_and_Canaries!#REF!,"AAAAAHn5/z4=")</f>
        <v>#REF!</v>
      </c>
      <c r="BL26" s="1" t="e">
        <f>AND(G_Anse_La_Raye_and_Canaries!#REF!,"AAAAAHn5/z8=")</f>
        <v>#REF!</v>
      </c>
      <c r="BM26" s="1" t="e">
        <f>AND(G_Anse_La_Raye_and_Canaries!#REF!,"AAAAAHn5/0A=")</f>
        <v>#REF!</v>
      </c>
      <c r="BN26" s="1" t="e">
        <f>AND(G_Anse_La_Raye_and_Canaries!#REF!,"AAAAAHn5/0E=")</f>
        <v>#REF!</v>
      </c>
      <c r="BO26" s="1" t="e">
        <f>AND(G_Anse_La_Raye_and_Canaries!#REF!,"AAAAAHn5/0I=")</f>
        <v>#REF!</v>
      </c>
      <c r="BP26" s="1" t="e">
        <f>AND(G_Anse_La_Raye_and_Canaries!#REF!,"AAAAAHn5/0M=")</f>
        <v>#REF!</v>
      </c>
      <c r="BQ26" s="1" t="b">
        <f>AND(G_Anse_La_Raye_and_Canaries!G22,"AAAAAHn5/0Q=")</f>
        <v>1</v>
      </c>
      <c r="BR26" s="1" t="b">
        <f>AND(G_Anse_La_Raye_and_Canaries!H22,"AAAAAHn5/0U=")</f>
        <v>1</v>
      </c>
      <c r="BS26" s="1" t="b">
        <f>AND(G_Anse_La_Raye_and_Canaries!I22,"AAAAAHn5/0Y=")</f>
        <v>1</v>
      </c>
      <c r="BT26" s="1" t="b">
        <f>AND(G_Anse_La_Raye_and_Canaries!J22,"AAAAAHn5/0c=")</f>
        <v>1</v>
      </c>
      <c r="BU26" s="1" t="b">
        <f>AND(G_Anse_La_Raye_and_Canaries!K22,"AAAAAHn5/0g=")</f>
        <v>1</v>
      </c>
      <c r="BV26" s="1" t="b">
        <f>AND(G_Anse_La_Raye_and_Canaries!L22,"AAAAAHn5/0k=")</f>
        <v>1</v>
      </c>
      <c r="BW26" s="1">
        <f>IF(G_Anse_La_Raye_and_Canaries!23:23,"AAAAAHn5/0o=",0)</f>
        <v>0</v>
      </c>
      <c r="BX26" s="1" t="e">
        <f>AND(G_Anse_La_Raye_and_Canaries!A23,"AAAAAHn5/0s=")</f>
        <v>#VALUE!</v>
      </c>
      <c r="BY26" s="1" t="b">
        <f>AND(G_Anse_La_Raye_and_Canaries!B23,"AAAAAHn5/0w=")</f>
        <v>1</v>
      </c>
      <c r="BZ26" s="1" t="b">
        <f>AND(G_Anse_La_Raye_and_Canaries!C23,"AAAAAHn5/00=")</f>
        <v>1</v>
      </c>
      <c r="CA26" s="1" t="b">
        <f>AND(G_Anse_La_Raye_and_Canaries!D23,"AAAAAHn5/04=")</f>
        <v>1</v>
      </c>
      <c r="CB26" s="1" t="b">
        <f>AND(G_Anse_La_Raye_and_Canaries!E23,"AAAAAHn5/08=")</f>
        <v>1</v>
      </c>
      <c r="CC26" s="1" t="b">
        <f>AND(G_Anse_La_Raye_and_Canaries!F23,"AAAAAHn5/1A=")</f>
        <v>1</v>
      </c>
      <c r="CD26" s="1" t="e">
        <f>AND(G_Anse_La_Raye_and_Canaries!#REF!,"AAAAAHn5/1E=")</f>
        <v>#REF!</v>
      </c>
      <c r="CE26" s="1" t="e">
        <f>AND(G_Anse_La_Raye_and_Canaries!#REF!,"AAAAAHn5/1I=")</f>
        <v>#REF!</v>
      </c>
      <c r="CF26" s="1" t="e">
        <f>AND(G_Anse_La_Raye_and_Canaries!#REF!,"AAAAAHn5/1M=")</f>
        <v>#REF!</v>
      </c>
      <c r="CG26" s="1" t="e">
        <f>AND(G_Anse_La_Raye_and_Canaries!#REF!,"AAAAAHn5/1Q=")</f>
        <v>#REF!</v>
      </c>
      <c r="CH26" s="1" t="e">
        <f>AND(G_Anse_La_Raye_and_Canaries!#REF!,"AAAAAHn5/1U=")</f>
        <v>#REF!</v>
      </c>
      <c r="CI26" s="1" t="e">
        <f>AND(G_Anse_La_Raye_and_Canaries!#REF!,"AAAAAHn5/1Y=")</f>
        <v>#REF!</v>
      </c>
      <c r="CJ26" s="1" t="b">
        <f>AND(G_Anse_La_Raye_and_Canaries!G23,"AAAAAHn5/1c=")</f>
        <v>1</v>
      </c>
      <c r="CK26" s="1" t="b">
        <f>AND(G_Anse_La_Raye_and_Canaries!H23,"AAAAAHn5/1g=")</f>
        <v>1</v>
      </c>
      <c r="CL26" s="1" t="b">
        <f>AND(G_Anse_La_Raye_and_Canaries!I23,"AAAAAHn5/1k=")</f>
        <v>1</v>
      </c>
      <c r="CM26" s="1" t="b">
        <f>AND(G_Anse_La_Raye_and_Canaries!J23,"AAAAAHn5/1o=")</f>
        <v>1</v>
      </c>
      <c r="CN26" s="1" t="b">
        <f>AND(G_Anse_La_Raye_and_Canaries!K23,"AAAAAHn5/1s=")</f>
        <v>1</v>
      </c>
      <c r="CO26" s="1" t="b">
        <f>AND(G_Anse_La_Raye_and_Canaries!L23,"AAAAAHn5/1w=")</f>
        <v>1</v>
      </c>
      <c r="CP26" s="1">
        <f>IF(G_Anse_La_Raye_and_Canaries!25:25,"AAAAAHn5/10=",0)</f>
        <v>0</v>
      </c>
      <c r="CQ26" s="1" t="e">
        <f>AND(G_Anse_La_Raye_and_Canaries!A25,"AAAAAHn5/14=")</f>
        <v>#VALUE!</v>
      </c>
      <c r="CR26" s="1" t="e">
        <f>AND(G_Anse_La_Raye_and_Canaries!B25,"AAAAAHn5/18=")</f>
        <v>#VALUE!</v>
      </c>
      <c r="CS26" s="1" t="e">
        <f>AND(G_Anse_La_Raye_and_Canaries!C25,"AAAAAHn5/2A=")</f>
        <v>#VALUE!</v>
      </c>
      <c r="CT26" s="1" t="e">
        <f>AND(G_Anse_La_Raye_and_Canaries!D25,"AAAAAHn5/2E=")</f>
        <v>#VALUE!</v>
      </c>
      <c r="CU26" s="1" t="e">
        <f>AND(G_Anse_La_Raye_and_Canaries!E25,"AAAAAHn5/2I=")</f>
        <v>#VALUE!</v>
      </c>
      <c r="CV26" s="1" t="e">
        <f>AND(G_Anse_La_Raye_and_Canaries!F25,"AAAAAHn5/2M=")</f>
        <v>#VALUE!</v>
      </c>
      <c r="CW26" s="1" t="e">
        <f>AND(G_Anse_La_Raye_and_Canaries!#REF!,"AAAAAHn5/2Q=")</f>
        <v>#REF!</v>
      </c>
      <c r="CX26" s="1" t="e">
        <f>AND(G_Anse_La_Raye_and_Canaries!#REF!,"AAAAAHn5/2U=")</f>
        <v>#REF!</v>
      </c>
      <c r="CY26" s="1" t="e">
        <f>AND(G_Anse_La_Raye_and_Canaries!#REF!,"AAAAAHn5/2Y=")</f>
        <v>#REF!</v>
      </c>
      <c r="CZ26" s="1" t="e">
        <f>AND(G_Anse_La_Raye_and_Canaries!#REF!,"AAAAAHn5/2c=")</f>
        <v>#REF!</v>
      </c>
      <c r="DA26" s="1" t="e">
        <f>AND(G_Anse_La_Raye_and_Canaries!#REF!,"AAAAAHn5/2g=")</f>
        <v>#REF!</v>
      </c>
      <c r="DB26" s="1" t="e">
        <f>AND(G_Anse_La_Raye_and_Canaries!#REF!,"AAAAAHn5/2k=")</f>
        <v>#REF!</v>
      </c>
      <c r="DC26" s="1" t="e">
        <f>AND(G_Anse_La_Raye_and_Canaries!G25,"AAAAAHn5/2o=")</f>
        <v>#VALUE!</v>
      </c>
      <c r="DD26" s="1" t="e">
        <f>AND(G_Anse_La_Raye_and_Canaries!H25,"AAAAAHn5/2s=")</f>
        <v>#VALUE!</v>
      </c>
      <c r="DE26" s="1" t="e">
        <f>AND(G_Anse_La_Raye_and_Canaries!I25,"AAAAAHn5/2w=")</f>
        <v>#VALUE!</v>
      </c>
      <c r="DF26" s="1" t="e">
        <f>AND(G_Anse_La_Raye_and_Canaries!J25,"AAAAAHn5/20=")</f>
        <v>#VALUE!</v>
      </c>
      <c r="DG26" s="1" t="e">
        <f>AND(G_Anse_La_Raye_and_Canaries!K25,"AAAAAHn5/24=")</f>
        <v>#VALUE!</v>
      </c>
      <c r="DH26" s="1" t="e">
        <f>AND(G_Anse_La_Raye_and_Canaries!L25,"AAAAAHn5/28=")</f>
        <v>#VALUE!</v>
      </c>
      <c r="DI26" s="1">
        <f>IF(G_Anse_La_Raye_and_Canaries!26:26,"AAAAAHn5/3A=",0)</f>
        <v>0</v>
      </c>
      <c r="DJ26" s="1" t="e">
        <f>AND(G_Anse_La_Raye_and_Canaries!A26,"AAAAAHn5/3E=")</f>
        <v>#VALUE!</v>
      </c>
      <c r="DK26" s="1" t="b">
        <f>AND(G_Anse_La_Raye_and_Canaries!B26,"AAAAAHn5/3I=")</f>
        <v>1</v>
      </c>
      <c r="DL26" s="1" t="b">
        <f>AND(G_Anse_La_Raye_and_Canaries!C26,"AAAAAHn5/3M=")</f>
        <v>1</v>
      </c>
      <c r="DM26" s="1" t="b">
        <f>AND(G_Anse_La_Raye_and_Canaries!D26,"AAAAAHn5/3Q=")</f>
        <v>1</v>
      </c>
      <c r="DN26" s="1" t="b">
        <f>AND(G_Anse_La_Raye_and_Canaries!E26,"AAAAAHn5/3U=")</f>
        <v>1</v>
      </c>
      <c r="DO26" s="1" t="b">
        <f>AND(G_Anse_La_Raye_and_Canaries!F26,"AAAAAHn5/3Y=")</f>
        <v>1</v>
      </c>
      <c r="DP26" s="1" t="e">
        <f>AND(G_Anse_La_Raye_and_Canaries!#REF!,"AAAAAHn5/3c=")</f>
        <v>#REF!</v>
      </c>
      <c r="DQ26" s="1" t="e">
        <f>AND(G_Anse_La_Raye_and_Canaries!#REF!,"AAAAAHn5/3g=")</f>
        <v>#REF!</v>
      </c>
      <c r="DR26" s="1" t="e">
        <f>AND(G_Anse_La_Raye_and_Canaries!#REF!,"AAAAAHn5/3k=")</f>
        <v>#REF!</v>
      </c>
      <c r="DS26" s="1" t="e">
        <f>AND(G_Anse_La_Raye_and_Canaries!#REF!,"AAAAAHn5/3o=")</f>
        <v>#REF!</v>
      </c>
      <c r="DT26" s="1" t="e">
        <f>AND(G_Anse_La_Raye_and_Canaries!#REF!,"AAAAAHn5/3s=")</f>
        <v>#REF!</v>
      </c>
      <c r="DU26" s="1" t="e">
        <f>AND(G_Anse_La_Raye_and_Canaries!#REF!,"AAAAAHn5/3w=")</f>
        <v>#REF!</v>
      </c>
      <c r="DV26" s="1" t="b">
        <f>AND(G_Anse_La_Raye_and_Canaries!G26,"AAAAAHn5/30=")</f>
        <v>1</v>
      </c>
      <c r="DW26" s="1" t="b">
        <f>AND(G_Anse_La_Raye_and_Canaries!H26,"AAAAAHn5/34=")</f>
        <v>1</v>
      </c>
      <c r="DX26" s="1" t="b">
        <f>AND(G_Anse_La_Raye_and_Canaries!I26,"AAAAAHn5/38=")</f>
        <v>1</v>
      </c>
      <c r="DY26" s="1" t="b">
        <f>AND(G_Anse_La_Raye_and_Canaries!J26,"AAAAAHn5/4A=")</f>
        <v>1</v>
      </c>
      <c r="DZ26" s="1" t="b">
        <f>AND(G_Anse_La_Raye_and_Canaries!K26,"AAAAAHn5/4E=")</f>
        <v>1</v>
      </c>
      <c r="EA26" s="1" t="b">
        <f>AND(G_Anse_La_Raye_and_Canaries!L26,"AAAAAHn5/4I=")</f>
        <v>1</v>
      </c>
      <c r="EB26" s="1">
        <f>IF(G_Anse_La_Raye_and_Canaries!27:27,"AAAAAHn5/4M=",0)</f>
        <v>0</v>
      </c>
      <c r="EC26" s="1" t="e">
        <f>AND(G_Anse_La_Raye_and_Canaries!A27,"AAAAAHn5/4Q=")</f>
        <v>#VALUE!</v>
      </c>
      <c r="ED26" s="1" t="b">
        <f>AND(G_Anse_La_Raye_and_Canaries!B27,"AAAAAHn5/4U=")</f>
        <v>1</v>
      </c>
      <c r="EE26" s="1" t="b">
        <f>AND(G_Anse_La_Raye_and_Canaries!C27,"AAAAAHn5/4Y=")</f>
        <v>1</v>
      </c>
      <c r="EF26" s="1" t="b">
        <f>AND(G_Anse_La_Raye_and_Canaries!D27,"AAAAAHn5/4c=")</f>
        <v>1</v>
      </c>
      <c r="EG26" s="1" t="b">
        <f>AND(G_Anse_La_Raye_and_Canaries!E27,"AAAAAHn5/4g=")</f>
        <v>1</v>
      </c>
      <c r="EH26" s="1" t="b">
        <f>AND(G_Anse_La_Raye_and_Canaries!F27,"AAAAAHn5/4k=")</f>
        <v>1</v>
      </c>
      <c r="EI26" s="1" t="e">
        <f>AND(G_Anse_La_Raye_and_Canaries!#REF!,"AAAAAHn5/4o=")</f>
        <v>#REF!</v>
      </c>
      <c r="EJ26" s="1" t="e">
        <f>AND(G_Anse_La_Raye_and_Canaries!#REF!,"AAAAAHn5/4s=")</f>
        <v>#REF!</v>
      </c>
      <c r="EK26" s="1" t="e">
        <f>AND(G_Anse_La_Raye_and_Canaries!#REF!,"AAAAAHn5/4w=")</f>
        <v>#REF!</v>
      </c>
      <c r="EL26" s="1" t="e">
        <f>AND(G_Anse_La_Raye_and_Canaries!#REF!,"AAAAAHn5/40=")</f>
        <v>#REF!</v>
      </c>
      <c r="EM26" s="1" t="e">
        <f>AND(G_Anse_La_Raye_and_Canaries!#REF!,"AAAAAHn5/44=")</f>
        <v>#REF!</v>
      </c>
      <c r="EN26" s="1" t="e">
        <f>AND(G_Anse_La_Raye_and_Canaries!#REF!,"AAAAAHn5/48=")</f>
        <v>#REF!</v>
      </c>
      <c r="EO26" s="1" t="b">
        <f>AND(G_Anse_La_Raye_and_Canaries!G27,"AAAAAHn5/5A=")</f>
        <v>1</v>
      </c>
      <c r="EP26" s="1" t="b">
        <f>AND(G_Anse_La_Raye_and_Canaries!H27,"AAAAAHn5/5E=")</f>
        <v>1</v>
      </c>
      <c r="EQ26" s="1" t="b">
        <f>AND(G_Anse_La_Raye_and_Canaries!I27,"AAAAAHn5/5I=")</f>
        <v>1</v>
      </c>
      <c r="ER26" s="1" t="b">
        <f>AND(G_Anse_La_Raye_and_Canaries!J27,"AAAAAHn5/5M=")</f>
        <v>1</v>
      </c>
      <c r="ES26" s="1" t="b">
        <f>AND(G_Anse_La_Raye_and_Canaries!K27,"AAAAAHn5/5Q=")</f>
        <v>1</v>
      </c>
      <c r="ET26" s="1" t="b">
        <f>AND(G_Anse_La_Raye_and_Canaries!L27,"AAAAAHn5/5U=")</f>
        <v>1</v>
      </c>
      <c r="EU26" s="1">
        <f>IF(G_Anse_La_Raye_and_Canaries!28:28,"AAAAAHn5/5Y=",0)</f>
        <v>0</v>
      </c>
      <c r="EV26" s="1" t="e">
        <f>AND(G_Anse_La_Raye_and_Canaries!A28,"AAAAAHn5/5c=")</f>
        <v>#VALUE!</v>
      </c>
      <c r="EW26" s="1" t="b">
        <f>AND(G_Anse_La_Raye_and_Canaries!B28,"AAAAAHn5/5g=")</f>
        <v>1</v>
      </c>
      <c r="EX26" s="1" t="b">
        <f>AND(G_Anse_La_Raye_and_Canaries!C28,"AAAAAHn5/5k=")</f>
        <v>1</v>
      </c>
      <c r="EY26" s="1" t="b">
        <f>AND(G_Anse_La_Raye_and_Canaries!D28,"AAAAAHn5/5o=")</f>
        <v>1</v>
      </c>
      <c r="EZ26" s="1" t="b">
        <f>AND(G_Anse_La_Raye_and_Canaries!E28,"AAAAAHn5/5s=")</f>
        <v>1</v>
      </c>
      <c r="FA26" s="1" t="b">
        <f>AND(G_Anse_La_Raye_and_Canaries!F28,"AAAAAHn5/5w=")</f>
        <v>1</v>
      </c>
      <c r="FB26" s="1" t="e">
        <f>AND(G_Anse_La_Raye_and_Canaries!#REF!,"AAAAAHn5/50=")</f>
        <v>#REF!</v>
      </c>
      <c r="FC26" s="1" t="e">
        <f>AND(G_Anse_La_Raye_and_Canaries!#REF!,"AAAAAHn5/54=")</f>
        <v>#REF!</v>
      </c>
      <c r="FD26" s="1" t="e">
        <f>AND(G_Anse_La_Raye_and_Canaries!#REF!,"AAAAAHn5/58=")</f>
        <v>#REF!</v>
      </c>
      <c r="FE26" s="1" t="e">
        <f>AND(G_Anse_La_Raye_and_Canaries!#REF!,"AAAAAHn5/6A=")</f>
        <v>#REF!</v>
      </c>
      <c r="FF26" s="1" t="e">
        <f>AND(G_Anse_La_Raye_and_Canaries!#REF!,"AAAAAHn5/6E=")</f>
        <v>#REF!</v>
      </c>
      <c r="FG26" s="1" t="e">
        <f>AND(G_Anse_La_Raye_and_Canaries!#REF!,"AAAAAHn5/6I=")</f>
        <v>#REF!</v>
      </c>
      <c r="FH26" s="1" t="b">
        <f>AND(G_Anse_La_Raye_and_Canaries!G28,"AAAAAHn5/6M=")</f>
        <v>1</v>
      </c>
      <c r="FI26" s="1" t="b">
        <f>AND(G_Anse_La_Raye_and_Canaries!H28,"AAAAAHn5/6Q=")</f>
        <v>1</v>
      </c>
      <c r="FJ26" s="1" t="b">
        <f>AND(G_Anse_La_Raye_and_Canaries!I28,"AAAAAHn5/6U=")</f>
        <v>1</v>
      </c>
      <c r="FK26" s="1" t="b">
        <f>AND(G_Anse_La_Raye_and_Canaries!J28,"AAAAAHn5/6Y=")</f>
        <v>1</v>
      </c>
      <c r="FL26" s="1" t="b">
        <f>AND(G_Anse_La_Raye_and_Canaries!K28,"AAAAAHn5/6c=")</f>
        <v>1</v>
      </c>
      <c r="FM26" s="1" t="b">
        <f>AND(G_Anse_La_Raye_and_Canaries!L28,"AAAAAHn5/6g=")</f>
        <v>1</v>
      </c>
      <c r="FN26" s="1">
        <f>IF(G_Anse_La_Raye_and_Canaries!29:29,"AAAAAHn5/6k=",0)</f>
        <v>0</v>
      </c>
      <c r="FO26" s="1" t="e">
        <f>AND(G_Anse_La_Raye_and_Canaries!A29,"AAAAAHn5/6o=")</f>
        <v>#VALUE!</v>
      </c>
      <c r="FP26" s="1" t="b">
        <f>AND(G_Anse_La_Raye_and_Canaries!B29,"AAAAAHn5/6s=")</f>
        <v>1</v>
      </c>
      <c r="FQ26" s="1" t="b">
        <f>AND(G_Anse_La_Raye_and_Canaries!C29,"AAAAAHn5/6w=")</f>
        <v>1</v>
      </c>
      <c r="FR26" s="1" t="b">
        <f>AND(G_Anse_La_Raye_and_Canaries!D29,"AAAAAHn5/60=")</f>
        <v>1</v>
      </c>
      <c r="FS26" s="1" t="b">
        <f>AND(G_Anse_La_Raye_and_Canaries!E29,"AAAAAHn5/64=")</f>
        <v>1</v>
      </c>
      <c r="FT26" s="1" t="b">
        <f>AND(G_Anse_La_Raye_and_Canaries!F29,"AAAAAHn5/68=")</f>
        <v>1</v>
      </c>
      <c r="FU26" s="1" t="e">
        <f>AND(G_Anse_La_Raye_and_Canaries!#REF!,"AAAAAHn5/7A=")</f>
        <v>#REF!</v>
      </c>
      <c r="FV26" s="1" t="e">
        <f>AND(G_Anse_La_Raye_and_Canaries!#REF!,"AAAAAHn5/7E=")</f>
        <v>#REF!</v>
      </c>
      <c r="FW26" s="1" t="e">
        <f>AND(G_Anse_La_Raye_and_Canaries!#REF!,"AAAAAHn5/7I=")</f>
        <v>#REF!</v>
      </c>
      <c r="FX26" s="1" t="e">
        <f>AND(G_Anse_La_Raye_and_Canaries!#REF!,"AAAAAHn5/7M=")</f>
        <v>#REF!</v>
      </c>
      <c r="FY26" s="1" t="e">
        <f>AND(G_Anse_La_Raye_and_Canaries!#REF!,"AAAAAHn5/7Q=")</f>
        <v>#REF!</v>
      </c>
      <c r="FZ26" s="1" t="e">
        <f>AND(G_Anse_La_Raye_and_Canaries!#REF!,"AAAAAHn5/7U=")</f>
        <v>#REF!</v>
      </c>
      <c r="GA26" s="1" t="b">
        <f>AND(G_Anse_La_Raye_and_Canaries!G29,"AAAAAHn5/7Y=")</f>
        <v>1</v>
      </c>
      <c r="GB26" s="1" t="b">
        <f>AND(G_Anse_La_Raye_and_Canaries!H29,"AAAAAHn5/7c=")</f>
        <v>1</v>
      </c>
      <c r="GC26" s="1" t="b">
        <f>AND(G_Anse_La_Raye_and_Canaries!I29,"AAAAAHn5/7g=")</f>
        <v>1</v>
      </c>
      <c r="GD26" s="1" t="b">
        <f>AND(G_Anse_La_Raye_and_Canaries!J29,"AAAAAHn5/7k=")</f>
        <v>1</v>
      </c>
      <c r="GE26" s="1" t="b">
        <f>AND(G_Anse_La_Raye_and_Canaries!K29,"AAAAAHn5/7o=")</f>
        <v>1</v>
      </c>
      <c r="GF26" s="1" t="b">
        <f>AND(G_Anse_La_Raye_and_Canaries!L29,"AAAAAHn5/7s=")</f>
        <v>1</v>
      </c>
      <c r="GG26" s="1">
        <f>IF(G_Anse_La_Raye_and_Canaries!30:30,"AAAAAHn5/7w=",0)</f>
        <v>0</v>
      </c>
      <c r="GH26" s="1" t="e">
        <f>AND(G_Anse_La_Raye_and_Canaries!A30,"AAAAAHn5/70=")</f>
        <v>#VALUE!</v>
      </c>
      <c r="GI26" s="1" t="b">
        <f>AND(G_Anse_La_Raye_and_Canaries!B30,"AAAAAHn5/74=")</f>
        <v>1</v>
      </c>
      <c r="GJ26" s="1" t="b">
        <f>AND(G_Anse_La_Raye_and_Canaries!C30,"AAAAAHn5/78=")</f>
        <v>1</v>
      </c>
      <c r="GK26" s="1" t="b">
        <f>AND(G_Anse_La_Raye_and_Canaries!D30,"AAAAAHn5/8A=")</f>
        <v>1</v>
      </c>
      <c r="GL26" s="1" t="b">
        <f>AND(G_Anse_La_Raye_and_Canaries!E30,"AAAAAHn5/8E=")</f>
        <v>1</v>
      </c>
      <c r="GM26" s="1" t="b">
        <f>AND(G_Anse_La_Raye_and_Canaries!F30,"AAAAAHn5/8I=")</f>
        <v>1</v>
      </c>
      <c r="GN26" s="1" t="e">
        <f>AND(G_Anse_La_Raye_and_Canaries!#REF!,"AAAAAHn5/8M=")</f>
        <v>#REF!</v>
      </c>
      <c r="GO26" s="1" t="e">
        <f>AND(G_Anse_La_Raye_and_Canaries!#REF!,"AAAAAHn5/8Q=")</f>
        <v>#REF!</v>
      </c>
      <c r="GP26" s="1" t="e">
        <f>AND(G_Anse_La_Raye_and_Canaries!#REF!,"AAAAAHn5/8U=")</f>
        <v>#REF!</v>
      </c>
      <c r="GQ26" s="1" t="e">
        <f>AND(G_Anse_La_Raye_and_Canaries!#REF!,"AAAAAHn5/8Y=")</f>
        <v>#REF!</v>
      </c>
      <c r="GR26" s="1" t="e">
        <f>AND(G_Anse_La_Raye_and_Canaries!#REF!,"AAAAAHn5/8c=")</f>
        <v>#REF!</v>
      </c>
      <c r="GS26" s="1" t="e">
        <f>AND(G_Anse_La_Raye_and_Canaries!#REF!,"AAAAAHn5/8g=")</f>
        <v>#REF!</v>
      </c>
      <c r="GT26" s="1" t="b">
        <f>AND(G_Anse_La_Raye_and_Canaries!G30,"AAAAAHn5/8k=")</f>
        <v>1</v>
      </c>
      <c r="GU26" s="1" t="b">
        <f>AND(G_Anse_La_Raye_and_Canaries!H30,"AAAAAHn5/8o=")</f>
        <v>1</v>
      </c>
      <c r="GV26" s="1" t="b">
        <f>AND(G_Anse_La_Raye_and_Canaries!I30,"AAAAAHn5/8s=")</f>
        <v>1</v>
      </c>
      <c r="GW26" s="1" t="b">
        <f>AND(G_Anse_La_Raye_and_Canaries!J30,"AAAAAHn5/8w=")</f>
        <v>1</v>
      </c>
      <c r="GX26" s="1" t="b">
        <f>AND(G_Anse_La_Raye_and_Canaries!K30,"AAAAAHn5/80=")</f>
        <v>1</v>
      </c>
      <c r="GY26" s="1" t="b">
        <f>AND(G_Anse_La_Raye_and_Canaries!L30,"AAAAAHn5/84=")</f>
        <v>1</v>
      </c>
      <c r="GZ26" s="1" t="e">
        <f>IF(G_Anse_La_Raye_and_Canaries!#REF!,"AAAAAHn5/88=",0)</f>
        <v>#REF!</v>
      </c>
      <c r="HA26" s="1" t="e">
        <f>AND(G_Anse_La_Raye_and_Canaries!#REF!,"AAAAAHn5/9A=")</f>
        <v>#REF!</v>
      </c>
      <c r="HB26" s="1" t="e">
        <f>AND(G_Anse_La_Raye_and_Canaries!#REF!,"AAAAAHn5/9E=")</f>
        <v>#REF!</v>
      </c>
      <c r="HC26" s="1" t="e">
        <f>AND(G_Anse_La_Raye_and_Canaries!#REF!,"AAAAAHn5/9I=")</f>
        <v>#REF!</v>
      </c>
      <c r="HD26" s="1" t="e">
        <f>AND(G_Anse_La_Raye_and_Canaries!#REF!,"AAAAAHn5/9M=")</f>
        <v>#REF!</v>
      </c>
      <c r="HE26" s="1" t="e">
        <f>AND(G_Anse_La_Raye_and_Canaries!#REF!,"AAAAAHn5/9Q=")</f>
        <v>#REF!</v>
      </c>
      <c r="HF26" s="1" t="e">
        <f>AND(G_Anse_La_Raye_and_Canaries!#REF!,"AAAAAHn5/9U=")</f>
        <v>#REF!</v>
      </c>
      <c r="HG26" s="1" t="e">
        <f>AND(G_Anse_La_Raye_and_Canaries!#REF!,"AAAAAHn5/9Y=")</f>
        <v>#REF!</v>
      </c>
      <c r="HH26" s="1" t="e">
        <f>AND(G_Anse_La_Raye_and_Canaries!#REF!,"AAAAAHn5/9c=")</f>
        <v>#REF!</v>
      </c>
      <c r="HI26" s="1" t="e">
        <f>AND(G_Anse_La_Raye_and_Canaries!#REF!,"AAAAAHn5/9g=")</f>
        <v>#REF!</v>
      </c>
      <c r="HJ26" s="1" t="e">
        <f>AND(G_Anse_La_Raye_and_Canaries!#REF!,"AAAAAHn5/9k=")</f>
        <v>#REF!</v>
      </c>
      <c r="HK26" s="1" t="e">
        <f>AND(G_Anse_La_Raye_and_Canaries!#REF!,"AAAAAHn5/9o=")</f>
        <v>#REF!</v>
      </c>
      <c r="HL26" s="1" t="e">
        <f>AND(G_Anse_La_Raye_and_Canaries!#REF!,"AAAAAHn5/9s=")</f>
        <v>#REF!</v>
      </c>
      <c r="HM26" s="1" t="e">
        <f>AND(G_Anse_La_Raye_and_Canaries!#REF!,"AAAAAHn5/9w=")</f>
        <v>#REF!</v>
      </c>
      <c r="HN26" s="1" t="e">
        <f>AND(G_Anse_La_Raye_and_Canaries!#REF!,"AAAAAHn5/90=")</f>
        <v>#REF!</v>
      </c>
      <c r="HO26" s="1" t="e">
        <f>AND(G_Anse_La_Raye_and_Canaries!#REF!,"AAAAAHn5/94=")</f>
        <v>#REF!</v>
      </c>
      <c r="HP26" s="1" t="e">
        <f>AND(G_Anse_La_Raye_and_Canaries!#REF!,"AAAAAHn5/98=")</f>
        <v>#REF!</v>
      </c>
      <c r="HQ26" s="1" t="e">
        <f>AND(G_Anse_La_Raye_and_Canaries!#REF!,"AAAAAHn5/+A=")</f>
        <v>#REF!</v>
      </c>
      <c r="HR26" s="1" t="e">
        <f>AND(G_Anse_La_Raye_and_Canaries!#REF!,"AAAAAHn5/+E=")</f>
        <v>#REF!</v>
      </c>
      <c r="HS26" s="1">
        <f>IF(G_Anse_La_Raye_and_Canaries!31:31,"AAAAAHn5/+I=",0)</f>
        <v>0</v>
      </c>
      <c r="HT26" s="1" t="e">
        <f>AND(G_Anse_La_Raye_and_Canaries!A31,"AAAAAHn5/+M=")</f>
        <v>#VALUE!</v>
      </c>
      <c r="HU26" s="1" t="b">
        <f>AND(G_Anse_La_Raye_and_Canaries!B31,"AAAAAHn5/+Q=")</f>
        <v>1</v>
      </c>
      <c r="HV26" s="1" t="b">
        <f>AND(G_Anse_La_Raye_and_Canaries!C31,"AAAAAHn5/+U=")</f>
        <v>1</v>
      </c>
      <c r="HW26" s="1" t="b">
        <f>AND(G_Anse_La_Raye_and_Canaries!D31,"AAAAAHn5/+Y=")</f>
        <v>1</v>
      </c>
      <c r="HX26" s="1" t="b">
        <f>AND(G_Anse_La_Raye_and_Canaries!E31,"AAAAAHn5/+c=")</f>
        <v>1</v>
      </c>
      <c r="HY26" s="1" t="b">
        <f>AND(G_Anse_La_Raye_and_Canaries!F31,"AAAAAHn5/+g=")</f>
        <v>1</v>
      </c>
      <c r="HZ26" s="1" t="e">
        <f>AND(G_Anse_La_Raye_and_Canaries!#REF!,"AAAAAHn5/+k=")</f>
        <v>#REF!</v>
      </c>
      <c r="IA26" s="1" t="e">
        <f>AND(G_Anse_La_Raye_and_Canaries!#REF!,"AAAAAHn5/+o=")</f>
        <v>#REF!</v>
      </c>
      <c r="IB26" s="1" t="e">
        <f>AND(G_Anse_La_Raye_and_Canaries!#REF!,"AAAAAHn5/+s=")</f>
        <v>#REF!</v>
      </c>
      <c r="IC26" s="1" t="e">
        <f>AND(G_Anse_La_Raye_and_Canaries!#REF!,"AAAAAHn5/+w=")</f>
        <v>#REF!</v>
      </c>
      <c r="ID26" s="1" t="e">
        <f>AND(G_Anse_La_Raye_and_Canaries!#REF!,"AAAAAHn5/+0=")</f>
        <v>#REF!</v>
      </c>
      <c r="IE26" s="1" t="e">
        <f>AND(G_Anse_La_Raye_and_Canaries!#REF!,"AAAAAHn5/+4=")</f>
        <v>#REF!</v>
      </c>
      <c r="IF26" s="1" t="b">
        <f>AND(G_Anse_La_Raye_and_Canaries!G31,"AAAAAHn5/+8=")</f>
        <v>1</v>
      </c>
      <c r="IG26" s="1" t="b">
        <f>AND(G_Anse_La_Raye_and_Canaries!H31,"AAAAAHn5//A=")</f>
        <v>1</v>
      </c>
      <c r="IH26" s="1" t="b">
        <f>AND(G_Anse_La_Raye_and_Canaries!I31,"AAAAAHn5//E=")</f>
        <v>1</v>
      </c>
      <c r="II26" s="1" t="b">
        <f>AND(G_Anse_La_Raye_and_Canaries!J31,"AAAAAHn5//I=")</f>
        <v>1</v>
      </c>
      <c r="IJ26" s="1" t="b">
        <f>AND(G_Anse_La_Raye_and_Canaries!K31,"AAAAAHn5//M=")</f>
        <v>1</v>
      </c>
      <c r="IK26" s="1" t="b">
        <f>AND(G_Anse_La_Raye_and_Canaries!L31,"AAAAAHn5//Q=")</f>
        <v>1</v>
      </c>
      <c r="IL26" s="1">
        <f>IF(G_Anse_La_Raye_and_Canaries!32:32,"AAAAAHn5//U=",0)</f>
        <v>0</v>
      </c>
      <c r="IM26" s="1" t="e">
        <f>AND(G_Anse_La_Raye_and_Canaries!A32,"AAAAAHn5//Y=")</f>
        <v>#VALUE!</v>
      </c>
      <c r="IN26" s="1" t="b">
        <f>AND(G_Anse_La_Raye_and_Canaries!B32,"AAAAAHn5//c=")</f>
        <v>1</v>
      </c>
      <c r="IO26" s="1" t="b">
        <f>AND(G_Anse_La_Raye_and_Canaries!C32,"AAAAAHn5//g=")</f>
        <v>1</v>
      </c>
      <c r="IP26" s="1" t="b">
        <f>AND(G_Anse_La_Raye_and_Canaries!D32,"AAAAAHn5//k=")</f>
        <v>1</v>
      </c>
      <c r="IQ26" s="1" t="b">
        <f>AND(G_Anse_La_Raye_and_Canaries!E32,"AAAAAHn5//o=")</f>
        <v>1</v>
      </c>
      <c r="IR26" s="1" t="b">
        <f>AND(G_Anse_La_Raye_and_Canaries!F32,"AAAAAHn5//s=")</f>
        <v>1</v>
      </c>
      <c r="IS26" s="1" t="e">
        <f>AND(G_Anse_La_Raye_and_Canaries!#REF!,"AAAAAHn5//w=")</f>
        <v>#REF!</v>
      </c>
      <c r="IT26" s="1" t="e">
        <f>AND(G_Anse_La_Raye_and_Canaries!#REF!,"AAAAAHn5//0=")</f>
        <v>#REF!</v>
      </c>
      <c r="IU26" s="1" t="e">
        <f>AND(G_Anse_La_Raye_and_Canaries!#REF!,"AAAAAHn5//4=")</f>
        <v>#REF!</v>
      </c>
      <c r="IV26" s="1" t="e">
        <f>AND(G_Anse_La_Raye_and_Canaries!#REF!,"AAAAAHn5//8=")</f>
        <v>#REF!</v>
      </c>
    </row>
    <row r="27" spans="1:256" ht="12" customHeight="1" x14ac:dyDescent="0.2">
      <c r="A27" s="1" t="e">
        <f>AND(G_Anse_La_Raye_and_Canaries!#REF!,"AAAAAFnt+AA=")</f>
        <v>#REF!</v>
      </c>
      <c r="B27" s="1" t="e">
        <f>AND(G_Anse_La_Raye_and_Canaries!#REF!,"AAAAAFnt+AE=")</f>
        <v>#REF!</v>
      </c>
      <c r="C27" s="1" t="b">
        <f>AND(G_Anse_La_Raye_and_Canaries!G32,"AAAAAFnt+AI=")</f>
        <v>1</v>
      </c>
      <c r="D27" s="1" t="b">
        <f>AND(G_Anse_La_Raye_and_Canaries!H32,"AAAAAFnt+AM=")</f>
        <v>1</v>
      </c>
      <c r="E27" s="1" t="b">
        <f>AND(G_Anse_La_Raye_and_Canaries!I32,"AAAAAFnt+AQ=")</f>
        <v>1</v>
      </c>
      <c r="F27" s="1" t="b">
        <f>AND(G_Anse_La_Raye_and_Canaries!J32,"AAAAAFnt+AU=")</f>
        <v>1</v>
      </c>
      <c r="G27" s="1" t="b">
        <f>AND(G_Anse_La_Raye_and_Canaries!K32,"AAAAAFnt+AY=")</f>
        <v>1</v>
      </c>
      <c r="H27" s="1" t="b">
        <f>AND(G_Anse_La_Raye_and_Canaries!L32,"AAAAAFnt+Ac=")</f>
        <v>1</v>
      </c>
      <c r="I27" s="1">
        <f>IF(G_Anse_La_Raye_and_Canaries!34:34,"AAAAAFnt+Ag=",0)</f>
        <v>0</v>
      </c>
      <c r="J27" s="1" t="e">
        <f>AND(G_Anse_La_Raye_and_Canaries!A34,"AAAAAFnt+Ak=")</f>
        <v>#VALUE!</v>
      </c>
      <c r="K27" s="1" t="e">
        <f>AND(G_Anse_La_Raye_and_Canaries!B34,"AAAAAFnt+Ao=")</f>
        <v>#VALUE!</v>
      </c>
      <c r="L27" s="1" t="e">
        <f>AND(G_Anse_La_Raye_and_Canaries!C34,"AAAAAFnt+As=")</f>
        <v>#VALUE!</v>
      </c>
      <c r="M27" s="1" t="e">
        <f>AND(G_Anse_La_Raye_and_Canaries!D34,"AAAAAFnt+Aw=")</f>
        <v>#VALUE!</v>
      </c>
      <c r="N27" s="1" t="e">
        <f>AND(G_Anse_La_Raye_and_Canaries!E34,"AAAAAFnt+A0=")</f>
        <v>#VALUE!</v>
      </c>
      <c r="O27" s="1" t="e">
        <f>AND(G_Anse_La_Raye_and_Canaries!F34,"AAAAAFnt+A4=")</f>
        <v>#VALUE!</v>
      </c>
      <c r="P27" s="1" t="e">
        <f>AND(G_Anse_La_Raye_and_Canaries!#REF!,"AAAAAFnt+A8=")</f>
        <v>#REF!</v>
      </c>
      <c r="Q27" s="1" t="e">
        <f>AND(G_Anse_La_Raye_and_Canaries!#REF!,"AAAAAFnt+BA=")</f>
        <v>#REF!</v>
      </c>
      <c r="R27" s="1" t="e">
        <f>AND(G_Anse_La_Raye_and_Canaries!#REF!,"AAAAAFnt+BE=")</f>
        <v>#REF!</v>
      </c>
      <c r="S27" s="1" t="e">
        <f>AND(G_Anse_La_Raye_and_Canaries!#REF!,"AAAAAFnt+BI=")</f>
        <v>#REF!</v>
      </c>
      <c r="T27" s="1" t="e">
        <f>AND(G_Anse_La_Raye_and_Canaries!#REF!,"AAAAAFnt+BM=")</f>
        <v>#REF!</v>
      </c>
      <c r="U27" s="1" t="e">
        <f>AND(G_Anse_La_Raye_and_Canaries!#REF!,"AAAAAFnt+BQ=")</f>
        <v>#REF!</v>
      </c>
      <c r="V27" s="1" t="e">
        <f>AND(G_Anse_La_Raye_and_Canaries!G34,"AAAAAFnt+BU=")</f>
        <v>#VALUE!</v>
      </c>
      <c r="W27" s="1" t="e">
        <f>AND(G_Anse_La_Raye_and_Canaries!H34,"AAAAAFnt+BY=")</f>
        <v>#VALUE!</v>
      </c>
      <c r="X27" s="1" t="e">
        <f>AND(G_Anse_La_Raye_and_Canaries!I34,"AAAAAFnt+Bc=")</f>
        <v>#VALUE!</v>
      </c>
      <c r="Y27" s="1" t="e">
        <f>AND(G_Anse_La_Raye_and_Canaries!J34,"AAAAAFnt+Bg=")</f>
        <v>#VALUE!</v>
      </c>
      <c r="Z27" s="1" t="e">
        <f>AND(G_Anse_La_Raye_and_Canaries!K34,"AAAAAFnt+Bk=")</f>
        <v>#VALUE!</v>
      </c>
      <c r="AA27" s="1" t="e">
        <f>AND(G_Anse_La_Raye_and_Canaries!L34,"AAAAAFnt+Bo=")</f>
        <v>#VALUE!</v>
      </c>
      <c r="AB27" s="1">
        <f>IF(G_Anse_La_Raye_and_Canaries!35:35,"AAAAAFnt+Bs=",0)</f>
        <v>0</v>
      </c>
      <c r="AC27" s="1" t="e">
        <f>AND(G_Anse_La_Raye_and_Canaries!A35,"AAAAAFnt+Bw=")</f>
        <v>#VALUE!</v>
      </c>
      <c r="AD27" s="1" t="b">
        <f>AND(G_Anse_La_Raye_and_Canaries!B35,"AAAAAFnt+B0=")</f>
        <v>1</v>
      </c>
      <c r="AE27" s="1" t="b">
        <f>AND(G_Anse_La_Raye_and_Canaries!C35,"AAAAAFnt+B4=")</f>
        <v>1</v>
      </c>
      <c r="AF27" s="1" t="b">
        <f>AND(G_Anse_La_Raye_and_Canaries!D35,"AAAAAFnt+B8=")</f>
        <v>1</v>
      </c>
      <c r="AG27" s="1" t="b">
        <f>AND(G_Anse_La_Raye_and_Canaries!E35,"AAAAAFnt+CA=")</f>
        <v>1</v>
      </c>
      <c r="AH27" s="1" t="b">
        <f>AND(G_Anse_La_Raye_and_Canaries!F35,"AAAAAFnt+CE=")</f>
        <v>1</v>
      </c>
      <c r="AI27" s="1" t="e">
        <f>AND(G_Anse_La_Raye_and_Canaries!#REF!,"AAAAAFnt+CI=")</f>
        <v>#REF!</v>
      </c>
      <c r="AJ27" s="1" t="e">
        <f>AND(G_Anse_La_Raye_and_Canaries!#REF!,"AAAAAFnt+CM=")</f>
        <v>#REF!</v>
      </c>
      <c r="AK27" s="1" t="e">
        <f>AND(G_Anse_La_Raye_and_Canaries!#REF!,"AAAAAFnt+CQ=")</f>
        <v>#REF!</v>
      </c>
      <c r="AL27" s="1" t="e">
        <f>AND(G_Anse_La_Raye_and_Canaries!#REF!,"AAAAAFnt+CU=")</f>
        <v>#REF!</v>
      </c>
      <c r="AM27" s="1" t="e">
        <f>AND(G_Anse_La_Raye_and_Canaries!#REF!,"AAAAAFnt+CY=")</f>
        <v>#REF!</v>
      </c>
      <c r="AN27" s="1" t="e">
        <f>AND(G_Anse_La_Raye_and_Canaries!#REF!,"AAAAAFnt+Cc=")</f>
        <v>#REF!</v>
      </c>
      <c r="AO27" s="1" t="b">
        <f>AND(G_Anse_La_Raye_and_Canaries!G35,"AAAAAFnt+Cg=")</f>
        <v>1</v>
      </c>
      <c r="AP27" s="1" t="b">
        <f>AND(G_Anse_La_Raye_and_Canaries!H35,"AAAAAFnt+Ck=")</f>
        <v>1</v>
      </c>
      <c r="AQ27" s="1" t="b">
        <f>AND(G_Anse_La_Raye_and_Canaries!I35,"AAAAAFnt+Co=")</f>
        <v>1</v>
      </c>
      <c r="AR27" s="1" t="b">
        <f>AND(G_Anse_La_Raye_and_Canaries!J35,"AAAAAFnt+Cs=")</f>
        <v>1</v>
      </c>
      <c r="AS27" s="1" t="b">
        <f>AND(G_Anse_La_Raye_and_Canaries!K35,"AAAAAFnt+Cw=")</f>
        <v>1</v>
      </c>
      <c r="AT27" s="1" t="b">
        <f>AND(G_Anse_La_Raye_and_Canaries!L35,"AAAAAFnt+C0=")</f>
        <v>1</v>
      </c>
      <c r="AU27" s="1">
        <f>IF(G_Anse_La_Raye_and_Canaries!36:36,"AAAAAFnt+C4=",0)</f>
        <v>0</v>
      </c>
      <c r="AV27" s="1" t="e">
        <f>AND(G_Anse_La_Raye_and_Canaries!A36,"AAAAAFnt+C8=")</f>
        <v>#VALUE!</v>
      </c>
      <c r="AW27" s="1" t="b">
        <f>AND(G_Anse_La_Raye_and_Canaries!B36,"AAAAAFnt+DA=")</f>
        <v>1</v>
      </c>
      <c r="AX27" s="1" t="b">
        <f>AND(G_Anse_La_Raye_and_Canaries!C36,"AAAAAFnt+DE=")</f>
        <v>1</v>
      </c>
      <c r="AY27" s="1" t="b">
        <f>AND(G_Anse_La_Raye_and_Canaries!D36,"AAAAAFnt+DI=")</f>
        <v>1</v>
      </c>
      <c r="AZ27" s="1" t="b">
        <f>AND(G_Anse_La_Raye_and_Canaries!E36,"AAAAAFnt+DM=")</f>
        <v>1</v>
      </c>
      <c r="BA27" s="1" t="b">
        <f>AND(G_Anse_La_Raye_and_Canaries!F36,"AAAAAFnt+DQ=")</f>
        <v>1</v>
      </c>
      <c r="BB27" s="1" t="e">
        <f>AND(G_Anse_La_Raye_and_Canaries!#REF!,"AAAAAFnt+DU=")</f>
        <v>#REF!</v>
      </c>
      <c r="BC27" s="1" t="e">
        <f>AND(G_Anse_La_Raye_and_Canaries!#REF!,"AAAAAFnt+DY=")</f>
        <v>#REF!</v>
      </c>
      <c r="BD27" s="1" t="e">
        <f>AND(G_Anse_La_Raye_and_Canaries!#REF!,"AAAAAFnt+Dc=")</f>
        <v>#REF!</v>
      </c>
      <c r="BE27" s="1" t="e">
        <f>AND(G_Anse_La_Raye_and_Canaries!#REF!,"AAAAAFnt+Dg=")</f>
        <v>#REF!</v>
      </c>
      <c r="BF27" s="1" t="e">
        <f>AND(G_Anse_La_Raye_and_Canaries!#REF!,"AAAAAFnt+Dk=")</f>
        <v>#REF!</v>
      </c>
      <c r="BG27" s="1" t="e">
        <f>AND(G_Anse_La_Raye_and_Canaries!#REF!,"AAAAAFnt+Do=")</f>
        <v>#REF!</v>
      </c>
      <c r="BH27" s="1" t="b">
        <f>AND(G_Anse_La_Raye_and_Canaries!G36,"AAAAAFnt+Ds=")</f>
        <v>1</v>
      </c>
      <c r="BI27" s="1" t="b">
        <f>AND(G_Anse_La_Raye_and_Canaries!H36,"AAAAAFnt+Dw=")</f>
        <v>1</v>
      </c>
      <c r="BJ27" s="1" t="b">
        <f>AND(G_Anse_La_Raye_and_Canaries!I36,"AAAAAFnt+D0=")</f>
        <v>1</v>
      </c>
      <c r="BK27" s="1" t="b">
        <f>AND(G_Anse_La_Raye_and_Canaries!J36,"AAAAAFnt+D4=")</f>
        <v>1</v>
      </c>
      <c r="BL27" s="1" t="b">
        <f>AND(G_Anse_La_Raye_and_Canaries!K36,"AAAAAFnt+D8=")</f>
        <v>1</v>
      </c>
      <c r="BM27" s="1" t="b">
        <f>AND(G_Anse_La_Raye_and_Canaries!L36,"AAAAAFnt+EA=")</f>
        <v>1</v>
      </c>
      <c r="BN27" s="1">
        <f>IF(G_Anse_La_Raye_and_Canaries!37:37,"AAAAAFnt+EE=",0)</f>
        <v>0</v>
      </c>
      <c r="BO27" s="1" t="e">
        <f>AND(G_Anse_La_Raye_and_Canaries!A37,"AAAAAFnt+EI=")</f>
        <v>#VALUE!</v>
      </c>
      <c r="BP27" s="1" t="b">
        <f>AND(G_Anse_La_Raye_and_Canaries!B37,"AAAAAFnt+EM=")</f>
        <v>1</v>
      </c>
      <c r="BQ27" s="1" t="b">
        <f>AND(G_Anse_La_Raye_and_Canaries!C37,"AAAAAFnt+EQ=")</f>
        <v>1</v>
      </c>
      <c r="BR27" s="1" t="b">
        <f>AND(G_Anse_La_Raye_and_Canaries!D37,"AAAAAFnt+EU=")</f>
        <v>1</v>
      </c>
      <c r="BS27" s="1" t="b">
        <f>AND(G_Anse_La_Raye_and_Canaries!E37,"AAAAAFnt+EY=")</f>
        <v>1</v>
      </c>
      <c r="BT27" s="1" t="b">
        <f>AND(G_Anse_La_Raye_and_Canaries!F37,"AAAAAFnt+Ec=")</f>
        <v>1</v>
      </c>
      <c r="BU27" s="1" t="e">
        <f>AND(G_Anse_La_Raye_and_Canaries!#REF!,"AAAAAFnt+Eg=")</f>
        <v>#REF!</v>
      </c>
      <c r="BV27" s="1" t="e">
        <f>AND(G_Anse_La_Raye_and_Canaries!#REF!,"AAAAAFnt+Ek=")</f>
        <v>#REF!</v>
      </c>
      <c r="BW27" s="1" t="e">
        <f>AND(G_Anse_La_Raye_and_Canaries!#REF!,"AAAAAFnt+Eo=")</f>
        <v>#REF!</v>
      </c>
      <c r="BX27" s="1" t="e">
        <f>AND(G_Anse_La_Raye_and_Canaries!#REF!,"AAAAAFnt+Es=")</f>
        <v>#REF!</v>
      </c>
      <c r="BY27" s="1" t="e">
        <f>AND(G_Anse_La_Raye_and_Canaries!#REF!,"AAAAAFnt+Ew=")</f>
        <v>#REF!</v>
      </c>
      <c r="BZ27" s="1" t="e">
        <f>AND(G_Anse_La_Raye_and_Canaries!#REF!,"AAAAAFnt+E0=")</f>
        <v>#REF!</v>
      </c>
      <c r="CA27" s="1" t="b">
        <f>AND(G_Anse_La_Raye_and_Canaries!G37,"AAAAAFnt+E4=")</f>
        <v>1</v>
      </c>
      <c r="CB27" s="1" t="b">
        <f>AND(G_Anse_La_Raye_and_Canaries!H37,"AAAAAFnt+E8=")</f>
        <v>1</v>
      </c>
      <c r="CC27" s="1" t="b">
        <f>AND(G_Anse_La_Raye_and_Canaries!I37,"AAAAAFnt+FA=")</f>
        <v>1</v>
      </c>
      <c r="CD27" s="1" t="b">
        <f>AND(G_Anse_La_Raye_and_Canaries!J37,"AAAAAFnt+FE=")</f>
        <v>1</v>
      </c>
      <c r="CE27" s="1" t="b">
        <f>AND(G_Anse_La_Raye_and_Canaries!K37,"AAAAAFnt+FI=")</f>
        <v>1</v>
      </c>
      <c r="CF27" s="1" t="b">
        <f>AND(G_Anse_La_Raye_and_Canaries!L37,"AAAAAFnt+FM=")</f>
        <v>1</v>
      </c>
      <c r="CG27" s="1">
        <f>IF(G_Anse_La_Raye_and_Canaries!38:38,"AAAAAFnt+FQ=",0)</f>
        <v>0</v>
      </c>
      <c r="CH27" s="1" t="e">
        <f>AND(G_Anse_La_Raye_and_Canaries!A38,"AAAAAFnt+FU=")</f>
        <v>#VALUE!</v>
      </c>
      <c r="CI27" s="1" t="b">
        <f>AND(G_Anse_La_Raye_and_Canaries!B38,"AAAAAFnt+FY=")</f>
        <v>1</v>
      </c>
      <c r="CJ27" s="1" t="b">
        <f>AND(G_Anse_La_Raye_and_Canaries!C38,"AAAAAFnt+Fc=")</f>
        <v>1</v>
      </c>
      <c r="CK27" s="1" t="b">
        <f>AND(G_Anse_La_Raye_and_Canaries!D38,"AAAAAFnt+Fg=")</f>
        <v>1</v>
      </c>
      <c r="CL27" s="1" t="b">
        <f>AND(G_Anse_La_Raye_and_Canaries!E38,"AAAAAFnt+Fk=")</f>
        <v>1</v>
      </c>
      <c r="CM27" s="1" t="b">
        <f>AND(G_Anse_La_Raye_and_Canaries!F38,"AAAAAFnt+Fo=")</f>
        <v>1</v>
      </c>
      <c r="CN27" s="1" t="e">
        <f>AND(G_Anse_La_Raye_and_Canaries!#REF!,"AAAAAFnt+Fs=")</f>
        <v>#REF!</v>
      </c>
      <c r="CO27" s="1" t="e">
        <f>AND(G_Anse_La_Raye_and_Canaries!#REF!,"AAAAAFnt+Fw=")</f>
        <v>#REF!</v>
      </c>
      <c r="CP27" s="1" t="e">
        <f>AND(G_Anse_La_Raye_and_Canaries!#REF!,"AAAAAFnt+F0=")</f>
        <v>#REF!</v>
      </c>
      <c r="CQ27" s="1" t="e">
        <f>AND(G_Anse_La_Raye_and_Canaries!#REF!,"AAAAAFnt+F4=")</f>
        <v>#REF!</v>
      </c>
      <c r="CR27" s="1" t="e">
        <f>AND(G_Anse_La_Raye_and_Canaries!#REF!,"AAAAAFnt+F8=")</f>
        <v>#REF!</v>
      </c>
      <c r="CS27" s="1" t="e">
        <f>AND(G_Anse_La_Raye_and_Canaries!#REF!,"AAAAAFnt+GA=")</f>
        <v>#REF!</v>
      </c>
      <c r="CT27" s="1" t="b">
        <f>AND(G_Anse_La_Raye_and_Canaries!G38,"AAAAAFnt+GE=")</f>
        <v>1</v>
      </c>
      <c r="CU27" s="1" t="b">
        <f>AND(G_Anse_La_Raye_and_Canaries!H38,"AAAAAFnt+GI=")</f>
        <v>1</v>
      </c>
      <c r="CV27" s="1" t="b">
        <f>AND(G_Anse_La_Raye_and_Canaries!I38,"AAAAAFnt+GM=")</f>
        <v>1</v>
      </c>
      <c r="CW27" s="1" t="b">
        <f>AND(G_Anse_La_Raye_and_Canaries!J38,"AAAAAFnt+GQ=")</f>
        <v>1</v>
      </c>
      <c r="CX27" s="1" t="b">
        <f>AND(G_Anse_La_Raye_and_Canaries!K38,"AAAAAFnt+GU=")</f>
        <v>1</v>
      </c>
      <c r="CY27" s="1" t="b">
        <f>AND(G_Anse_La_Raye_and_Canaries!L38,"AAAAAFnt+GY=")</f>
        <v>1</v>
      </c>
      <c r="CZ27" s="1">
        <f>IF(G_Anse_La_Raye_and_Canaries!40:40,"AAAAAFnt+Gc=",0)</f>
        <v>0</v>
      </c>
      <c r="DA27" s="1" t="e">
        <f>AND(G_Anse_La_Raye_and_Canaries!A40,"AAAAAFnt+Gg=")</f>
        <v>#VALUE!</v>
      </c>
      <c r="DB27" s="1" t="b">
        <f>AND(G_Anse_La_Raye_and_Canaries!B40,"AAAAAFnt+Gk=")</f>
        <v>1</v>
      </c>
      <c r="DC27" s="1" t="b">
        <f>AND(G_Anse_La_Raye_and_Canaries!C40,"AAAAAFnt+Go=")</f>
        <v>1</v>
      </c>
      <c r="DD27" s="1" t="b">
        <f>AND(G_Anse_La_Raye_and_Canaries!D40,"AAAAAFnt+Gs=")</f>
        <v>1</v>
      </c>
      <c r="DE27" s="1" t="b">
        <f>AND(G_Anse_La_Raye_and_Canaries!E40,"AAAAAFnt+Gw=")</f>
        <v>1</v>
      </c>
      <c r="DF27" s="1" t="b">
        <f>AND(G_Anse_La_Raye_and_Canaries!F40,"AAAAAFnt+G0=")</f>
        <v>1</v>
      </c>
      <c r="DG27" s="1" t="e">
        <f>AND(G_Anse_La_Raye_and_Canaries!#REF!,"AAAAAFnt+G4=")</f>
        <v>#REF!</v>
      </c>
      <c r="DH27" s="1" t="e">
        <f>AND(G_Anse_La_Raye_and_Canaries!#REF!,"AAAAAFnt+G8=")</f>
        <v>#REF!</v>
      </c>
      <c r="DI27" s="1" t="e">
        <f>AND(G_Anse_La_Raye_and_Canaries!#REF!,"AAAAAFnt+HA=")</f>
        <v>#REF!</v>
      </c>
      <c r="DJ27" s="1" t="e">
        <f>AND(G_Anse_La_Raye_and_Canaries!#REF!,"AAAAAFnt+HE=")</f>
        <v>#REF!</v>
      </c>
      <c r="DK27" s="1" t="e">
        <f>AND(G_Anse_La_Raye_and_Canaries!#REF!,"AAAAAFnt+HI=")</f>
        <v>#REF!</v>
      </c>
      <c r="DL27" s="1" t="e">
        <f>AND(G_Anse_La_Raye_and_Canaries!#REF!,"AAAAAFnt+HM=")</f>
        <v>#REF!</v>
      </c>
      <c r="DM27" s="1" t="b">
        <f>AND(G_Anse_La_Raye_and_Canaries!G40,"AAAAAFnt+HQ=")</f>
        <v>1</v>
      </c>
      <c r="DN27" s="1" t="b">
        <f>AND(G_Anse_La_Raye_and_Canaries!H40,"AAAAAFnt+HU=")</f>
        <v>1</v>
      </c>
      <c r="DO27" s="1" t="b">
        <f>AND(G_Anse_La_Raye_and_Canaries!I40,"AAAAAFnt+HY=")</f>
        <v>1</v>
      </c>
      <c r="DP27" s="1" t="b">
        <f>AND(G_Anse_La_Raye_and_Canaries!J40,"AAAAAFnt+Hc=")</f>
        <v>1</v>
      </c>
      <c r="DQ27" s="1" t="b">
        <f>AND(G_Anse_La_Raye_and_Canaries!K40,"AAAAAFnt+Hg=")</f>
        <v>1</v>
      </c>
      <c r="DR27" s="1" t="b">
        <f>AND(G_Anse_La_Raye_and_Canaries!L40,"AAAAAFnt+Hk=")</f>
        <v>1</v>
      </c>
      <c r="DS27" s="1">
        <f>IF(G_Anse_La_Raye_and_Canaries!41:41,"AAAAAFnt+Ho=",0)</f>
        <v>0</v>
      </c>
      <c r="DT27" s="1" t="e">
        <f>AND(G_Anse_La_Raye_and_Canaries!A41,"AAAAAFnt+Hs=")</f>
        <v>#VALUE!</v>
      </c>
      <c r="DU27" s="1" t="b">
        <f>AND(G_Anse_La_Raye_and_Canaries!B41,"AAAAAFnt+Hw=")</f>
        <v>1</v>
      </c>
      <c r="DV27" s="1" t="b">
        <f>AND(G_Anse_La_Raye_and_Canaries!C41,"AAAAAFnt+H0=")</f>
        <v>1</v>
      </c>
      <c r="DW27" s="1" t="b">
        <f>AND(G_Anse_La_Raye_and_Canaries!D41,"AAAAAFnt+H4=")</f>
        <v>1</v>
      </c>
      <c r="DX27" s="1" t="b">
        <f>AND(G_Anse_La_Raye_and_Canaries!E41,"AAAAAFnt+H8=")</f>
        <v>1</v>
      </c>
      <c r="DY27" s="1" t="b">
        <f>AND(G_Anse_La_Raye_and_Canaries!F41,"AAAAAFnt+IA=")</f>
        <v>1</v>
      </c>
      <c r="DZ27" s="1" t="e">
        <f>AND(G_Anse_La_Raye_and_Canaries!#REF!,"AAAAAFnt+IE=")</f>
        <v>#REF!</v>
      </c>
      <c r="EA27" s="1" t="e">
        <f>AND(G_Anse_La_Raye_and_Canaries!#REF!,"AAAAAFnt+II=")</f>
        <v>#REF!</v>
      </c>
      <c r="EB27" s="1" t="e">
        <f>AND(G_Anse_La_Raye_and_Canaries!#REF!,"AAAAAFnt+IM=")</f>
        <v>#REF!</v>
      </c>
      <c r="EC27" s="1" t="e">
        <f>AND(G_Anse_La_Raye_and_Canaries!#REF!,"AAAAAFnt+IQ=")</f>
        <v>#REF!</v>
      </c>
      <c r="ED27" s="1" t="e">
        <f>AND(G_Anse_La_Raye_and_Canaries!#REF!,"AAAAAFnt+IU=")</f>
        <v>#REF!</v>
      </c>
      <c r="EE27" s="1" t="e">
        <f>AND(G_Anse_La_Raye_and_Canaries!#REF!,"AAAAAFnt+IY=")</f>
        <v>#REF!</v>
      </c>
      <c r="EF27" s="1" t="b">
        <f>AND(G_Anse_La_Raye_and_Canaries!G41,"AAAAAFnt+Ic=")</f>
        <v>1</v>
      </c>
      <c r="EG27" s="1" t="b">
        <f>AND(G_Anse_La_Raye_and_Canaries!H41,"AAAAAFnt+Ig=")</f>
        <v>1</v>
      </c>
      <c r="EH27" s="1" t="b">
        <f>AND(G_Anse_La_Raye_and_Canaries!I41,"AAAAAFnt+Ik=")</f>
        <v>1</v>
      </c>
      <c r="EI27" s="1" t="b">
        <f>AND(G_Anse_La_Raye_and_Canaries!J41,"AAAAAFnt+Io=")</f>
        <v>1</v>
      </c>
      <c r="EJ27" s="1" t="b">
        <f>AND(G_Anse_La_Raye_and_Canaries!K41,"AAAAAFnt+Is=")</f>
        <v>1</v>
      </c>
      <c r="EK27" s="1" t="b">
        <f>AND(G_Anse_La_Raye_and_Canaries!L41,"AAAAAFnt+Iw=")</f>
        <v>1</v>
      </c>
      <c r="EL27" s="1" t="e">
        <f>IF(G_Anse_La_Raye_and_Canaries!A:A,"AAAAAFnt+I0=",0)</f>
        <v>#VALUE!</v>
      </c>
      <c r="EM27" s="1" t="str">
        <f>IF(G_Anse_La_Raye_and_Canaries!B:B,"AAAAAFnt+I4=",0)</f>
        <v>AAAAAFnt+I4=</v>
      </c>
      <c r="EN27" s="1" t="str">
        <f>IF(G_Anse_La_Raye_and_Canaries!C:C,"AAAAAFnt+I8=",0)</f>
        <v>AAAAAFnt+I8=</v>
      </c>
      <c r="EO27" s="1" t="str">
        <f>IF(G_Anse_La_Raye_and_Canaries!D:D,"AAAAAFnt+JA=",0)</f>
        <v>AAAAAFnt+JA=</v>
      </c>
      <c r="EP27" s="1" t="str">
        <f>IF(G_Anse_La_Raye_and_Canaries!E:E,"AAAAAFnt+JE=",0)</f>
        <v>AAAAAFnt+JE=</v>
      </c>
      <c r="EQ27" s="1" t="str">
        <f>IF(G_Anse_La_Raye_and_Canaries!F:F,"AAAAAFnt+JI=",0)</f>
        <v>AAAAAFnt+JI=</v>
      </c>
      <c r="ER27" s="1" t="e">
        <f>IF(G_Anse_La_Raye_and_Canaries!#REF!,"AAAAAFnt+JM=",0)</f>
        <v>#REF!</v>
      </c>
      <c r="ES27" s="1" t="e">
        <f>IF(G_Anse_La_Raye_and_Canaries!#REF!,"AAAAAFnt+JQ=",0)</f>
        <v>#REF!</v>
      </c>
      <c r="ET27" s="1" t="e">
        <f>IF(G_Anse_La_Raye_and_Canaries!#REF!,"AAAAAFnt+JU=",0)</f>
        <v>#REF!</v>
      </c>
      <c r="EU27" s="1" t="e">
        <f>IF(G_Anse_La_Raye_and_Canaries!#REF!,"AAAAAFnt+JY=",0)</f>
        <v>#REF!</v>
      </c>
      <c r="EV27" s="1" t="e">
        <f>IF(G_Anse_La_Raye_and_Canaries!#REF!,"AAAAAFnt+Jc=",0)</f>
        <v>#REF!</v>
      </c>
      <c r="EW27" s="1" t="e">
        <f>IF(G_Anse_La_Raye_and_Canaries!#REF!,"AAAAAFnt+Jg=",0)</f>
        <v>#REF!</v>
      </c>
      <c r="EX27" s="1" t="str">
        <f>IF(G_Anse_La_Raye_and_Canaries!G:G,"AAAAAFnt+Jk=",0)</f>
        <v>AAAAAFnt+Jk=</v>
      </c>
      <c r="EY27" s="1" t="str">
        <f>IF(G_Anse_La_Raye_and_Canaries!H:H,"AAAAAFnt+Jo=",0)</f>
        <v>AAAAAFnt+Jo=</v>
      </c>
      <c r="EZ27" s="1" t="str">
        <f>IF(G_Anse_La_Raye_and_Canaries!I:I,"AAAAAFnt+Js=",0)</f>
        <v>AAAAAFnt+Js=</v>
      </c>
      <c r="FA27" s="1" t="str">
        <f>IF(G_Anse_La_Raye_and_Canaries!J:J,"AAAAAFnt+Jw=",0)</f>
        <v>AAAAAFnt+Jw=</v>
      </c>
      <c r="FB27" s="1" t="str">
        <f>IF(G_Anse_La_Raye_and_Canaries!K:K,"AAAAAFnt+J0=",0)</f>
        <v>AAAAAFnt+J0=</v>
      </c>
      <c r="FC27" s="1" t="str">
        <f>IF(G_Anse_La_Raye_and_Canaries!L:L,"AAAAAFnt+J4=",0)</f>
        <v>AAAAAFnt+J4=</v>
      </c>
      <c r="FD27" s="1">
        <f>IF(H_Soufriere!2:2,"AAAAAFnt+J8=",0)</f>
        <v>0</v>
      </c>
      <c r="FE27" s="1" t="e">
        <f>AND(H_Soufriere!A2,"AAAAAFnt+KA=")</f>
        <v>#VALUE!</v>
      </c>
      <c r="FF27" s="1" t="e">
        <f>AND(H_Soufriere!B2,"AAAAAFnt+KE=")</f>
        <v>#VALUE!</v>
      </c>
      <c r="FG27" s="1" t="e">
        <f>AND(H_Soufriere!C2,"AAAAAFnt+KI=")</f>
        <v>#VALUE!</v>
      </c>
      <c r="FH27" s="1" t="e">
        <f>AND(H_Soufriere!D2,"AAAAAFnt+KM=")</f>
        <v>#VALUE!</v>
      </c>
      <c r="FI27" s="1" t="e">
        <f>AND(H_Soufriere!E2,"AAAAAFnt+KQ=")</f>
        <v>#VALUE!</v>
      </c>
      <c r="FJ27" s="1" t="e">
        <f>AND(H_Soufriere!F2,"AAAAAFnt+KU=")</f>
        <v>#VALUE!</v>
      </c>
      <c r="FK27" s="1" t="e">
        <f>AND(H_Soufriere!G2,"AAAAAFnt+KY=")</f>
        <v>#VALUE!</v>
      </c>
      <c r="FL27" s="1" t="e">
        <f>AND(H_Soufriere!H2,"AAAAAFnt+Kc=")</f>
        <v>#VALUE!</v>
      </c>
      <c r="FM27" s="1" t="e">
        <f>AND(H_Soufriere!#REF!,"AAAAAFnt+Kg=")</f>
        <v>#REF!</v>
      </c>
      <c r="FN27" s="1" t="e">
        <f>AND(H_Soufriere!#REF!,"AAAAAFnt+Kk=")</f>
        <v>#REF!</v>
      </c>
      <c r="FO27" s="1" t="e">
        <f>AND(H_Soufriere!I2,"AAAAAFnt+Ko=")</f>
        <v>#VALUE!</v>
      </c>
      <c r="FP27" s="1" t="e">
        <f>AND(H_Soufriere!J2,"AAAAAFnt+Ks=")</f>
        <v>#VALUE!</v>
      </c>
      <c r="FQ27" s="1" t="e">
        <f>AND(H_Soufriere!K2,"AAAAAFnt+Kw=")</f>
        <v>#VALUE!</v>
      </c>
      <c r="FR27" s="1" t="e">
        <f>AND(H_Soufriere!L2,"AAAAAFnt+K0=")</f>
        <v>#VALUE!</v>
      </c>
      <c r="FS27" s="1" t="e">
        <f>AND(H_Soufriere!M2,"AAAAAFnt+K4=")</f>
        <v>#VALUE!</v>
      </c>
      <c r="FT27" s="1" t="e">
        <f>AND(H_Soufriere!N2,"AAAAAFnt+K8=")</f>
        <v>#VALUE!</v>
      </c>
      <c r="FU27" s="1">
        <f>IF(H_Soufriere!3:3,"AAAAAFnt+LA=",0)</f>
        <v>0</v>
      </c>
      <c r="FV27" s="1" t="e">
        <f>AND(H_Soufriere!A3,"AAAAAFnt+LE=")</f>
        <v>#VALUE!</v>
      </c>
      <c r="FW27" s="1" t="e">
        <f>AND(H_Soufriere!B3,"AAAAAFnt+LI=")</f>
        <v>#VALUE!</v>
      </c>
      <c r="FX27" s="1" t="e">
        <f>AND(H_Soufriere!C3,"AAAAAFnt+LM=")</f>
        <v>#VALUE!</v>
      </c>
      <c r="FY27" s="1" t="e">
        <f>AND(H_Soufriere!D3,"AAAAAFnt+LQ=")</f>
        <v>#VALUE!</v>
      </c>
      <c r="FZ27" s="1" t="e">
        <f>AND(H_Soufriere!E3,"AAAAAFnt+LU=")</f>
        <v>#VALUE!</v>
      </c>
      <c r="GA27" s="1" t="e">
        <f>AND(H_Soufriere!F3,"AAAAAFnt+LY=")</f>
        <v>#VALUE!</v>
      </c>
      <c r="GB27" s="1" t="e">
        <f>AND(H_Soufriere!G3,"AAAAAFnt+Lc=")</f>
        <v>#VALUE!</v>
      </c>
      <c r="GC27" s="1" t="e">
        <f>AND(H_Soufriere!H3,"AAAAAFnt+Lg=")</f>
        <v>#VALUE!</v>
      </c>
      <c r="GD27" s="1" t="e">
        <f>AND(H_Soufriere!#REF!,"AAAAAFnt+Lk=")</f>
        <v>#REF!</v>
      </c>
      <c r="GE27" s="1" t="e">
        <f>AND(H_Soufriere!#REF!,"AAAAAFnt+Lo=")</f>
        <v>#REF!</v>
      </c>
      <c r="GF27" s="1" t="e">
        <f>AND(H_Soufriere!I3,"AAAAAFnt+Ls=")</f>
        <v>#VALUE!</v>
      </c>
      <c r="GG27" s="1" t="e">
        <f>AND(H_Soufriere!J3,"AAAAAFnt+Lw=")</f>
        <v>#VALUE!</v>
      </c>
      <c r="GH27" s="1" t="e">
        <f>AND(H_Soufriere!K3,"AAAAAFnt+L0=")</f>
        <v>#VALUE!</v>
      </c>
      <c r="GI27" s="1" t="e">
        <f>AND(H_Soufriere!L3,"AAAAAFnt+L4=")</f>
        <v>#VALUE!</v>
      </c>
      <c r="GJ27" s="1" t="e">
        <f>AND(H_Soufriere!M3,"AAAAAFnt+L8=")</f>
        <v>#VALUE!</v>
      </c>
      <c r="GK27" s="1" t="e">
        <f>AND(H_Soufriere!N3,"AAAAAFnt+MA=")</f>
        <v>#VALUE!</v>
      </c>
      <c r="GL27" s="1">
        <f>IF(H_Soufriere!4:4,"AAAAAFnt+ME=",0)</f>
        <v>0</v>
      </c>
      <c r="GM27" s="1" t="e">
        <f>AND(H_Soufriere!A4,"AAAAAFnt+MI=")</f>
        <v>#VALUE!</v>
      </c>
      <c r="GN27" s="1" t="b">
        <f>AND(H_Soufriere!B4,"AAAAAFnt+MM=")</f>
        <v>1</v>
      </c>
      <c r="GO27" s="1" t="b">
        <f>AND(H_Soufriere!C4,"AAAAAFnt+MQ=")</f>
        <v>1</v>
      </c>
      <c r="GP27" s="1" t="b">
        <f>AND(H_Soufriere!D4,"AAAAAFnt+MU=")</f>
        <v>1</v>
      </c>
      <c r="GQ27" s="1" t="b">
        <f>AND(H_Soufriere!E4,"AAAAAFnt+MY=")</f>
        <v>1</v>
      </c>
      <c r="GR27" s="1" t="b">
        <f>AND(H_Soufriere!F4,"AAAAAFnt+Mc=")</f>
        <v>1</v>
      </c>
      <c r="GS27" s="1" t="b">
        <f>AND(H_Soufriere!G4,"AAAAAFnt+Mg=")</f>
        <v>1</v>
      </c>
      <c r="GT27" s="1" t="b">
        <f>AND(H_Soufriere!H4,"AAAAAFnt+Mk=")</f>
        <v>1</v>
      </c>
      <c r="GU27" s="1" t="e">
        <f>AND(H_Soufriere!#REF!,"AAAAAFnt+Mo=")</f>
        <v>#REF!</v>
      </c>
      <c r="GV27" s="1" t="e">
        <f>AND(H_Soufriere!#REF!,"AAAAAFnt+Ms=")</f>
        <v>#REF!</v>
      </c>
      <c r="GW27" s="1" t="b">
        <f>AND(H_Soufriere!I4,"AAAAAFnt+Mw=")</f>
        <v>1</v>
      </c>
      <c r="GX27" s="1" t="b">
        <f>AND(H_Soufriere!J4,"AAAAAFnt+M0=")</f>
        <v>1</v>
      </c>
      <c r="GY27" s="1" t="b">
        <f>AND(H_Soufriere!K4,"AAAAAFnt+M4=")</f>
        <v>1</v>
      </c>
      <c r="GZ27" s="1" t="b">
        <f>AND(H_Soufriere!L4,"AAAAAFnt+M8=")</f>
        <v>1</v>
      </c>
      <c r="HA27" s="1" t="b">
        <f>AND(H_Soufriere!M4,"AAAAAFnt+NA=")</f>
        <v>1</v>
      </c>
      <c r="HB27" s="1" t="b">
        <f>AND(H_Soufriere!N4,"AAAAAFnt+NE=")</f>
        <v>1</v>
      </c>
      <c r="HC27" s="1">
        <f>IF(H_Soufriere!5:5,"AAAAAFnt+NI=",0)</f>
        <v>0</v>
      </c>
      <c r="HD27" s="1" t="e">
        <f>AND(H_Soufriere!A5,"AAAAAFnt+NM=")</f>
        <v>#VALUE!</v>
      </c>
      <c r="HE27" s="1" t="e">
        <f>AND(H_Soufriere!B5,"AAAAAFnt+NQ=")</f>
        <v>#VALUE!</v>
      </c>
      <c r="HF27" s="1" t="e">
        <f>AND(H_Soufriere!C5,"AAAAAFnt+NU=")</f>
        <v>#VALUE!</v>
      </c>
      <c r="HG27" s="1" t="e">
        <f>AND(H_Soufriere!D5,"AAAAAFnt+NY=")</f>
        <v>#VALUE!</v>
      </c>
      <c r="HH27" s="1" t="e">
        <f>AND(H_Soufriere!E5,"AAAAAFnt+Nc=")</f>
        <v>#VALUE!</v>
      </c>
      <c r="HI27" s="1" t="e">
        <f>AND(H_Soufriere!F5,"AAAAAFnt+Ng=")</f>
        <v>#VALUE!</v>
      </c>
      <c r="HJ27" s="1" t="e">
        <f>AND(H_Soufriere!G5,"AAAAAFnt+Nk=")</f>
        <v>#VALUE!</v>
      </c>
      <c r="HK27" s="1" t="e">
        <f>AND(H_Soufriere!H5,"AAAAAFnt+No=")</f>
        <v>#VALUE!</v>
      </c>
      <c r="HL27" s="1" t="e">
        <f>AND(H_Soufriere!#REF!,"AAAAAFnt+Ns=")</f>
        <v>#REF!</v>
      </c>
      <c r="HM27" s="1" t="e">
        <f>AND(H_Soufriere!#REF!,"AAAAAFnt+Nw=")</f>
        <v>#REF!</v>
      </c>
      <c r="HN27" s="1" t="e">
        <f>AND(H_Soufriere!I5,"AAAAAFnt+N0=")</f>
        <v>#VALUE!</v>
      </c>
      <c r="HO27" s="1" t="e">
        <f>AND(H_Soufriere!J5,"AAAAAFnt+N4=")</f>
        <v>#VALUE!</v>
      </c>
      <c r="HP27" s="1" t="e">
        <f>AND(H_Soufriere!K5,"AAAAAFnt+N8=")</f>
        <v>#VALUE!</v>
      </c>
      <c r="HQ27" s="1" t="e">
        <f>AND(H_Soufriere!L5,"AAAAAFnt+OA=")</f>
        <v>#VALUE!</v>
      </c>
      <c r="HR27" s="1" t="e">
        <f>AND(H_Soufriere!M5,"AAAAAFnt+OE=")</f>
        <v>#VALUE!</v>
      </c>
      <c r="HS27" s="1" t="e">
        <f>AND(H_Soufriere!N5,"AAAAAFnt+OI=")</f>
        <v>#VALUE!</v>
      </c>
      <c r="HT27" s="1" t="e">
        <f t="shared" ref="HT27:IJ27" si="6">IF(H_Soufriere!#REF!,"AAAAAFnt+OM=",0)</f>
        <v>#REF!</v>
      </c>
      <c r="HU27" s="1" t="e">
        <f t="shared" si="6"/>
        <v>#REF!</v>
      </c>
      <c r="HV27" s="1" t="e">
        <f t="shared" si="6"/>
        <v>#REF!</v>
      </c>
      <c r="HW27" s="1" t="e">
        <f t="shared" si="6"/>
        <v>#REF!</v>
      </c>
      <c r="HX27" s="1" t="e">
        <f t="shared" si="6"/>
        <v>#REF!</v>
      </c>
      <c r="HY27" s="1" t="e">
        <f t="shared" si="6"/>
        <v>#REF!</v>
      </c>
      <c r="HZ27" s="1" t="e">
        <f t="shared" si="6"/>
        <v>#REF!</v>
      </c>
      <c r="IA27" s="1" t="e">
        <f t="shared" si="6"/>
        <v>#REF!</v>
      </c>
      <c r="IB27" s="1" t="e">
        <f t="shared" si="6"/>
        <v>#REF!</v>
      </c>
      <c r="IC27" s="1" t="e">
        <f t="shared" si="6"/>
        <v>#REF!</v>
      </c>
      <c r="ID27" s="1" t="e">
        <f t="shared" si="6"/>
        <v>#REF!</v>
      </c>
      <c r="IE27" s="1" t="e">
        <f t="shared" si="6"/>
        <v>#REF!</v>
      </c>
      <c r="IF27" s="1" t="e">
        <f t="shared" si="6"/>
        <v>#REF!</v>
      </c>
      <c r="IG27" s="1" t="e">
        <f t="shared" si="6"/>
        <v>#REF!</v>
      </c>
      <c r="IH27" s="1" t="e">
        <f t="shared" si="6"/>
        <v>#REF!</v>
      </c>
      <c r="II27" s="1" t="e">
        <f t="shared" si="6"/>
        <v>#REF!</v>
      </c>
      <c r="IJ27" s="1" t="e">
        <f t="shared" si="6"/>
        <v>#REF!</v>
      </c>
      <c r="IK27" s="1">
        <f>IF(H_Soufriere!6:6,"AAAAAFnt+PQ=",0)</f>
        <v>0</v>
      </c>
      <c r="IL27" s="1" t="e">
        <f>AND(H_Soufriere!A6,"AAAAAFnt+PU=")</f>
        <v>#VALUE!</v>
      </c>
      <c r="IM27" s="1" t="b">
        <f>AND(H_Soufriere!B6,"AAAAAFnt+PY=")</f>
        <v>1</v>
      </c>
      <c r="IN27" s="1" t="b">
        <f>AND(H_Soufriere!C6,"AAAAAFnt+Pc=")</f>
        <v>1</v>
      </c>
      <c r="IO27" s="1" t="b">
        <f>AND(H_Soufriere!D6,"AAAAAFnt+Pg=")</f>
        <v>1</v>
      </c>
      <c r="IP27" s="1" t="b">
        <f>AND(H_Soufriere!E6,"AAAAAFnt+Pk=")</f>
        <v>1</v>
      </c>
      <c r="IQ27" s="1" t="b">
        <f>AND(H_Soufriere!F6,"AAAAAFnt+Po=")</f>
        <v>1</v>
      </c>
      <c r="IR27" s="1" t="b">
        <f>AND(H_Soufriere!G6,"AAAAAFnt+Ps=")</f>
        <v>0</v>
      </c>
      <c r="IS27" s="1" t="b">
        <f>AND(H_Soufriere!H6,"AAAAAFnt+Pw=")</f>
        <v>0</v>
      </c>
      <c r="IT27" s="1" t="e">
        <f>AND(H_Soufriere!#REF!,"AAAAAFnt+P0=")</f>
        <v>#REF!</v>
      </c>
      <c r="IU27" s="1" t="e">
        <f>AND(H_Soufriere!#REF!,"AAAAAFnt+P4=")</f>
        <v>#REF!</v>
      </c>
      <c r="IV27" s="1" t="b">
        <f>AND(H_Soufriere!I6,"AAAAAFnt+P8=")</f>
        <v>1</v>
      </c>
    </row>
    <row r="28" spans="1:256" ht="12" customHeight="1" x14ac:dyDescent="0.2">
      <c r="A28" s="1" t="b">
        <f>AND(H_Soufriere!J6,"AAAAADn3fwA=")</f>
        <v>1</v>
      </c>
      <c r="B28" s="1" t="b">
        <f>AND(H_Soufriere!K6,"AAAAADn3fwE=")</f>
        <v>1</v>
      </c>
      <c r="C28" s="1" t="b">
        <f>AND(H_Soufriere!L6,"AAAAADn3fwI=")</f>
        <v>1</v>
      </c>
      <c r="D28" s="1" t="b">
        <f>AND(H_Soufriere!M6,"AAAAADn3fwM=")</f>
        <v>1</v>
      </c>
      <c r="E28" s="1" t="b">
        <f>AND(H_Soufriere!N6,"AAAAADn3fwQ=")</f>
        <v>1</v>
      </c>
      <c r="F28" s="1" t="str">
        <f>IF(H_Soufriere!7:7,"AAAAADn3fwU=",0)</f>
        <v>AAAAADn3fwU=</v>
      </c>
      <c r="G28" s="1" t="e">
        <f>AND(H_Soufriere!A7,"AAAAADn3fwY=")</f>
        <v>#VALUE!</v>
      </c>
      <c r="H28" s="1" t="b">
        <f>AND(H_Soufriere!B7,"AAAAADn3fwc=")</f>
        <v>1</v>
      </c>
      <c r="I28" s="1" t="b">
        <f>AND(H_Soufriere!C7,"AAAAADn3fwg=")</f>
        <v>1</v>
      </c>
      <c r="J28" s="1" t="b">
        <f>AND(H_Soufriere!D7,"AAAAADn3fwk=")</f>
        <v>1</v>
      </c>
      <c r="K28" s="1" t="b">
        <f>AND(H_Soufriere!E7,"AAAAADn3fwo=")</f>
        <v>1</v>
      </c>
      <c r="L28" s="1" t="b">
        <f>AND(H_Soufriere!F7,"AAAAADn3fws=")</f>
        <v>1</v>
      </c>
      <c r="M28" s="1" t="b">
        <f>AND(H_Soufriere!G7,"AAAAADn3fww=")</f>
        <v>0</v>
      </c>
      <c r="N28" s="1" t="b">
        <f>AND(H_Soufriere!H7,"AAAAADn3fw0=")</f>
        <v>0</v>
      </c>
      <c r="O28" s="1" t="e">
        <f>AND(H_Soufriere!#REF!,"AAAAADn3fw4=")</f>
        <v>#REF!</v>
      </c>
      <c r="P28" s="1" t="e">
        <f>AND(H_Soufriere!#REF!,"AAAAADn3fw8=")</f>
        <v>#REF!</v>
      </c>
      <c r="Q28" s="1" t="b">
        <f>AND(H_Soufriere!I7,"AAAAADn3fxA=")</f>
        <v>1</v>
      </c>
      <c r="R28" s="1" t="b">
        <f>AND(H_Soufriere!J7,"AAAAADn3fxE=")</f>
        <v>1</v>
      </c>
      <c r="S28" s="1" t="b">
        <f>AND(H_Soufriere!K7,"AAAAADn3fxI=")</f>
        <v>1</v>
      </c>
      <c r="T28" s="1" t="b">
        <f>AND(H_Soufriere!L7,"AAAAADn3fxM=")</f>
        <v>1</v>
      </c>
      <c r="U28" s="1" t="b">
        <f>AND(H_Soufriere!M7,"AAAAADn3fxQ=")</f>
        <v>1</v>
      </c>
      <c r="V28" s="1" t="b">
        <f>AND(H_Soufriere!N7,"AAAAADn3fxU=")</f>
        <v>1</v>
      </c>
      <c r="W28" s="1">
        <f>IF(H_Soufriere!8:8,"AAAAADn3fxY=",0)</f>
        <v>0</v>
      </c>
      <c r="X28" s="1" t="e">
        <f>AND(H_Soufriere!A8,"AAAAADn3fxc=")</f>
        <v>#VALUE!</v>
      </c>
      <c r="Y28" s="1" t="b">
        <f>AND(H_Soufriere!B8,"AAAAADn3fxg=")</f>
        <v>1</v>
      </c>
      <c r="Z28" s="1" t="b">
        <f>AND(H_Soufriere!C8,"AAAAADn3fxk=")</f>
        <v>1</v>
      </c>
      <c r="AA28" s="1" t="b">
        <f>AND(H_Soufriere!D8,"AAAAADn3fxo=")</f>
        <v>1</v>
      </c>
      <c r="AB28" s="1" t="b">
        <f>AND(H_Soufriere!E8,"AAAAADn3fxs=")</f>
        <v>1</v>
      </c>
      <c r="AC28" s="1" t="b">
        <f>AND(H_Soufriere!F8,"AAAAADn3fxw=")</f>
        <v>1</v>
      </c>
      <c r="AD28" s="1" t="b">
        <f>AND(H_Soufriere!G8,"AAAAADn3fx0=")</f>
        <v>0</v>
      </c>
      <c r="AE28" s="1" t="b">
        <f>AND(H_Soufriere!H8,"AAAAADn3fx4=")</f>
        <v>0</v>
      </c>
      <c r="AF28" s="1" t="e">
        <f>AND(H_Soufriere!#REF!,"AAAAADn3fx8=")</f>
        <v>#REF!</v>
      </c>
      <c r="AG28" s="1" t="e">
        <f>AND(H_Soufriere!#REF!,"AAAAADn3fyA=")</f>
        <v>#REF!</v>
      </c>
      <c r="AH28" s="1" t="b">
        <f>AND(H_Soufriere!I8,"AAAAADn3fyE=")</f>
        <v>1</v>
      </c>
      <c r="AI28" s="1" t="b">
        <f>AND(H_Soufriere!J8,"AAAAADn3fyI=")</f>
        <v>1</v>
      </c>
      <c r="AJ28" s="1" t="b">
        <f>AND(H_Soufriere!K8,"AAAAADn3fyM=")</f>
        <v>1</v>
      </c>
      <c r="AK28" s="1" t="b">
        <f>AND(H_Soufriere!L8,"AAAAADn3fyQ=")</f>
        <v>1</v>
      </c>
      <c r="AL28" s="1" t="b">
        <f>AND(H_Soufriere!M8,"AAAAADn3fyU=")</f>
        <v>1</v>
      </c>
      <c r="AM28" s="1" t="b">
        <f>AND(H_Soufriere!N8,"AAAAADn3fyY=")</f>
        <v>1</v>
      </c>
      <c r="AN28" s="1">
        <f>IF(H_Soufriere!9:9,"AAAAADn3fyc=",0)</f>
        <v>0</v>
      </c>
      <c r="AO28" s="1" t="e">
        <f>AND(H_Soufriere!A9,"AAAAADn3fyg=")</f>
        <v>#VALUE!</v>
      </c>
      <c r="AP28" s="1" t="b">
        <f>AND(H_Soufriere!B9,"AAAAADn3fyk=")</f>
        <v>1</v>
      </c>
      <c r="AQ28" s="1" t="b">
        <f>AND(H_Soufriere!C9,"AAAAADn3fyo=")</f>
        <v>1</v>
      </c>
      <c r="AR28" s="1" t="b">
        <f>AND(H_Soufriere!D9,"AAAAADn3fys=")</f>
        <v>1</v>
      </c>
      <c r="AS28" s="1" t="b">
        <f>AND(H_Soufriere!E9,"AAAAADn3fyw=")</f>
        <v>1</v>
      </c>
      <c r="AT28" s="1" t="b">
        <f>AND(H_Soufriere!F9,"AAAAADn3fy0=")</f>
        <v>1</v>
      </c>
      <c r="AU28" s="1" t="b">
        <f>AND(H_Soufriere!G9,"AAAAADn3fy4=")</f>
        <v>0</v>
      </c>
      <c r="AV28" s="1" t="b">
        <f>AND(H_Soufriere!H9,"AAAAADn3fy8=")</f>
        <v>0</v>
      </c>
      <c r="AW28" s="1" t="e">
        <f>AND(H_Soufriere!#REF!,"AAAAADn3fzA=")</f>
        <v>#REF!</v>
      </c>
      <c r="AX28" s="1" t="e">
        <f>AND(H_Soufriere!#REF!,"AAAAADn3fzE=")</f>
        <v>#REF!</v>
      </c>
      <c r="AY28" s="1" t="b">
        <f>AND(H_Soufriere!I9,"AAAAADn3fzI=")</f>
        <v>1</v>
      </c>
      <c r="AZ28" s="1" t="b">
        <f>AND(H_Soufriere!J9,"AAAAADn3fzM=")</f>
        <v>1</v>
      </c>
      <c r="BA28" s="1" t="b">
        <f>AND(H_Soufriere!K9,"AAAAADn3fzQ=")</f>
        <v>1</v>
      </c>
      <c r="BB28" s="1" t="b">
        <f>AND(H_Soufriere!L9,"AAAAADn3fzU=")</f>
        <v>1</v>
      </c>
      <c r="BC28" s="1" t="b">
        <f>AND(H_Soufriere!M9,"AAAAADn3fzY=")</f>
        <v>1</v>
      </c>
      <c r="BD28" s="1" t="b">
        <f>AND(H_Soufriere!N9,"AAAAADn3fzc=")</f>
        <v>1</v>
      </c>
      <c r="BE28" s="1">
        <f>IF(H_Soufriere!10:10,"AAAAADn3fzg=",0)</f>
        <v>0</v>
      </c>
      <c r="BF28" s="1" t="e">
        <f>AND(H_Soufriere!A10,"AAAAADn3fzk=")</f>
        <v>#VALUE!</v>
      </c>
      <c r="BG28" s="1" t="b">
        <f>AND(H_Soufriere!B10,"AAAAADn3fzo=")</f>
        <v>1</v>
      </c>
      <c r="BH28" s="1" t="b">
        <f>AND(H_Soufriere!C10,"AAAAADn3fzs=")</f>
        <v>1</v>
      </c>
      <c r="BI28" s="1" t="b">
        <f>AND(H_Soufriere!D10,"AAAAADn3fzw=")</f>
        <v>1</v>
      </c>
      <c r="BJ28" s="1" t="b">
        <f>AND(H_Soufriere!E10,"AAAAADn3fz0=")</f>
        <v>1</v>
      </c>
      <c r="BK28" s="1" t="b">
        <f>AND(H_Soufriere!F10,"AAAAADn3fz4=")</f>
        <v>1</v>
      </c>
      <c r="BL28" s="1" t="b">
        <f>AND(H_Soufriere!G10,"AAAAADn3fz8=")</f>
        <v>0</v>
      </c>
      <c r="BM28" s="1" t="b">
        <f>AND(H_Soufriere!H10,"AAAAADn3f0A=")</f>
        <v>0</v>
      </c>
      <c r="BN28" s="1" t="e">
        <f>AND(H_Soufriere!#REF!,"AAAAADn3f0E=")</f>
        <v>#REF!</v>
      </c>
      <c r="BO28" s="1" t="e">
        <f>AND(H_Soufriere!#REF!,"AAAAADn3f0I=")</f>
        <v>#REF!</v>
      </c>
      <c r="BP28" s="1" t="b">
        <f>AND(H_Soufriere!I10,"AAAAADn3f0M=")</f>
        <v>1</v>
      </c>
      <c r="BQ28" s="1" t="b">
        <f>AND(H_Soufriere!J10,"AAAAADn3f0Q=")</f>
        <v>1</v>
      </c>
      <c r="BR28" s="1" t="b">
        <f>AND(H_Soufriere!K10,"AAAAADn3f0U=")</f>
        <v>1</v>
      </c>
      <c r="BS28" s="1" t="b">
        <f>AND(H_Soufriere!L10,"AAAAADn3f0Y=")</f>
        <v>1</v>
      </c>
      <c r="BT28" s="1" t="b">
        <f>AND(H_Soufriere!M10,"AAAAADn3f0c=")</f>
        <v>1</v>
      </c>
      <c r="BU28" s="1" t="b">
        <f>AND(H_Soufriere!N10,"AAAAADn3f0g=")</f>
        <v>1</v>
      </c>
      <c r="BV28" s="1">
        <f>IF(H_Soufriere!11:11,"AAAAADn3f0k=",0)</f>
        <v>0</v>
      </c>
      <c r="BW28" s="1" t="e">
        <f>AND(H_Soufriere!A11,"AAAAADn3f0o=")</f>
        <v>#VALUE!</v>
      </c>
      <c r="BX28" s="1" t="b">
        <f>AND(H_Soufriere!B11,"AAAAADn3f0s=")</f>
        <v>1</v>
      </c>
      <c r="BY28" s="1" t="b">
        <f>AND(H_Soufriere!C11,"AAAAADn3f0w=")</f>
        <v>1</v>
      </c>
      <c r="BZ28" s="1" t="b">
        <f>AND(H_Soufriere!D11,"AAAAADn3f00=")</f>
        <v>1</v>
      </c>
      <c r="CA28" s="1" t="b">
        <f>AND(H_Soufriere!E11,"AAAAADn3f04=")</f>
        <v>1</v>
      </c>
      <c r="CB28" s="1" t="b">
        <f>AND(H_Soufriere!F11,"AAAAADn3f08=")</f>
        <v>1</v>
      </c>
      <c r="CC28" s="1" t="b">
        <f>AND(H_Soufriere!G11,"AAAAADn3f1A=")</f>
        <v>0</v>
      </c>
      <c r="CD28" s="1" t="b">
        <f>AND(H_Soufriere!H11,"AAAAADn3f1E=")</f>
        <v>0</v>
      </c>
      <c r="CE28" s="1" t="e">
        <f>AND(H_Soufriere!#REF!,"AAAAADn3f1I=")</f>
        <v>#REF!</v>
      </c>
      <c r="CF28" s="1" t="e">
        <f>AND(H_Soufriere!#REF!,"AAAAADn3f1M=")</f>
        <v>#REF!</v>
      </c>
      <c r="CG28" s="1" t="b">
        <f>AND(H_Soufriere!I11,"AAAAADn3f1Q=")</f>
        <v>1</v>
      </c>
      <c r="CH28" s="1" t="b">
        <f>AND(H_Soufriere!J11,"AAAAADn3f1U=")</f>
        <v>1</v>
      </c>
      <c r="CI28" s="1" t="b">
        <f>AND(H_Soufriere!K11,"AAAAADn3f1Y=")</f>
        <v>1</v>
      </c>
      <c r="CJ28" s="1" t="b">
        <f>AND(H_Soufriere!L11,"AAAAADn3f1c=")</f>
        <v>1</v>
      </c>
      <c r="CK28" s="1" t="b">
        <f>AND(H_Soufriere!M11,"AAAAADn3f1g=")</f>
        <v>1</v>
      </c>
      <c r="CL28" s="1" t="b">
        <f>AND(H_Soufriere!N11,"AAAAADn3f1k=")</f>
        <v>1</v>
      </c>
      <c r="CM28" s="1">
        <f>IF(H_Soufriere!12:12,"AAAAADn3f1o=",0)</f>
        <v>0</v>
      </c>
      <c r="CN28" s="1" t="e">
        <f>AND(H_Soufriere!A12,"AAAAADn3f1s=")</f>
        <v>#VALUE!</v>
      </c>
      <c r="CO28" s="1" t="b">
        <f>AND(H_Soufriere!B12,"AAAAADn3f1w=")</f>
        <v>1</v>
      </c>
      <c r="CP28" s="1" t="b">
        <f>AND(H_Soufriere!C12,"AAAAADn3f10=")</f>
        <v>1</v>
      </c>
      <c r="CQ28" s="1" t="b">
        <f>AND(H_Soufriere!D12,"AAAAADn3f14=")</f>
        <v>1</v>
      </c>
      <c r="CR28" s="1" t="b">
        <f>AND(H_Soufriere!E12,"AAAAADn3f18=")</f>
        <v>1</v>
      </c>
      <c r="CS28" s="1" t="b">
        <f>AND(H_Soufriere!F12,"AAAAADn3f2A=")</f>
        <v>1</v>
      </c>
      <c r="CT28" s="1" t="b">
        <f>AND(H_Soufriere!G12,"AAAAADn3f2E=")</f>
        <v>0</v>
      </c>
      <c r="CU28" s="1" t="b">
        <f>AND(H_Soufriere!H12,"AAAAADn3f2I=")</f>
        <v>0</v>
      </c>
      <c r="CV28" s="1" t="e">
        <f>AND(H_Soufriere!#REF!,"AAAAADn3f2M=")</f>
        <v>#REF!</v>
      </c>
      <c r="CW28" s="1" t="e">
        <f>AND(H_Soufriere!#REF!,"AAAAADn3f2Q=")</f>
        <v>#REF!</v>
      </c>
      <c r="CX28" s="1" t="b">
        <f>AND(H_Soufriere!I12,"AAAAADn3f2U=")</f>
        <v>1</v>
      </c>
      <c r="CY28" s="1" t="b">
        <f>AND(H_Soufriere!J12,"AAAAADn3f2Y=")</f>
        <v>1</v>
      </c>
      <c r="CZ28" s="1" t="b">
        <f>AND(H_Soufriere!K12,"AAAAADn3f2c=")</f>
        <v>1</v>
      </c>
      <c r="DA28" s="1" t="b">
        <f>AND(H_Soufriere!L12,"AAAAADn3f2g=")</f>
        <v>1</v>
      </c>
      <c r="DB28" s="1" t="b">
        <f>AND(H_Soufriere!M12,"AAAAADn3f2k=")</f>
        <v>1</v>
      </c>
      <c r="DC28" s="1" t="b">
        <f>AND(H_Soufriere!N12,"AAAAADn3f2o=")</f>
        <v>1</v>
      </c>
      <c r="DD28" s="1">
        <f>IF(H_Soufriere!13:13,"AAAAADn3f2s=",0)</f>
        <v>0</v>
      </c>
      <c r="DE28" s="1" t="e">
        <f>AND(H_Soufriere!A13,"AAAAADn3f2w=")</f>
        <v>#VALUE!</v>
      </c>
      <c r="DF28" s="1" t="b">
        <f>AND(H_Soufriere!B13,"AAAAADn3f20=")</f>
        <v>1</v>
      </c>
      <c r="DG28" s="1" t="b">
        <f>AND(H_Soufriere!C13,"AAAAADn3f24=")</f>
        <v>1</v>
      </c>
      <c r="DH28" s="1" t="b">
        <f>AND(H_Soufriere!D13,"AAAAADn3f28=")</f>
        <v>1</v>
      </c>
      <c r="DI28" s="1" t="b">
        <f>AND(H_Soufriere!E13,"AAAAADn3f3A=")</f>
        <v>1</v>
      </c>
      <c r="DJ28" s="1" t="b">
        <f>AND(H_Soufriere!F13,"AAAAADn3f3E=")</f>
        <v>1</v>
      </c>
      <c r="DK28" s="1" t="b">
        <f>AND(H_Soufriere!G13,"AAAAADn3f3I=")</f>
        <v>0</v>
      </c>
      <c r="DL28" s="1" t="b">
        <f>AND(H_Soufriere!H13,"AAAAADn3f3M=")</f>
        <v>0</v>
      </c>
      <c r="DM28" s="1" t="e">
        <f>AND(H_Soufriere!#REF!,"AAAAADn3f3Q=")</f>
        <v>#REF!</v>
      </c>
      <c r="DN28" s="1" t="e">
        <f>AND(H_Soufriere!#REF!,"AAAAADn3f3U=")</f>
        <v>#REF!</v>
      </c>
      <c r="DO28" s="1" t="b">
        <f>AND(H_Soufriere!I13,"AAAAADn3f3Y=")</f>
        <v>1</v>
      </c>
      <c r="DP28" s="1" t="b">
        <f>AND(H_Soufriere!J13,"AAAAADn3f3c=")</f>
        <v>1</v>
      </c>
      <c r="DQ28" s="1" t="b">
        <f>AND(H_Soufriere!K13,"AAAAADn3f3g=")</f>
        <v>1</v>
      </c>
      <c r="DR28" s="1" t="b">
        <f>AND(H_Soufriere!L13,"AAAAADn3f3k=")</f>
        <v>1</v>
      </c>
      <c r="DS28" s="1" t="b">
        <f>AND(H_Soufriere!M13,"AAAAADn3f3o=")</f>
        <v>1</v>
      </c>
      <c r="DT28" s="1" t="b">
        <f>AND(H_Soufriere!N13,"AAAAADn3f3s=")</f>
        <v>1</v>
      </c>
      <c r="DU28" s="1">
        <f>IF(H_Soufriere!15:15,"AAAAADn3f3w=",0)</f>
        <v>0</v>
      </c>
      <c r="DV28" s="1" t="e">
        <f>AND(H_Soufriere!A15,"AAAAADn3f30=")</f>
        <v>#VALUE!</v>
      </c>
      <c r="DW28" s="1" t="e">
        <f>AND(H_Soufriere!B15,"AAAAADn3f34=")</f>
        <v>#VALUE!</v>
      </c>
      <c r="DX28" s="1" t="e">
        <f>AND(H_Soufriere!C15,"AAAAADn3f38=")</f>
        <v>#VALUE!</v>
      </c>
      <c r="DY28" s="1" t="e">
        <f>AND(H_Soufriere!D15,"AAAAADn3f4A=")</f>
        <v>#VALUE!</v>
      </c>
      <c r="DZ28" s="1" t="e">
        <f>AND(H_Soufriere!E15,"AAAAADn3f4E=")</f>
        <v>#VALUE!</v>
      </c>
      <c r="EA28" s="1" t="e">
        <f>AND(H_Soufriere!F15,"AAAAADn3f4I=")</f>
        <v>#VALUE!</v>
      </c>
      <c r="EB28" s="1" t="e">
        <f>AND(H_Soufriere!G15,"AAAAADn3f4M=")</f>
        <v>#VALUE!</v>
      </c>
      <c r="EC28" s="1" t="e">
        <f>AND(H_Soufriere!H15,"AAAAADn3f4Q=")</f>
        <v>#VALUE!</v>
      </c>
      <c r="ED28" s="1" t="e">
        <f>AND(H_Soufriere!#REF!,"AAAAADn3f4U=")</f>
        <v>#REF!</v>
      </c>
      <c r="EE28" s="1" t="e">
        <f>AND(H_Soufriere!#REF!,"AAAAADn3f4Y=")</f>
        <v>#REF!</v>
      </c>
      <c r="EF28" s="1" t="e">
        <f>AND(H_Soufriere!I15,"AAAAADn3f4c=")</f>
        <v>#VALUE!</v>
      </c>
      <c r="EG28" s="1" t="e">
        <f>AND(H_Soufriere!J15,"AAAAADn3f4g=")</f>
        <v>#VALUE!</v>
      </c>
      <c r="EH28" s="1" t="e">
        <f>AND(H_Soufriere!K15,"AAAAADn3f4k=")</f>
        <v>#VALUE!</v>
      </c>
      <c r="EI28" s="1" t="e">
        <f>AND(H_Soufriere!L15,"AAAAADn3f4o=")</f>
        <v>#VALUE!</v>
      </c>
      <c r="EJ28" s="1" t="e">
        <f>AND(H_Soufriere!M15,"AAAAADn3f4s=")</f>
        <v>#VALUE!</v>
      </c>
      <c r="EK28" s="1" t="e">
        <f>AND(H_Soufriere!N15,"AAAAADn3f4w=")</f>
        <v>#VALUE!</v>
      </c>
      <c r="EL28" s="1" t="e">
        <f t="shared" ref="EL28:FB28" si="7">IF(H_Soufriere!#REF!,"AAAAADn3f40=",0)</f>
        <v>#REF!</v>
      </c>
      <c r="EM28" s="1" t="e">
        <f t="shared" si="7"/>
        <v>#REF!</v>
      </c>
      <c r="EN28" s="1" t="e">
        <f t="shared" si="7"/>
        <v>#REF!</v>
      </c>
      <c r="EO28" s="1" t="e">
        <f t="shared" si="7"/>
        <v>#REF!</v>
      </c>
      <c r="EP28" s="1" t="e">
        <f t="shared" si="7"/>
        <v>#REF!</v>
      </c>
      <c r="EQ28" s="1" t="e">
        <f t="shared" si="7"/>
        <v>#REF!</v>
      </c>
      <c r="ER28" s="1" t="e">
        <f t="shared" si="7"/>
        <v>#REF!</v>
      </c>
      <c r="ES28" s="1" t="e">
        <f t="shared" si="7"/>
        <v>#REF!</v>
      </c>
      <c r="ET28" s="1" t="e">
        <f t="shared" si="7"/>
        <v>#REF!</v>
      </c>
      <c r="EU28" s="1" t="e">
        <f t="shared" si="7"/>
        <v>#REF!</v>
      </c>
      <c r="EV28" s="1" t="e">
        <f t="shared" si="7"/>
        <v>#REF!</v>
      </c>
      <c r="EW28" s="1" t="e">
        <f t="shared" si="7"/>
        <v>#REF!</v>
      </c>
      <c r="EX28" s="1" t="e">
        <f t="shared" si="7"/>
        <v>#REF!</v>
      </c>
      <c r="EY28" s="1" t="e">
        <f t="shared" si="7"/>
        <v>#REF!</v>
      </c>
      <c r="EZ28" s="1" t="e">
        <f t="shared" si="7"/>
        <v>#REF!</v>
      </c>
      <c r="FA28" s="1" t="e">
        <f t="shared" si="7"/>
        <v>#REF!</v>
      </c>
      <c r="FB28" s="1" t="e">
        <f t="shared" si="7"/>
        <v>#REF!</v>
      </c>
      <c r="FC28" s="1">
        <f>IF(H_Soufriere!16:16,"AAAAADn3f54=",0)</f>
        <v>0</v>
      </c>
      <c r="FD28" s="1" t="e">
        <f>AND(H_Soufriere!A16,"AAAAADn3f58=")</f>
        <v>#VALUE!</v>
      </c>
      <c r="FE28" s="1" t="b">
        <f>AND(H_Soufriere!B16,"AAAAADn3f6A=")</f>
        <v>1</v>
      </c>
      <c r="FF28" s="1" t="b">
        <f>AND(H_Soufriere!C16,"AAAAADn3f6E=")</f>
        <v>1</v>
      </c>
      <c r="FG28" s="1" t="b">
        <f>AND(H_Soufriere!D16,"AAAAADn3f6I=")</f>
        <v>1</v>
      </c>
      <c r="FH28" s="1" t="b">
        <f>AND(H_Soufriere!E16,"AAAAADn3f6M=")</f>
        <v>1</v>
      </c>
      <c r="FI28" s="1" t="b">
        <f>AND(H_Soufriere!F16,"AAAAADn3f6Q=")</f>
        <v>1</v>
      </c>
      <c r="FJ28" s="1" t="b">
        <f>AND(H_Soufriere!G16,"AAAAADn3f6U=")</f>
        <v>0</v>
      </c>
      <c r="FK28" s="1" t="b">
        <f>AND(H_Soufriere!H16,"AAAAADn3f6Y=")</f>
        <v>0</v>
      </c>
      <c r="FL28" s="1" t="e">
        <f>AND(H_Soufriere!#REF!,"AAAAADn3f6c=")</f>
        <v>#REF!</v>
      </c>
      <c r="FM28" s="1" t="e">
        <f>AND(H_Soufriere!#REF!,"AAAAADn3f6g=")</f>
        <v>#REF!</v>
      </c>
      <c r="FN28" s="1" t="b">
        <f>AND(H_Soufriere!I16,"AAAAADn3f6k=")</f>
        <v>1</v>
      </c>
      <c r="FO28" s="1" t="b">
        <f>AND(H_Soufriere!J16,"AAAAADn3f6o=")</f>
        <v>1</v>
      </c>
      <c r="FP28" s="1" t="b">
        <f>AND(H_Soufriere!K16,"AAAAADn3f6s=")</f>
        <v>1</v>
      </c>
      <c r="FQ28" s="1" t="b">
        <f>AND(H_Soufriere!L16,"AAAAADn3f6w=")</f>
        <v>1</v>
      </c>
      <c r="FR28" s="1" t="b">
        <f>AND(H_Soufriere!M16,"AAAAADn3f60=")</f>
        <v>1</v>
      </c>
      <c r="FS28" s="1" t="b">
        <f>AND(H_Soufriere!N16,"AAAAADn3f64=")</f>
        <v>1</v>
      </c>
      <c r="FT28" s="1">
        <f>IF(H_Soufriere!17:17,"AAAAADn3f68=",0)</f>
        <v>0</v>
      </c>
      <c r="FU28" s="1" t="e">
        <f>AND(H_Soufriere!A17,"AAAAADn3f7A=")</f>
        <v>#VALUE!</v>
      </c>
      <c r="FV28" s="1" t="b">
        <f>AND(H_Soufriere!B17,"AAAAADn3f7E=")</f>
        <v>1</v>
      </c>
      <c r="FW28" s="1" t="b">
        <f>AND(H_Soufriere!C17,"AAAAADn3f7I=")</f>
        <v>1</v>
      </c>
      <c r="FX28" s="1" t="b">
        <f>AND(H_Soufriere!D17,"AAAAADn3f7M=")</f>
        <v>1</v>
      </c>
      <c r="FY28" s="1" t="b">
        <f>AND(H_Soufriere!E17,"AAAAADn3f7Q=")</f>
        <v>1</v>
      </c>
      <c r="FZ28" s="1" t="b">
        <f>AND(H_Soufriere!F17,"AAAAADn3f7U=")</f>
        <v>1</v>
      </c>
      <c r="GA28" s="1" t="b">
        <f>AND(H_Soufriere!G17,"AAAAADn3f7Y=")</f>
        <v>0</v>
      </c>
      <c r="GB28" s="1" t="b">
        <f>AND(H_Soufriere!H17,"AAAAADn3f7c=")</f>
        <v>0</v>
      </c>
      <c r="GC28" s="1" t="e">
        <f>AND(H_Soufriere!#REF!,"AAAAADn3f7g=")</f>
        <v>#REF!</v>
      </c>
      <c r="GD28" s="1" t="e">
        <f>AND(H_Soufriere!#REF!,"AAAAADn3f7k=")</f>
        <v>#REF!</v>
      </c>
      <c r="GE28" s="1" t="b">
        <f>AND(H_Soufriere!I17,"AAAAADn3f7o=")</f>
        <v>1</v>
      </c>
      <c r="GF28" s="1" t="b">
        <f>AND(H_Soufriere!J17,"AAAAADn3f7s=")</f>
        <v>1</v>
      </c>
      <c r="GG28" s="1" t="b">
        <f>AND(H_Soufriere!K17,"AAAAADn3f7w=")</f>
        <v>1</v>
      </c>
      <c r="GH28" s="1" t="b">
        <f>AND(H_Soufriere!L17,"AAAAADn3f70=")</f>
        <v>1</v>
      </c>
      <c r="GI28" s="1" t="b">
        <f>AND(H_Soufriere!M17,"AAAAADn3f74=")</f>
        <v>1</v>
      </c>
      <c r="GJ28" s="1" t="b">
        <f>AND(H_Soufriere!N17,"AAAAADn3f78=")</f>
        <v>1</v>
      </c>
      <c r="GK28" s="1">
        <f>IF(H_Soufriere!18:18,"AAAAADn3f8A=",0)</f>
        <v>0</v>
      </c>
      <c r="GL28" s="1" t="e">
        <f>AND(H_Soufriere!A18,"AAAAADn3f8E=")</f>
        <v>#VALUE!</v>
      </c>
      <c r="GM28" s="1" t="b">
        <f>AND(H_Soufriere!B18,"AAAAADn3f8I=")</f>
        <v>1</v>
      </c>
      <c r="GN28" s="1" t="b">
        <f>AND(H_Soufriere!C18,"AAAAADn3f8M=")</f>
        <v>1</v>
      </c>
      <c r="GO28" s="1" t="b">
        <f>AND(H_Soufriere!D18,"AAAAADn3f8Q=")</f>
        <v>1</v>
      </c>
      <c r="GP28" s="1" t="b">
        <f>AND(H_Soufriere!E18,"AAAAADn3f8U=")</f>
        <v>1</v>
      </c>
      <c r="GQ28" s="1" t="b">
        <f>AND(H_Soufriere!F18,"AAAAADn3f8Y=")</f>
        <v>1</v>
      </c>
      <c r="GR28" s="1" t="b">
        <f>AND(H_Soufriere!G18,"AAAAADn3f8c=")</f>
        <v>0</v>
      </c>
      <c r="GS28" s="1" t="b">
        <f>AND(H_Soufriere!H18,"AAAAADn3f8g=")</f>
        <v>0</v>
      </c>
      <c r="GT28" s="1" t="e">
        <f>AND(H_Soufriere!#REF!,"AAAAADn3f8k=")</f>
        <v>#REF!</v>
      </c>
      <c r="GU28" s="1" t="e">
        <f>AND(H_Soufriere!#REF!,"AAAAADn3f8o=")</f>
        <v>#REF!</v>
      </c>
      <c r="GV28" s="1" t="b">
        <f>AND(H_Soufriere!I18,"AAAAADn3f8s=")</f>
        <v>1</v>
      </c>
      <c r="GW28" s="1" t="b">
        <f>AND(H_Soufriere!J18,"AAAAADn3f8w=")</f>
        <v>1</v>
      </c>
      <c r="GX28" s="1" t="b">
        <f>AND(H_Soufriere!K18,"AAAAADn3f80=")</f>
        <v>1</v>
      </c>
      <c r="GY28" s="1" t="b">
        <f>AND(H_Soufriere!L18,"AAAAADn3f84=")</f>
        <v>1</v>
      </c>
      <c r="GZ28" s="1" t="b">
        <f>AND(H_Soufriere!M18,"AAAAADn3f88=")</f>
        <v>1</v>
      </c>
      <c r="HA28" s="1" t="b">
        <f>AND(H_Soufriere!N18,"AAAAADn3f9A=")</f>
        <v>1</v>
      </c>
      <c r="HB28" s="1">
        <f>IF(H_Soufriere!20:20,"AAAAADn3f9E=",0)</f>
        <v>0</v>
      </c>
      <c r="HC28" s="1" t="e">
        <f>AND(H_Soufriere!A20,"AAAAADn3f9I=")</f>
        <v>#VALUE!</v>
      </c>
      <c r="HD28" s="1" t="b">
        <f>AND(H_Soufriere!B20,"AAAAADn3f9M=")</f>
        <v>1</v>
      </c>
      <c r="HE28" s="1" t="b">
        <f>AND(H_Soufriere!C20,"AAAAADn3f9Q=")</f>
        <v>1</v>
      </c>
      <c r="HF28" s="1" t="b">
        <f>AND(H_Soufriere!D20,"AAAAADn3f9U=")</f>
        <v>1</v>
      </c>
      <c r="HG28" s="1" t="b">
        <f>AND(H_Soufriere!E20,"AAAAADn3f9Y=")</f>
        <v>1</v>
      </c>
      <c r="HH28" s="1" t="b">
        <f>AND(H_Soufriere!F20,"AAAAADn3f9c=")</f>
        <v>1</v>
      </c>
      <c r="HI28" s="1" t="b">
        <f>AND(H_Soufriere!G20,"AAAAADn3f9g=")</f>
        <v>0</v>
      </c>
      <c r="HJ28" s="1" t="b">
        <f>AND(H_Soufriere!H20,"AAAAADn3f9k=")</f>
        <v>0</v>
      </c>
      <c r="HK28" s="1" t="e">
        <f>AND(H_Soufriere!#REF!,"AAAAADn3f9o=")</f>
        <v>#REF!</v>
      </c>
      <c r="HL28" s="1" t="e">
        <f>AND(H_Soufriere!#REF!,"AAAAADn3f9s=")</f>
        <v>#REF!</v>
      </c>
      <c r="HM28" s="1" t="b">
        <f>AND(H_Soufriere!I20,"AAAAADn3f9w=")</f>
        <v>1</v>
      </c>
      <c r="HN28" s="1" t="b">
        <f>AND(H_Soufriere!J20,"AAAAADn3f90=")</f>
        <v>1</v>
      </c>
      <c r="HO28" s="1" t="b">
        <f>AND(H_Soufriere!K20,"AAAAADn3f94=")</f>
        <v>1</v>
      </c>
      <c r="HP28" s="1" t="b">
        <f>AND(H_Soufriere!L20,"AAAAADn3f98=")</f>
        <v>1</v>
      </c>
      <c r="HQ28" s="1" t="b">
        <f>AND(H_Soufriere!M20,"AAAAADn3f+A=")</f>
        <v>1</v>
      </c>
      <c r="HR28" s="1" t="b">
        <f>AND(H_Soufriere!N20,"AAAAADn3f+E=")</f>
        <v>1</v>
      </c>
      <c r="HS28" s="1">
        <f>IF(H_Soufriere!21:21,"AAAAADn3f+I=",0)</f>
        <v>0</v>
      </c>
      <c r="HT28" s="1" t="e">
        <f>AND(H_Soufriere!A21,"AAAAADn3f+M=")</f>
        <v>#VALUE!</v>
      </c>
      <c r="HU28" s="1" t="b">
        <f>AND(H_Soufriere!B21,"AAAAADn3f+Q=")</f>
        <v>1</v>
      </c>
      <c r="HV28" s="1" t="b">
        <f>AND(H_Soufriere!C21,"AAAAADn3f+U=")</f>
        <v>1</v>
      </c>
      <c r="HW28" s="1" t="b">
        <f>AND(H_Soufriere!D21,"AAAAADn3f+Y=")</f>
        <v>1</v>
      </c>
      <c r="HX28" s="1" t="b">
        <f>AND(H_Soufriere!E21,"AAAAADn3f+c=")</f>
        <v>1</v>
      </c>
      <c r="HY28" s="1" t="b">
        <f>AND(H_Soufriere!F21,"AAAAADn3f+g=")</f>
        <v>1</v>
      </c>
      <c r="HZ28" s="1" t="b">
        <f>AND(H_Soufriere!G21,"AAAAADn3f+k=")</f>
        <v>0</v>
      </c>
      <c r="IA28" s="1" t="b">
        <f>AND(H_Soufriere!H21,"AAAAADn3f+o=")</f>
        <v>0</v>
      </c>
      <c r="IB28" s="1" t="e">
        <f>AND(H_Soufriere!#REF!,"AAAAADn3f+s=")</f>
        <v>#REF!</v>
      </c>
      <c r="IC28" s="1" t="e">
        <f>AND(H_Soufriere!#REF!,"AAAAADn3f+w=")</f>
        <v>#REF!</v>
      </c>
      <c r="ID28" s="1" t="b">
        <f>AND(H_Soufriere!I21,"AAAAADn3f+0=")</f>
        <v>1</v>
      </c>
      <c r="IE28" s="1" t="b">
        <f>AND(H_Soufriere!J21,"AAAAADn3f+4=")</f>
        <v>1</v>
      </c>
      <c r="IF28" s="1" t="b">
        <f>AND(H_Soufriere!K21,"AAAAADn3f+8=")</f>
        <v>1</v>
      </c>
      <c r="IG28" s="1" t="b">
        <f>AND(H_Soufriere!L21,"AAAAADn3f/A=")</f>
        <v>1</v>
      </c>
      <c r="IH28" s="1" t="b">
        <f>AND(H_Soufriere!M21,"AAAAADn3f/E=")</f>
        <v>1</v>
      </c>
      <c r="II28" s="1" t="b">
        <f>AND(H_Soufriere!N21,"AAAAADn3f/I=")</f>
        <v>1</v>
      </c>
      <c r="IJ28" s="1">
        <f>IF(H_Soufriere!23:23,"AAAAADn3f/M=",0)</f>
        <v>0</v>
      </c>
      <c r="IK28" s="1" t="e">
        <f>AND(H_Soufriere!A23,"AAAAADn3f/Q=")</f>
        <v>#VALUE!</v>
      </c>
      <c r="IL28" s="1" t="e">
        <f>AND(H_Soufriere!B23,"AAAAADn3f/U=")</f>
        <v>#VALUE!</v>
      </c>
      <c r="IM28" s="1" t="e">
        <f>AND(H_Soufriere!C23,"AAAAADn3f/Y=")</f>
        <v>#VALUE!</v>
      </c>
      <c r="IN28" s="1" t="e">
        <f>AND(H_Soufriere!D23,"AAAAADn3f/c=")</f>
        <v>#VALUE!</v>
      </c>
      <c r="IO28" s="1" t="e">
        <f>AND(H_Soufriere!E23,"AAAAADn3f/g=")</f>
        <v>#VALUE!</v>
      </c>
      <c r="IP28" s="1" t="e">
        <f>AND(H_Soufriere!F23,"AAAAADn3f/k=")</f>
        <v>#VALUE!</v>
      </c>
      <c r="IQ28" s="1" t="e">
        <f>AND(H_Soufriere!G23,"AAAAADn3f/o=")</f>
        <v>#VALUE!</v>
      </c>
      <c r="IR28" s="1" t="e">
        <f>AND(H_Soufriere!H23,"AAAAADn3f/s=")</f>
        <v>#VALUE!</v>
      </c>
      <c r="IS28" s="1" t="e">
        <f>AND(H_Soufriere!#REF!,"AAAAADn3f/w=")</f>
        <v>#REF!</v>
      </c>
      <c r="IT28" s="1" t="e">
        <f>AND(H_Soufriere!#REF!,"AAAAADn3f/0=")</f>
        <v>#REF!</v>
      </c>
      <c r="IU28" s="1" t="e">
        <f>AND(H_Soufriere!I23,"AAAAADn3f/4=")</f>
        <v>#VALUE!</v>
      </c>
      <c r="IV28" s="1" t="e">
        <f>AND(H_Soufriere!J23,"AAAAADn3f/8=")</f>
        <v>#VALUE!</v>
      </c>
    </row>
    <row r="29" spans="1:256" ht="12" customHeight="1" x14ac:dyDescent="0.2">
      <c r="A29" s="1" t="e">
        <f>AND(H_Soufriere!K23,"AAAAAG47/QA=")</f>
        <v>#VALUE!</v>
      </c>
      <c r="B29" s="1" t="e">
        <f>AND(H_Soufriere!L23,"AAAAAG47/QE=")</f>
        <v>#VALUE!</v>
      </c>
      <c r="C29" s="1" t="e">
        <f>AND(H_Soufriere!M23,"AAAAAG47/QI=")</f>
        <v>#VALUE!</v>
      </c>
      <c r="D29" s="1" t="e">
        <f>AND(H_Soufriere!N23,"AAAAAG47/QM=")</f>
        <v>#VALUE!</v>
      </c>
      <c r="E29" s="1" t="e">
        <f t="shared" ref="E29:U29" si="8">IF(H_Soufriere!#REF!,"AAAAAG47/QQ=",0)</f>
        <v>#REF!</v>
      </c>
      <c r="F29" s="1" t="e">
        <f t="shared" si="8"/>
        <v>#REF!</v>
      </c>
      <c r="G29" s="1" t="e">
        <f t="shared" si="8"/>
        <v>#REF!</v>
      </c>
      <c r="H29" s="1" t="e">
        <f t="shared" si="8"/>
        <v>#REF!</v>
      </c>
      <c r="I29" s="1" t="e">
        <f t="shared" si="8"/>
        <v>#REF!</v>
      </c>
      <c r="J29" s="1" t="e">
        <f t="shared" si="8"/>
        <v>#REF!</v>
      </c>
      <c r="K29" s="1" t="e">
        <f t="shared" si="8"/>
        <v>#REF!</v>
      </c>
      <c r="L29" s="1" t="e">
        <f t="shared" si="8"/>
        <v>#REF!</v>
      </c>
      <c r="M29" s="1" t="e">
        <f t="shared" si="8"/>
        <v>#REF!</v>
      </c>
      <c r="N29" s="1" t="e">
        <f t="shared" si="8"/>
        <v>#REF!</v>
      </c>
      <c r="O29" s="1" t="e">
        <f t="shared" si="8"/>
        <v>#REF!</v>
      </c>
      <c r="P29" s="1" t="e">
        <f t="shared" si="8"/>
        <v>#REF!</v>
      </c>
      <c r="Q29" s="1" t="e">
        <f t="shared" si="8"/>
        <v>#REF!</v>
      </c>
      <c r="R29" s="1" t="e">
        <f t="shared" si="8"/>
        <v>#REF!</v>
      </c>
      <c r="S29" s="1" t="e">
        <f t="shared" si="8"/>
        <v>#REF!</v>
      </c>
      <c r="T29" s="1" t="e">
        <f t="shared" si="8"/>
        <v>#REF!</v>
      </c>
      <c r="U29" s="1" t="e">
        <f t="shared" si="8"/>
        <v>#REF!</v>
      </c>
      <c r="V29" s="1">
        <f>IF(H_Soufriere!24:24,"AAAAAG47/RU=",0)</f>
        <v>0</v>
      </c>
      <c r="W29" s="1" t="e">
        <f>AND(H_Soufriere!A24,"AAAAAG47/RY=")</f>
        <v>#VALUE!</v>
      </c>
      <c r="X29" s="1" t="b">
        <f>AND(H_Soufriere!B24,"AAAAAG47/Rc=")</f>
        <v>1</v>
      </c>
      <c r="Y29" s="1" t="b">
        <f>AND(H_Soufriere!C24,"AAAAAG47/Rg=")</f>
        <v>1</v>
      </c>
      <c r="Z29" s="1" t="b">
        <f>AND(H_Soufriere!D24,"AAAAAG47/Rk=")</f>
        <v>1</v>
      </c>
      <c r="AA29" s="1" t="b">
        <f>AND(H_Soufriere!E24,"AAAAAG47/Ro=")</f>
        <v>1</v>
      </c>
      <c r="AB29" s="1" t="b">
        <f>AND(H_Soufriere!F24,"AAAAAG47/Rs=")</f>
        <v>1</v>
      </c>
      <c r="AC29" s="1" t="b">
        <f>AND(H_Soufriere!G24,"AAAAAG47/Rw=")</f>
        <v>0</v>
      </c>
      <c r="AD29" s="1" t="b">
        <f>AND(H_Soufriere!H24,"AAAAAG47/R0=")</f>
        <v>0</v>
      </c>
      <c r="AE29" s="1" t="e">
        <f>AND(H_Soufriere!#REF!,"AAAAAG47/R4=")</f>
        <v>#REF!</v>
      </c>
      <c r="AF29" s="1" t="e">
        <f>AND(H_Soufriere!#REF!,"AAAAAG47/R8=")</f>
        <v>#REF!</v>
      </c>
      <c r="AG29" s="1" t="b">
        <f>AND(H_Soufriere!I24,"AAAAAG47/SA=")</f>
        <v>1</v>
      </c>
      <c r="AH29" s="1" t="b">
        <f>AND(H_Soufriere!J24,"AAAAAG47/SE=")</f>
        <v>1</v>
      </c>
      <c r="AI29" s="1" t="b">
        <f>AND(H_Soufriere!K24,"AAAAAG47/SI=")</f>
        <v>1</v>
      </c>
      <c r="AJ29" s="1" t="b">
        <f>AND(H_Soufriere!L24,"AAAAAG47/SM=")</f>
        <v>1</v>
      </c>
      <c r="AK29" s="1" t="b">
        <f>AND(H_Soufriere!M24,"AAAAAG47/SQ=")</f>
        <v>1</v>
      </c>
      <c r="AL29" s="1" t="b">
        <f>AND(H_Soufriere!N24,"AAAAAG47/SU=")</f>
        <v>1</v>
      </c>
      <c r="AM29" s="1">
        <f>IF(H_Soufriere!25:25,"AAAAAG47/SY=",0)</f>
        <v>0</v>
      </c>
      <c r="AN29" s="1" t="e">
        <f>AND(H_Soufriere!A25,"AAAAAG47/Sc=")</f>
        <v>#VALUE!</v>
      </c>
      <c r="AO29" s="1" t="b">
        <f>AND(H_Soufriere!B25,"AAAAAG47/Sg=")</f>
        <v>1</v>
      </c>
      <c r="AP29" s="1" t="b">
        <f>AND(H_Soufriere!C25,"AAAAAG47/Sk=")</f>
        <v>1</v>
      </c>
      <c r="AQ29" s="1" t="b">
        <f>AND(H_Soufriere!D25,"AAAAAG47/So=")</f>
        <v>1</v>
      </c>
      <c r="AR29" s="1" t="b">
        <f>AND(H_Soufriere!E25,"AAAAAG47/Ss=")</f>
        <v>1</v>
      </c>
      <c r="AS29" s="1" t="b">
        <f>AND(H_Soufriere!F25,"AAAAAG47/Sw=")</f>
        <v>1</v>
      </c>
      <c r="AT29" s="1" t="b">
        <f>AND(H_Soufriere!G25,"AAAAAG47/S0=")</f>
        <v>0</v>
      </c>
      <c r="AU29" s="1" t="b">
        <f>AND(H_Soufriere!H25,"AAAAAG47/S4=")</f>
        <v>0</v>
      </c>
      <c r="AV29" s="1" t="e">
        <f>AND(H_Soufriere!#REF!,"AAAAAG47/S8=")</f>
        <v>#REF!</v>
      </c>
      <c r="AW29" s="1" t="e">
        <f>AND(H_Soufriere!#REF!,"AAAAAG47/TA=")</f>
        <v>#REF!</v>
      </c>
      <c r="AX29" s="1" t="b">
        <f>AND(H_Soufriere!I25,"AAAAAG47/TE=")</f>
        <v>1</v>
      </c>
      <c r="AY29" s="1" t="b">
        <f>AND(H_Soufriere!J25,"AAAAAG47/TI=")</f>
        <v>1</v>
      </c>
      <c r="AZ29" s="1" t="b">
        <f>AND(H_Soufriere!K25,"AAAAAG47/TM=")</f>
        <v>1</v>
      </c>
      <c r="BA29" s="1" t="b">
        <f>AND(H_Soufriere!L25,"AAAAAG47/TQ=")</f>
        <v>1</v>
      </c>
      <c r="BB29" s="1" t="b">
        <f>AND(H_Soufriere!M25,"AAAAAG47/TU=")</f>
        <v>1</v>
      </c>
      <c r="BC29" s="1" t="b">
        <f>AND(H_Soufriere!N25,"AAAAAG47/TY=")</f>
        <v>1</v>
      </c>
      <c r="BD29" s="1">
        <f>IF(H_Soufriere!26:26,"AAAAAG47/Tc=",0)</f>
        <v>0</v>
      </c>
      <c r="BE29" s="1" t="e">
        <f>AND(H_Soufriere!A26,"AAAAAG47/Tg=")</f>
        <v>#VALUE!</v>
      </c>
      <c r="BF29" s="1" t="b">
        <f>AND(H_Soufriere!B26,"AAAAAG47/Tk=")</f>
        <v>1</v>
      </c>
      <c r="BG29" s="1" t="b">
        <f>AND(H_Soufriere!C26,"AAAAAG47/To=")</f>
        <v>1</v>
      </c>
      <c r="BH29" s="1" t="b">
        <f>AND(H_Soufriere!D26,"AAAAAG47/Ts=")</f>
        <v>1</v>
      </c>
      <c r="BI29" s="1" t="b">
        <f>AND(H_Soufriere!E26,"AAAAAG47/Tw=")</f>
        <v>1</v>
      </c>
      <c r="BJ29" s="1" t="b">
        <f>AND(H_Soufriere!F26,"AAAAAG47/T0=")</f>
        <v>1</v>
      </c>
      <c r="BK29" s="1" t="b">
        <f>AND(H_Soufriere!G26,"AAAAAG47/T4=")</f>
        <v>0</v>
      </c>
      <c r="BL29" s="1" t="b">
        <f>AND(H_Soufriere!H26,"AAAAAG47/T8=")</f>
        <v>0</v>
      </c>
      <c r="BM29" s="1" t="e">
        <f>AND(H_Soufriere!#REF!,"AAAAAG47/UA=")</f>
        <v>#REF!</v>
      </c>
      <c r="BN29" s="1" t="e">
        <f>AND(H_Soufriere!#REF!,"AAAAAG47/UE=")</f>
        <v>#REF!</v>
      </c>
      <c r="BO29" s="1" t="b">
        <f>AND(H_Soufriere!I26,"AAAAAG47/UI=")</f>
        <v>1</v>
      </c>
      <c r="BP29" s="1" t="b">
        <f>AND(H_Soufriere!J26,"AAAAAG47/UM=")</f>
        <v>1</v>
      </c>
      <c r="BQ29" s="1" t="b">
        <f>AND(H_Soufriere!K26,"AAAAAG47/UQ=")</f>
        <v>1</v>
      </c>
      <c r="BR29" s="1" t="b">
        <f>AND(H_Soufriere!L26,"AAAAAG47/UU=")</f>
        <v>1</v>
      </c>
      <c r="BS29" s="1" t="b">
        <f>AND(H_Soufriere!M26,"AAAAAG47/UY=")</f>
        <v>1</v>
      </c>
      <c r="BT29" s="1" t="b">
        <f>AND(H_Soufriere!N26,"AAAAAG47/Uc=")</f>
        <v>1</v>
      </c>
      <c r="BU29" s="1">
        <f>IF(H_Soufriere!27:27,"AAAAAG47/Ug=",0)</f>
        <v>0</v>
      </c>
      <c r="BV29" s="1" t="e">
        <f>AND(H_Soufriere!A27,"AAAAAG47/Uk=")</f>
        <v>#VALUE!</v>
      </c>
      <c r="BW29" s="1" t="b">
        <f>AND(H_Soufriere!B27,"AAAAAG47/Uo=")</f>
        <v>1</v>
      </c>
      <c r="BX29" s="1" t="b">
        <f>AND(H_Soufriere!C27,"AAAAAG47/Us=")</f>
        <v>1</v>
      </c>
      <c r="BY29" s="1" t="b">
        <f>AND(H_Soufriere!D27,"AAAAAG47/Uw=")</f>
        <v>1</v>
      </c>
      <c r="BZ29" s="1" t="b">
        <f>AND(H_Soufriere!E27,"AAAAAG47/U0=")</f>
        <v>1</v>
      </c>
      <c r="CA29" s="1" t="b">
        <f>AND(H_Soufriere!F27,"AAAAAG47/U4=")</f>
        <v>1</v>
      </c>
      <c r="CB29" s="1" t="b">
        <f>AND(H_Soufriere!G27,"AAAAAG47/U8=")</f>
        <v>0</v>
      </c>
      <c r="CC29" s="1" t="b">
        <f>AND(H_Soufriere!H27,"AAAAAG47/VA=")</f>
        <v>0</v>
      </c>
      <c r="CD29" s="1" t="e">
        <f>AND(H_Soufriere!#REF!,"AAAAAG47/VE=")</f>
        <v>#REF!</v>
      </c>
      <c r="CE29" s="1" t="e">
        <f>AND(H_Soufriere!#REF!,"AAAAAG47/VI=")</f>
        <v>#REF!</v>
      </c>
      <c r="CF29" s="1" t="b">
        <f>AND(H_Soufriere!I27,"AAAAAG47/VM=")</f>
        <v>1</v>
      </c>
      <c r="CG29" s="1" t="b">
        <f>AND(H_Soufriere!J27,"AAAAAG47/VQ=")</f>
        <v>1</v>
      </c>
      <c r="CH29" s="1" t="b">
        <f>AND(H_Soufriere!K27,"AAAAAG47/VU=")</f>
        <v>1</v>
      </c>
      <c r="CI29" s="1" t="b">
        <f>AND(H_Soufriere!L27,"AAAAAG47/VY=")</f>
        <v>1</v>
      </c>
      <c r="CJ29" s="1" t="b">
        <f>AND(H_Soufriere!M27,"AAAAAG47/Vc=")</f>
        <v>1</v>
      </c>
      <c r="CK29" s="1" t="b">
        <f>AND(H_Soufriere!N27,"AAAAAG47/Vg=")</f>
        <v>1</v>
      </c>
      <c r="CL29" s="1">
        <f>IF(H_Soufriere!29:29,"AAAAAG47/Vk=",0)</f>
        <v>0</v>
      </c>
      <c r="CM29" s="1" t="e">
        <f>AND(H_Soufriere!A29,"AAAAAG47/Vo=")</f>
        <v>#VALUE!</v>
      </c>
      <c r="CN29" s="1" t="e">
        <f>AND(H_Soufriere!B29,"AAAAAG47/Vs=")</f>
        <v>#VALUE!</v>
      </c>
      <c r="CO29" s="1" t="e">
        <f>AND(H_Soufriere!C29,"AAAAAG47/Vw=")</f>
        <v>#VALUE!</v>
      </c>
      <c r="CP29" s="1" t="e">
        <f>AND(H_Soufriere!D29,"AAAAAG47/V0=")</f>
        <v>#VALUE!</v>
      </c>
      <c r="CQ29" s="1" t="e">
        <f>AND(H_Soufriere!E29,"AAAAAG47/V4=")</f>
        <v>#VALUE!</v>
      </c>
      <c r="CR29" s="1" t="e">
        <f>AND(H_Soufriere!F29,"AAAAAG47/V8=")</f>
        <v>#VALUE!</v>
      </c>
      <c r="CS29" s="1" t="e">
        <f>AND(H_Soufriere!G29,"AAAAAG47/WA=")</f>
        <v>#VALUE!</v>
      </c>
      <c r="CT29" s="1" t="e">
        <f>AND(H_Soufriere!H29,"AAAAAG47/WE=")</f>
        <v>#VALUE!</v>
      </c>
      <c r="CU29" s="1" t="e">
        <f>AND(H_Soufriere!#REF!,"AAAAAG47/WI=")</f>
        <v>#REF!</v>
      </c>
      <c r="CV29" s="1" t="e">
        <f>AND(H_Soufriere!#REF!,"AAAAAG47/WM=")</f>
        <v>#REF!</v>
      </c>
      <c r="CW29" s="1" t="e">
        <f>AND(H_Soufriere!I29,"AAAAAG47/WQ=")</f>
        <v>#VALUE!</v>
      </c>
      <c r="CX29" s="1" t="e">
        <f>AND(H_Soufriere!J29,"AAAAAG47/WU=")</f>
        <v>#VALUE!</v>
      </c>
      <c r="CY29" s="1" t="e">
        <f>AND(H_Soufriere!K29,"AAAAAG47/WY=")</f>
        <v>#VALUE!</v>
      </c>
      <c r="CZ29" s="1" t="e">
        <f>AND(H_Soufriere!L29,"AAAAAG47/Wc=")</f>
        <v>#VALUE!</v>
      </c>
      <c r="DA29" s="1" t="e">
        <f>AND(H_Soufriere!M29,"AAAAAG47/Wg=")</f>
        <v>#VALUE!</v>
      </c>
      <c r="DB29" s="1" t="e">
        <f>AND(H_Soufriere!N29,"AAAAAG47/Wk=")</f>
        <v>#VALUE!</v>
      </c>
      <c r="DC29" s="1" t="e">
        <f t="shared" ref="DC29:DS29" si="9">IF(H_Soufriere!#REF!,"AAAAAG47/Wo=",0)</f>
        <v>#REF!</v>
      </c>
      <c r="DD29" s="1" t="e">
        <f t="shared" si="9"/>
        <v>#REF!</v>
      </c>
      <c r="DE29" s="1" t="e">
        <f t="shared" si="9"/>
        <v>#REF!</v>
      </c>
      <c r="DF29" s="1" t="e">
        <f t="shared" si="9"/>
        <v>#REF!</v>
      </c>
      <c r="DG29" s="1" t="e">
        <f t="shared" si="9"/>
        <v>#REF!</v>
      </c>
      <c r="DH29" s="1" t="e">
        <f t="shared" si="9"/>
        <v>#REF!</v>
      </c>
      <c r="DI29" s="1" t="e">
        <f t="shared" si="9"/>
        <v>#REF!</v>
      </c>
      <c r="DJ29" s="1" t="e">
        <f t="shared" si="9"/>
        <v>#REF!</v>
      </c>
      <c r="DK29" s="1" t="e">
        <f t="shared" si="9"/>
        <v>#REF!</v>
      </c>
      <c r="DL29" s="1" t="e">
        <f t="shared" si="9"/>
        <v>#REF!</v>
      </c>
      <c r="DM29" s="1" t="e">
        <f t="shared" si="9"/>
        <v>#REF!</v>
      </c>
      <c r="DN29" s="1" t="e">
        <f t="shared" si="9"/>
        <v>#REF!</v>
      </c>
      <c r="DO29" s="1" t="e">
        <f t="shared" si="9"/>
        <v>#REF!</v>
      </c>
      <c r="DP29" s="1" t="e">
        <f t="shared" si="9"/>
        <v>#REF!</v>
      </c>
      <c r="DQ29" s="1" t="e">
        <f t="shared" si="9"/>
        <v>#REF!</v>
      </c>
      <c r="DR29" s="1" t="e">
        <f t="shared" si="9"/>
        <v>#REF!</v>
      </c>
      <c r="DS29" s="1" t="e">
        <f t="shared" si="9"/>
        <v>#REF!</v>
      </c>
      <c r="DT29" s="1">
        <f>IF(H_Soufriere!30:30,"AAAAAG47/Xs=",0)</f>
        <v>0</v>
      </c>
      <c r="DU29" s="1" t="e">
        <f>AND(H_Soufriere!A30,"AAAAAG47/Xw=")</f>
        <v>#VALUE!</v>
      </c>
      <c r="DV29" s="1" t="b">
        <f>AND(H_Soufriere!B30,"AAAAAG47/X0=")</f>
        <v>1</v>
      </c>
      <c r="DW29" s="1" t="b">
        <f>AND(H_Soufriere!C30,"AAAAAG47/X4=")</f>
        <v>1</v>
      </c>
      <c r="DX29" s="1" t="b">
        <f>AND(H_Soufriere!D30,"AAAAAG47/X8=")</f>
        <v>1</v>
      </c>
      <c r="DY29" s="1" t="b">
        <f>AND(H_Soufriere!E30,"AAAAAG47/YA=")</f>
        <v>1</v>
      </c>
      <c r="DZ29" s="1" t="b">
        <f>AND(H_Soufriere!F30,"AAAAAG47/YE=")</f>
        <v>1</v>
      </c>
      <c r="EA29" s="1" t="b">
        <f>AND(H_Soufriere!G30,"AAAAAG47/YI=")</f>
        <v>1</v>
      </c>
      <c r="EB29" s="1" t="b">
        <f>AND(H_Soufriere!H30,"AAAAAG47/YM=")</f>
        <v>1</v>
      </c>
      <c r="EC29" s="1" t="e">
        <f>AND(H_Soufriere!#REF!,"AAAAAG47/YQ=")</f>
        <v>#REF!</v>
      </c>
      <c r="ED29" s="1" t="e">
        <f>AND(H_Soufriere!#REF!,"AAAAAG47/YU=")</f>
        <v>#REF!</v>
      </c>
      <c r="EE29" s="1" t="b">
        <f>AND(H_Soufriere!I30,"AAAAAG47/YY=")</f>
        <v>1</v>
      </c>
      <c r="EF29" s="1" t="b">
        <f>AND(H_Soufriere!J30,"AAAAAG47/Yc=")</f>
        <v>1</v>
      </c>
      <c r="EG29" s="1" t="b">
        <f>AND(H_Soufriere!K30,"AAAAAG47/Yg=")</f>
        <v>1</v>
      </c>
      <c r="EH29" s="1" t="b">
        <f>AND(H_Soufriere!L30,"AAAAAG47/Yk=")</f>
        <v>1</v>
      </c>
      <c r="EI29" s="1" t="b">
        <f>AND(H_Soufriere!M30,"AAAAAG47/Yo=")</f>
        <v>1</v>
      </c>
      <c r="EJ29" s="1" t="b">
        <f>AND(H_Soufriere!N30,"AAAAAG47/Ys=")</f>
        <v>1</v>
      </c>
      <c r="EK29" s="1">
        <f>IF(H_Soufriere!31:31,"AAAAAG47/Yw=",0)</f>
        <v>0</v>
      </c>
      <c r="EL29" s="1" t="e">
        <f>AND(H_Soufriere!A31,"AAAAAG47/Y0=")</f>
        <v>#VALUE!</v>
      </c>
      <c r="EM29" s="1" t="b">
        <f>AND(H_Soufriere!B31,"AAAAAG47/Y4=")</f>
        <v>1</v>
      </c>
      <c r="EN29" s="1" t="b">
        <f>AND(H_Soufriere!C31,"AAAAAG47/Y8=")</f>
        <v>1</v>
      </c>
      <c r="EO29" s="1" t="b">
        <f>AND(H_Soufriere!D31,"AAAAAG47/ZA=")</f>
        <v>1</v>
      </c>
      <c r="EP29" s="1" t="b">
        <f>AND(H_Soufriere!E31,"AAAAAG47/ZE=")</f>
        <v>1</v>
      </c>
      <c r="EQ29" s="1" t="b">
        <f>AND(H_Soufriere!F31,"AAAAAG47/ZI=")</f>
        <v>1</v>
      </c>
      <c r="ER29" s="1" t="b">
        <f>AND(H_Soufriere!G31,"AAAAAG47/ZM=")</f>
        <v>0</v>
      </c>
      <c r="ES29" s="1" t="b">
        <f>AND(H_Soufriere!H31,"AAAAAG47/ZQ=")</f>
        <v>0</v>
      </c>
      <c r="ET29" s="1" t="e">
        <f>AND(H_Soufriere!#REF!,"AAAAAG47/ZU=")</f>
        <v>#REF!</v>
      </c>
      <c r="EU29" s="1" t="e">
        <f>AND(H_Soufriere!#REF!,"AAAAAG47/ZY=")</f>
        <v>#REF!</v>
      </c>
      <c r="EV29" s="1" t="b">
        <f>AND(H_Soufriere!I31,"AAAAAG47/Zc=")</f>
        <v>1</v>
      </c>
      <c r="EW29" s="1" t="b">
        <f>AND(H_Soufriere!J31,"AAAAAG47/Zg=")</f>
        <v>1</v>
      </c>
      <c r="EX29" s="1" t="b">
        <f>AND(H_Soufriere!K31,"AAAAAG47/Zk=")</f>
        <v>1</v>
      </c>
      <c r="EY29" s="1" t="b">
        <f>AND(H_Soufriere!L31,"AAAAAG47/Zo=")</f>
        <v>1</v>
      </c>
      <c r="EZ29" s="1" t="b">
        <f>AND(H_Soufriere!M31,"AAAAAG47/Zs=")</f>
        <v>1</v>
      </c>
      <c r="FA29" s="1" t="b">
        <f>AND(H_Soufriere!N31,"AAAAAG47/Zw=")</f>
        <v>1</v>
      </c>
      <c r="FB29" s="1" t="e">
        <f>IF(H_Soufriere!#REF!,"AAAAAG47/Z0=",0)</f>
        <v>#REF!</v>
      </c>
      <c r="FC29" s="1" t="e">
        <f>AND(H_Soufriere!#REF!,"AAAAAG47/Z4=")</f>
        <v>#REF!</v>
      </c>
      <c r="FD29" s="1" t="e">
        <f>AND(H_Soufriere!#REF!,"AAAAAG47/Z8=")</f>
        <v>#REF!</v>
      </c>
      <c r="FE29" s="1" t="e">
        <f>AND(H_Soufriere!#REF!,"AAAAAG47/aA=")</f>
        <v>#REF!</v>
      </c>
      <c r="FF29" s="1" t="e">
        <f>AND(H_Soufriere!#REF!,"AAAAAG47/aE=")</f>
        <v>#REF!</v>
      </c>
      <c r="FG29" s="1" t="e">
        <f>AND(H_Soufriere!#REF!,"AAAAAG47/aI=")</f>
        <v>#REF!</v>
      </c>
      <c r="FH29" s="1" t="e">
        <f>AND(H_Soufriere!#REF!,"AAAAAG47/aM=")</f>
        <v>#REF!</v>
      </c>
      <c r="FI29" s="1" t="e">
        <f>AND(H_Soufriere!#REF!,"AAAAAG47/aQ=")</f>
        <v>#REF!</v>
      </c>
      <c r="FJ29" s="1" t="e">
        <f>AND(H_Soufriere!#REF!,"AAAAAG47/aU=")</f>
        <v>#REF!</v>
      </c>
      <c r="FK29" s="1" t="e">
        <f>AND(H_Soufriere!#REF!,"AAAAAG47/aY=")</f>
        <v>#REF!</v>
      </c>
      <c r="FL29" s="1" t="e">
        <f>AND(H_Soufriere!#REF!,"AAAAAG47/ac=")</f>
        <v>#REF!</v>
      </c>
      <c r="FM29" s="1" t="e">
        <f>AND(H_Soufriere!#REF!,"AAAAAG47/ag=")</f>
        <v>#REF!</v>
      </c>
      <c r="FN29" s="1" t="e">
        <f>AND(H_Soufriere!#REF!,"AAAAAG47/ak=")</f>
        <v>#REF!</v>
      </c>
      <c r="FO29" s="1" t="e">
        <f>AND(H_Soufriere!#REF!,"AAAAAG47/ao=")</f>
        <v>#REF!</v>
      </c>
      <c r="FP29" s="1" t="e">
        <f>AND(H_Soufriere!#REF!,"AAAAAG47/as=")</f>
        <v>#REF!</v>
      </c>
      <c r="FQ29" s="1" t="e">
        <f>AND(H_Soufriere!#REF!,"AAAAAG47/aw=")</f>
        <v>#REF!</v>
      </c>
      <c r="FR29" s="1" t="e">
        <f>AND(H_Soufriere!#REF!,"AAAAAG47/a0=")</f>
        <v>#REF!</v>
      </c>
      <c r="FS29" s="1">
        <f>IF(H_Soufriere!32:32,"AAAAAG47/a4=",0)</f>
        <v>0</v>
      </c>
      <c r="FT29" s="1" t="e">
        <f>AND(H_Soufriere!A32,"AAAAAG47/a8=")</f>
        <v>#VALUE!</v>
      </c>
      <c r="FU29" s="1" t="b">
        <f>AND(H_Soufriere!B32,"AAAAAG47/bA=")</f>
        <v>1</v>
      </c>
      <c r="FV29" s="1" t="b">
        <f>AND(H_Soufriere!C32,"AAAAAG47/bE=")</f>
        <v>1</v>
      </c>
      <c r="FW29" s="1" t="b">
        <f>AND(H_Soufriere!D32,"AAAAAG47/bI=")</f>
        <v>1</v>
      </c>
      <c r="FX29" s="1" t="b">
        <f>AND(H_Soufriere!E32,"AAAAAG47/bM=")</f>
        <v>1</v>
      </c>
      <c r="FY29" s="1" t="b">
        <f>AND(H_Soufriere!F32,"AAAAAG47/bQ=")</f>
        <v>1</v>
      </c>
      <c r="FZ29" s="1" t="b">
        <f>AND(H_Soufriere!G32,"AAAAAG47/bU=")</f>
        <v>1</v>
      </c>
      <c r="GA29" s="1" t="b">
        <f>AND(H_Soufriere!H32,"AAAAAG47/bY=")</f>
        <v>1</v>
      </c>
      <c r="GB29" s="1" t="e">
        <f>AND(H_Soufriere!#REF!,"AAAAAG47/bc=")</f>
        <v>#REF!</v>
      </c>
      <c r="GC29" s="1" t="e">
        <f>AND(H_Soufriere!#REF!,"AAAAAG47/bg=")</f>
        <v>#REF!</v>
      </c>
      <c r="GD29" s="1" t="b">
        <f>AND(H_Soufriere!I32,"AAAAAG47/bk=")</f>
        <v>1</v>
      </c>
      <c r="GE29" s="1" t="b">
        <f>AND(H_Soufriere!J32,"AAAAAG47/bo=")</f>
        <v>1</v>
      </c>
      <c r="GF29" s="1" t="b">
        <f>AND(H_Soufriere!K32,"AAAAAG47/bs=")</f>
        <v>1</v>
      </c>
      <c r="GG29" s="1" t="b">
        <f>AND(H_Soufriere!L32,"AAAAAG47/bw=")</f>
        <v>1</v>
      </c>
      <c r="GH29" s="1" t="b">
        <f>AND(H_Soufriere!M32,"AAAAAG47/b0=")</f>
        <v>1</v>
      </c>
      <c r="GI29" s="1" t="b">
        <f>AND(H_Soufriere!N32,"AAAAAG47/b4=")</f>
        <v>1</v>
      </c>
      <c r="GJ29" s="1">
        <f>IF(H_Soufriere!34:34,"AAAAAG47/b8=",0)</f>
        <v>0</v>
      </c>
      <c r="GK29" s="1" t="e">
        <f>AND(H_Soufriere!A34,"AAAAAG47/cA=")</f>
        <v>#VALUE!</v>
      </c>
      <c r="GL29" s="1" t="e">
        <f>AND(H_Soufriere!B34,"AAAAAG47/cE=")</f>
        <v>#VALUE!</v>
      </c>
      <c r="GM29" s="1" t="e">
        <f>AND(H_Soufriere!C34,"AAAAAG47/cI=")</f>
        <v>#VALUE!</v>
      </c>
      <c r="GN29" s="1" t="e">
        <f>AND(H_Soufriere!D34,"AAAAAG47/cM=")</f>
        <v>#VALUE!</v>
      </c>
      <c r="GO29" s="1" t="e">
        <f>AND(H_Soufriere!E34,"AAAAAG47/cQ=")</f>
        <v>#VALUE!</v>
      </c>
      <c r="GP29" s="1" t="e">
        <f>AND(H_Soufriere!F34,"AAAAAG47/cU=")</f>
        <v>#VALUE!</v>
      </c>
      <c r="GQ29" s="1" t="e">
        <f>AND(H_Soufriere!G34,"AAAAAG47/cY=")</f>
        <v>#VALUE!</v>
      </c>
      <c r="GR29" s="1" t="e">
        <f>AND(H_Soufriere!H34,"AAAAAG47/cc=")</f>
        <v>#VALUE!</v>
      </c>
      <c r="GS29" s="1" t="e">
        <f>AND(H_Soufriere!#REF!,"AAAAAG47/cg=")</f>
        <v>#REF!</v>
      </c>
      <c r="GT29" s="1" t="e">
        <f>AND(H_Soufriere!#REF!,"AAAAAG47/ck=")</f>
        <v>#REF!</v>
      </c>
      <c r="GU29" s="1" t="e">
        <f>AND(H_Soufriere!I34,"AAAAAG47/co=")</f>
        <v>#VALUE!</v>
      </c>
      <c r="GV29" s="1" t="e">
        <f>AND(H_Soufriere!J34,"AAAAAG47/cs=")</f>
        <v>#VALUE!</v>
      </c>
      <c r="GW29" s="1" t="e">
        <f>AND(H_Soufriere!K34,"AAAAAG47/cw=")</f>
        <v>#VALUE!</v>
      </c>
      <c r="GX29" s="1" t="e">
        <f>AND(H_Soufriere!L34,"AAAAAG47/c0=")</f>
        <v>#VALUE!</v>
      </c>
      <c r="GY29" s="1" t="e">
        <f>AND(H_Soufriere!M34,"AAAAAG47/c4=")</f>
        <v>#VALUE!</v>
      </c>
      <c r="GZ29" s="1" t="e">
        <f>AND(H_Soufriere!N34,"AAAAAG47/c8=")</f>
        <v>#VALUE!</v>
      </c>
      <c r="HA29" s="1">
        <f>IF(H_Soufriere!35:35,"AAAAAG47/dA=",0)</f>
        <v>0</v>
      </c>
      <c r="HB29" s="1" t="e">
        <f>AND(H_Soufriere!A35,"AAAAAG47/dE=")</f>
        <v>#VALUE!</v>
      </c>
      <c r="HC29" s="1" t="b">
        <f>AND(H_Soufriere!B35,"AAAAAG47/dI=")</f>
        <v>1</v>
      </c>
      <c r="HD29" s="1" t="b">
        <f>AND(H_Soufriere!C35,"AAAAAG47/dM=")</f>
        <v>1</v>
      </c>
      <c r="HE29" s="1" t="b">
        <f>AND(H_Soufriere!D35,"AAAAAG47/dQ=")</f>
        <v>1</v>
      </c>
      <c r="HF29" s="1" t="b">
        <f>AND(H_Soufriere!E35,"AAAAAG47/dU=")</f>
        <v>1</v>
      </c>
      <c r="HG29" s="1" t="b">
        <f>AND(H_Soufriere!F35,"AAAAAG47/dY=")</f>
        <v>1</v>
      </c>
      <c r="HH29" s="1" t="b">
        <f>AND(H_Soufriere!G35,"AAAAAG47/dc=")</f>
        <v>0</v>
      </c>
      <c r="HI29" s="1" t="b">
        <f>AND(H_Soufriere!H35,"AAAAAG47/dg=")</f>
        <v>0</v>
      </c>
      <c r="HJ29" s="1" t="e">
        <f>AND(H_Soufriere!#REF!,"AAAAAG47/dk=")</f>
        <v>#REF!</v>
      </c>
      <c r="HK29" s="1" t="e">
        <f>AND(H_Soufriere!#REF!,"AAAAAG47/do=")</f>
        <v>#REF!</v>
      </c>
      <c r="HL29" s="1" t="b">
        <f>AND(H_Soufriere!I35,"AAAAAG47/ds=")</f>
        <v>0</v>
      </c>
      <c r="HM29" s="1" t="b">
        <f>AND(H_Soufriere!J35,"AAAAAG47/dw=")</f>
        <v>0</v>
      </c>
      <c r="HN29" s="1" t="b">
        <f>AND(H_Soufriere!K35,"AAAAAG47/d0=")</f>
        <v>1</v>
      </c>
      <c r="HO29" s="1" t="b">
        <f>AND(H_Soufriere!L35,"AAAAAG47/d4=")</f>
        <v>1</v>
      </c>
      <c r="HP29" s="1" t="b">
        <f>AND(H_Soufriere!M35,"AAAAAG47/d8=")</f>
        <v>1</v>
      </c>
      <c r="HQ29" s="1" t="b">
        <f>AND(H_Soufriere!N35,"AAAAAG47/eA=")</f>
        <v>1</v>
      </c>
      <c r="HR29" s="1">
        <f>IF(H_Soufriere!37:37,"AAAAAG47/eE=",0)</f>
        <v>0</v>
      </c>
      <c r="HS29" s="1" t="e">
        <f>AND(H_Soufriere!A37,"AAAAAG47/eI=")</f>
        <v>#VALUE!</v>
      </c>
      <c r="HT29" s="1" t="e">
        <f>AND(H_Soufriere!B37,"AAAAAG47/eM=")</f>
        <v>#VALUE!</v>
      </c>
      <c r="HU29" s="1" t="e">
        <f>AND(H_Soufriere!C37,"AAAAAG47/eQ=")</f>
        <v>#VALUE!</v>
      </c>
      <c r="HV29" s="1" t="e">
        <f>AND(H_Soufriere!D37,"AAAAAG47/eU=")</f>
        <v>#VALUE!</v>
      </c>
      <c r="HW29" s="1" t="e">
        <f>AND(H_Soufriere!E37,"AAAAAG47/eY=")</f>
        <v>#VALUE!</v>
      </c>
      <c r="HX29" s="1" t="e">
        <f>AND(H_Soufriere!F37,"AAAAAG47/ec=")</f>
        <v>#VALUE!</v>
      </c>
      <c r="HY29" s="1" t="e">
        <f>AND(H_Soufriere!G37,"AAAAAG47/eg=")</f>
        <v>#VALUE!</v>
      </c>
      <c r="HZ29" s="1" t="e">
        <f>AND(H_Soufriere!H37,"AAAAAG47/ek=")</f>
        <v>#VALUE!</v>
      </c>
      <c r="IA29" s="1" t="e">
        <f>AND(H_Soufriere!#REF!,"AAAAAG47/eo=")</f>
        <v>#REF!</v>
      </c>
      <c r="IB29" s="1" t="e">
        <f>AND(H_Soufriere!#REF!,"AAAAAG47/es=")</f>
        <v>#REF!</v>
      </c>
      <c r="IC29" s="1" t="e">
        <f>AND(H_Soufriere!I37,"AAAAAG47/ew=")</f>
        <v>#VALUE!</v>
      </c>
      <c r="ID29" s="1" t="e">
        <f>AND(H_Soufriere!J37,"AAAAAG47/e0=")</f>
        <v>#VALUE!</v>
      </c>
      <c r="IE29" s="1" t="e">
        <f>AND(H_Soufriere!K37,"AAAAAG47/e4=")</f>
        <v>#VALUE!</v>
      </c>
      <c r="IF29" s="1" t="e">
        <f>AND(H_Soufriere!L37,"AAAAAG47/e8=")</f>
        <v>#VALUE!</v>
      </c>
      <c r="IG29" s="1" t="e">
        <f>AND(H_Soufriere!M37,"AAAAAG47/fA=")</f>
        <v>#VALUE!</v>
      </c>
      <c r="IH29" s="1" t="e">
        <f>AND(H_Soufriere!N37,"AAAAAG47/fE=")</f>
        <v>#VALUE!</v>
      </c>
      <c r="II29" s="1">
        <f>IF(H_Soufriere!38:38,"AAAAAG47/fI=",0)</f>
        <v>0</v>
      </c>
      <c r="IJ29" s="1" t="e">
        <f>AND(H_Soufriere!A38,"AAAAAG47/fM=")</f>
        <v>#VALUE!</v>
      </c>
      <c r="IK29" s="1" t="b">
        <f>AND(H_Soufriere!B38,"AAAAAG47/fQ=")</f>
        <v>1</v>
      </c>
      <c r="IL29" s="1" t="b">
        <f>AND(H_Soufriere!C38,"AAAAAG47/fU=")</f>
        <v>1</v>
      </c>
      <c r="IM29" s="1" t="b">
        <f>AND(H_Soufriere!D38,"AAAAAG47/fY=")</f>
        <v>1</v>
      </c>
      <c r="IN29" s="1" t="b">
        <f>AND(H_Soufriere!E38,"AAAAAG47/fc=")</f>
        <v>1</v>
      </c>
      <c r="IO29" s="1" t="b">
        <f>AND(H_Soufriere!F38,"AAAAAG47/fg=")</f>
        <v>1</v>
      </c>
      <c r="IP29" s="1" t="b">
        <f>AND(H_Soufriere!G38,"AAAAAG47/fk=")</f>
        <v>1</v>
      </c>
      <c r="IQ29" s="1" t="b">
        <f>AND(H_Soufriere!H38,"AAAAAG47/fo=")</f>
        <v>1</v>
      </c>
      <c r="IR29" s="1" t="e">
        <f>AND(H_Soufriere!#REF!,"AAAAAG47/fs=")</f>
        <v>#REF!</v>
      </c>
      <c r="IS29" s="1" t="e">
        <f>AND(H_Soufriere!#REF!,"AAAAAG47/fw=")</f>
        <v>#REF!</v>
      </c>
      <c r="IT29" s="1" t="b">
        <f>AND(H_Soufriere!I38,"AAAAAG47/f0=")</f>
        <v>1</v>
      </c>
      <c r="IU29" s="1" t="b">
        <f>AND(H_Soufriere!J38,"AAAAAG47/f4=")</f>
        <v>1</v>
      </c>
      <c r="IV29" s="1" t="b">
        <f>AND(H_Soufriere!K38,"AAAAAG47/f8=")</f>
        <v>1</v>
      </c>
    </row>
    <row r="30" spans="1:256" ht="12" customHeight="1" x14ac:dyDescent="0.2">
      <c r="A30" s="1" t="b">
        <f>AND(H_Soufriere!L38,"AAAAAH738wA=")</f>
        <v>1</v>
      </c>
      <c r="B30" s="1" t="b">
        <f>AND(H_Soufriere!M38,"AAAAAH738wE=")</f>
        <v>1</v>
      </c>
      <c r="C30" s="1" t="b">
        <f>AND(H_Soufriere!N38,"AAAAAH738wI=")</f>
        <v>1</v>
      </c>
      <c r="D30" s="1" t="str">
        <f>IF(H_Soufriere!39:39,"AAAAAH738wM=",0)</f>
        <v>AAAAAH738wM=</v>
      </c>
      <c r="E30" s="1" t="e">
        <f>AND(H_Soufriere!A39,"AAAAAH738wQ=")</f>
        <v>#VALUE!</v>
      </c>
      <c r="F30" s="1" t="b">
        <f>AND(H_Soufriere!B39,"AAAAAH738wU=")</f>
        <v>1</v>
      </c>
      <c r="G30" s="1" t="b">
        <f>AND(H_Soufriere!C39,"AAAAAH738wY=")</f>
        <v>1</v>
      </c>
      <c r="H30" s="1" t="b">
        <f>AND(H_Soufriere!D39,"AAAAAH738wc=")</f>
        <v>1</v>
      </c>
      <c r="I30" s="1" t="b">
        <f>AND(H_Soufriere!E39,"AAAAAH738wg=")</f>
        <v>1</v>
      </c>
      <c r="J30" s="1" t="b">
        <f>AND(H_Soufriere!F39,"AAAAAH738wk=")</f>
        <v>1</v>
      </c>
      <c r="K30" s="1" t="b">
        <f>AND(H_Soufriere!G39,"AAAAAH738wo=")</f>
        <v>0</v>
      </c>
      <c r="L30" s="1" t="b">
        <f>AND(H_Soufriere!H39,"AAAAAH738ws=")</f>
        <v>0</v>
      </c>
      <c r="M30" s="1" t="e">
        <f>AND(H_Soufriere!#REF!,"AAAAAH738ww=")</f>
        <v>#REF!</v>
      </c>
      <c r="N30" s="1" t="e">
        <f>AND(H_Soufriere!#REF!,"AAAAAH738w0=")</f>
        <v>#REF!</v>
      </c>
      <c r="O30" s="1" t="b">
        <f>AND(H_Soufriere!I39,"AAAAAH738w4=")</f>
        <v>1</v>
      </c>
      <c r="P30" s="1" t="b">
        <f>AND(H_Soufriere!J39,"AAAAAH738w8=")</f>
        <v>1</v>
      </c>
      <c r="Q30" s="1" t="b">
        <f>AND(H_Soufriere!K39,"AAAAAH738xA=")</f>
        <v>1</v>
      </c>
      <c r="R30" s="1" t="b">
        <f>AND(H_Soufriere!L39,"AAAAAH738xE=")</f>
        <v>1</v>
      </c>
      <c r="S30" s="1" t="b">
        <f>AND(H_Soufriere!M39,"AAAAAH738xI=")</f>
        <v>1</v>
      </c>
      <c r="T30" s="1" t="b">
        <f>AND(H_Soufriere!N39,"AAAAAH738xM=")</f>
        <v>1</v>
      </c>
      <c r="U30" s="1">
        <f>IF(H_Soufriere!40:40,"AAAAAH738xQ=",0)</f>
        <v>0</v>
      </c>
      <c r="V30" s="1" t="e">
        <f>AND(H_Soufriere!A40,"AAAAAH738xU=")</f>
        <v>#VALUE!</v>
      </c>
      <c r="W30" s="1" t="b">
        <f>AND(H_Soufriere!B40,"AAAAAH738xY=")</f>
        <v>1</v>
      </c>
      <c r="X30" s="1" t="b">
        <f>AND(H_Soufriere!C40,"AAAAAH738xc=")</f>
        <v>1</v>
      </c>
      <c r="Y30" s="1" t="b">
        <f>AND(H_Soufriere!D40,"AAAAAH738xg=")</f>
        <v>1</v>
      </c>
      <c r="Z30" s="1" t="b">
        <f>AND(H_Soufriere!E40,"AAAAAH738xk=")</f>
        <v>1</v>
      </c>
      <c r="AA30" s="1" t="b">
        <f>AND(H_Soufriere!F40,"AAAAAH738xo=")</f>
        <v>1</v>
      </c>
      <c r="AB30" s="1" t="b">
        <f>AND(H_Soufriere!G40,"AAAAAH738xs=")</f>
        <v>1</v>
      </c>
      <c r="AC30" s="1" t="b">
        <f>AND(H_Soufriere!H40,"AAAAAH738xw=")</f>
        <v>1</v>
      </c>
      <c r="AD30" s="1" t="e">
        <f>AND(H_Soufriere!#REF!,"AAAAAH738x0=")</f>
        <v>#REF!</v>
      </c>
      <c r="AE30" s="1" t="e">
        <f>AND(H_Soufriere!#REF!,"AAAAAH738x4=")</f>
        <v>#REF!</v>
      </c>
      <c r="AF30" s="1" t="b">
        <f>AND(H_Soufriere!I40,"AAAAAH738x8=")</f>
        <v>1</v>
      </c>
      <c r="AG30" s="1" t="b">
        <f>AND(H_Soufriere!J40,"AAAAAH738yA=")</f>
        <v>1</v>
      </c>
      <c r="AH30" s="1" t="b">
        <f>AND(H_Soufriere!K40,"AAAAAH738yE=")</f>
        <v>1</v>
      </c>
      <c r="AI30" s="1" t="b">
        <f>AND(H_Soufriere!L40,"AAAAAH738yI=")</f>
        <v>1</v>
      </c>
      <c r="AJ30" s="1" t="b">
        <f>AND(H_Soufriere!M40,"AAAAAH738yM=")</f>
        <v>1</v>
      </c>
      <c r="AK30" s="1" t="b">
        <f>AND(H_Soufriere!N40,"AAAAAH738yQ=")</f>
        <v>1</v>
      </c>
      <c r="AL30" s="1">
        <f>IF(H_Soufriere!42:42,"AAAAAH738yU=",0)</f>
        <v>0</v>
      </c>
      <c r="AM30" s="1" t="e">
        <f>AND(H_Soufriere!A42,"AAAAAH738yY=")</f>
        <v>#VALUE!</v>
      </c>
      <c r="AN30" s="1" t="e">
        <f>AND(H_Soufriere!B42,"AAAAAH738yc=")</f>
        <v>#VALUE!</v>
      </c>
      <c r="AO30" s="1" t="e">
        <f>AND(H_Soufriere!C42,"AAAAAH738yg=")</f>
        <v>#VALUE!</v>
      </c>
      <c r="AP30" s="1" t="e">
        <f>AND(H_Soufriere!D42,"AAAAAH738yk=")</f>
        <v>#VALUE!</v>
      </c>
      <c r="AQ30" s="1" t="e">
        <f>AND(H_Soufriere!E42,"AAAAAH738yo=")</f>
        <v>#VALUE!</v>
      </c>
      <c r="AR30" s="1" t="e">
        <f>AND(H_Soufriere!F42,"AAAAAH738ys=")</f>
        <v>#VALUE!</v>
      </c>
      <c r="AS30" s="1" t="e">
        <f>AND(H_Soufriere!G42,"AAAAAH738yw=")</f>
        <v>#VALUE!</v>
      </c>
      <c r="AT30" s="1" t="e">
        <f>AND(H_Soufriere!H42,"AAAAAH738y0=")</f>
        <v>#VALUE!</v>
      </c>
      <c r="AU30" s="1" t="e">
        <f>AND(H_Soufriere!#REF!,"AAAAAH738y4=")</f>
        <v>#REF!</v>
      </c>
      <c r="AV30" s="1" t="e">
        <f>AND(H_Soufriere!#REF!,"AAAAAH738y8=")</f>
        <v>#REF!</v>
      </c>
      <c r="AW30" s="1" t="e">
        <f>AND(H_Soufriere!I42,"AAAAAH738zA=")</f>
        <v>#VALUE!</v>
      </c>
      <c r="AX30" s="1" t="e">
        <f>AND(H_Soufriere!J42,"AAAAAH738zE=")</f>
        <v>#VALUE!</v>
      </c>
      <c r="AY30" s="1" t="e">
        <f>AND(H_Soufriere!K42,"AAAAAH738zI=")</f>
        <v>#VALUE!</v>
      </c>
      <c r="AZ30" s="1" t="e">
        <f>AND(H_Soufriere!L42,"AAAAAH738zM=")</f>
        <v>#VALUE!</v>
      </c>
      <c r="BA30" s="1" t="e">
        <f>AND(H_Soufriere!M42,"AAAAAH738zQ=")</f>
        <v>#VALUE!</v>
      </c>
      <c r="BB30" s="1" t="e">
        <f>AND(H_Soufriere!N42,"AAAAAH738zU=")</f>
        <v>#VALUE!</v>
      </c>
      <c r="BC30" s="1">
        <f>IF(H_Soufriere!43:43,"AAAAAH738zY=",0)</f>
        <v>0</v>
      </c>
      <c r="BD30" s="1" t="e">
        <f>AND(H_Soufriere!A43,"AAAAAH738zc=")</f>
        <v>#VALUE!</v>
      </c>
      <c r="BE30" s="1" t="b">
        <f>AND(H_Soufriere!B43,"AAAAAH738zg=")</f>
        <v>1</v>
      </c>
      <c r="BF30" s="1" t="b">
        <f>AND(H_Soufriere!C43,"AAAAAH738zk=")</f>
        <v>1</v>
      </c>
      <c r="BG30" s="1" t="b">
        <f>AND(H_Soufriere!D43,"AAAAAH738zo=")</f>
        <v>1</v>
      </c>
      <c r="BH30" s="1" t="b">
        <f>AND(H_Soufriere!E43,"AAAAAH738zs=")</f>
        <v>1</v>
      </c>
      <c r="BI30" s="1" t="b">
        <f>AND(H_Soufriere!F43,"AAAAAH738zw=")</f>
        <v>1</v>
      </c>
      <c r="BJ30" s="1" t="b">
        <f>AND(H_Soufriere!G43,"AAAAAH738z0=")</f>
        <v>1</v>
      </c>
      <c r="BK30" s="1" t="b">
        <f>AND(H_Soufriere!H43,"AAAAAH738z4=")</f>
        <v>1</v>
      </c>
      <c r="BL30" s="1" t="e">
        <f>AND(H_Soufriere!#REF!,"AAAAAH738z8=")</f>
        <v>#REF!</v>
      </c>
      <c r="BM30" s="1" t="e">
        <f>AND(H_Soufriere!#REF!,"AAAAAH7380A=")</f>
        <v>#REF!</v>
      </c>
      <c r="BN30" s="1" t="b">
        <f>AND(H_Soufriere!I43,"AAAAAH7380E=")</f>
        <v>1</v>
      </c>
      <c r="BO30" s="1" t="b">
        <f>AND(H_Soufriere!J43,"AAAAAH7380I=")</f>
        <v>1</v>
      </c>
      <c r="BP30" s="1" t="b">
        <f>AND(H_Soufriere!K43,"AAAAAH7380M=")</f>
        <v>1</v>
      </c>
      <c r="BQ30" s="1" t="b">
        <f>AND(H_Soufriere!L43,"AAAAAH7380Q=")</f>
        <v>1</v>
      </c>
      <c r="BR30" s="1" t="b">
        <f>AND(H_Soufriere!M43,"AAAAAH7380U=")</f>
        <v>1</v>
      </c>
      <c r="BS30" s="1" t="b">
        <f>AND(H_Soufriere!N43,"AAAAAH7380Y=")</f>
        <v>1</v>
      </c>
      <c r="BT30" s="1">
        <f>IF(H_Soufriere!44:44,"AAAAAH7380c=",0)</f>
        <v>0</v>
      </c>
      <c r="BU30" s="1" t="e">
        <f>AND(H_Soufriere!A44,"AAAAAH7380g=")</f>
        <v>#VALUE!</v>
      </c>
      <c r="BV30" s="1" t="b">
        <f>AND(H_Soufriere!B44,"AAAAAH7380k=")</f>
        <v>1</v>
      </c>
      <c r="BW30" s="1" t="b">
        <f>AND(H_Soufriere!C44,"AAAAAH7380o=")</f>
        <v>1</v>
      </c>
      <c r="BX30" s="1" t="b">
        <f>AND(H_Soufriere!D44,"AAAAAH7380s=")</f>
        <v>1</v>
      </c>
      <c r="BY30" s="1" t="b">
        <f>AND(H_Soufriere!E44,"AAAAAH7380w=")</f>
        <v>1</v>
      </c>
      <c r="BZ30" s="1" t="b">
        <f>AND(H_Soufriere!F44,"AAAAAH73800=")</f>
        <v>1</v>
      </c>
      <c r="CA30" s="1" t="b">
        <f>AND(H_Soufriere!G44,"AAAAAH73804=")</f>
        <v>0</v>
      </c>
      <c r="CB30" s="1" t="b">
        <f>AND(H_Soufriere!H44,"AAAAAH73808=")</f>
        <v>0</v>
      </c>
      <c r="CC30" s="1" t="e">
        <f>AND(H_Soufriere!#REF!,"AAAAAH7381A=")</f>
        <v>#REF!</v>
      </c>
      <c r="CD30" s="1" t="e">
        <f>AND(H_Soufriere!#REF!,"AAAAAH7381E=")</f>
        <v>#REF!</v>
      </c>
      <c r="CE30" s="1" t="b">
        <f>AND(H_Soufriere!I44,"AAAAAH7381I=")</f>
        <v>1</v>
      </c>
      <c r="CF30" s="1" t="b">
        <f>AND(H_Soufriere!J44,"AAAAAH7381M=")</f>
        <v>1</v>
      </c>
      <c r="CG30" s="1" t="b">
        <f>AND(H_Soufriere!K44,"AAAAAH7381Q=")</f>
        <v>1</v>
      </c>
      <c r="CH30" s="1" t="b">
        <f>AND(H_Soufriere!L44,"AAAAAH7381U=")</f>
        <v>1</v>
      </c>
      <c r="CI30" s="1" t="b">
        <f>AND(H_Soufriere!M44,"AAAAAH7381Y=")</f>
        <v>1</v>
      </c>
      <c r="CJ30" s="1" t="b">
        <f>AND(H_Soufriere!N44,"AAAAAH7381c=")</f>
        <v>1</v>
      </c>
      <c r="CK30" s="1">
        <f>IF(H_Soufriere!45:45,"AAAAAH7381g=",0)</f>
        <v>0</v>
      </c>
      <c r="CL30" s="1" t="e">
        <f>AND(H_Soufriere!A45,"AAAAAH7381k=")</f>
        <v>#VALUE!</v>
      </c>
      <c r="CM30" s="1" t="b">
        <f>AND(H_Soufriere!B45,"AAAAAH7381o=")</f>
        <v>1</v>
      </c>
      <c r="CN30" s="1" t="b">
        <f>AND(H_Soufriere!C45,"AAAAAH7381s=")</f>
        <v>1</v>
      </c>
      <c r="CO30" s="1" t="b">
        <f>AND(H_Soufriere!D45,"AAAAAH7381w=")</f>
        <v>1</v>
      </c>
      <c r="CP30" s="1" t="b">
        <f>AND(H_Soufriere!E45,"AAAAAH73810=")</f>
        <v>1</v>
      </c>
      <c r="CQ30" s="1" t="b">
        <f>AND(H_Soufriere!F45,"AAAAAH73814=")</f>
        <v>1</v>
      </c>
      <c r="CR30" s="1" t="b">
        <f>AND(H_Soufriere!G45,"AAAAAH73818=")</f>
        <v>1</v>
      </c>
      <c r="CS30" s="1" t="b">
        <f>AND(H_Soufriere!H45,"AAAAAH7382A=")</f>
        <v>1</v>
      </c>
      <c r="CT30" s="1" t="e">
        <f>AND(H_Soufriere!#REF!,"AAAAAH7382E=")</f>
        <v>#REF!</v>
      </c>
      <c r="CU30" s="1" t="e">
        <f>AND(H_Soufriere!#REF!,"AAAAAH7382I=")</f>
        <v>#REF!</v>
      </c>
      <c r="CV30" s="1" t="b">
        <f>AND(H_Soufriere!I45,"AAAAAH7382M=")</f>
        <v>1</v>
      </c>
      <c r="CW30" s="1" t="b">
        <f>AND(H_Soufriere!J45,"AAAAAH7382Q=")</f>
        <v>1</v>
      </c>
      <c r="CX30" s="1" t="b">
        <f>AND(H_Soufriere!K45,"AAAAAH7382U=")</f>
        <v>1</v>
      </c>
      <c r="CY30" s="1" t="b">
        <f>AND(H_Soufriere!L45,"AAAAAH7382Y=")</f>
        <v>1</v>
      </c>
      <c r="CZ30" s="1" t="b">
        <f>AND(H_Soufriere!M45,"AAAAAH7382c=")</f>
        <v>1</v>
      </c>
      <c r="DA30" s="1" t="b">
        <f>AND(H_Soufriere!N45,"AAAAAH7382g=")</f>
        <v>1</v>
      </c>
      <c r="DB30" s="1" t="e">
        <f>IF(H_Soufriere!A:A,"AAAAAH7382k=",0)</f>
        <v>#VALUE!</v>
      </c>
      <c r="DC30" s="1" t="str">
        <f>IF(H_Soufriere!B:B,"AAAAAH7382o=",0)</f>
        <v>AAAAAH7382o=</v>
      </c>
      <c r="DD30" s="1" t="str">
        <f>IF(H_Soufriere!C:C,"AAAAAH7382s=",0)</f>
        <v>AAAAAH7382s=</v>
      </c>
      <c r="DE30" s="1" t="str">
        <f>IF(H_Soufriere!D:D,"AAAAAH7382w=",0)</f>
        <v>AAAAAH7382w=</v>
      </c>
      <c r="DF30" s="1" t="str">
        <f>IF(H_Soufriere!E:E,"AAAAAH73820=",0)</f>
        <v>AAAAAH73820=</v>
      </c>
      <c r="DG30" s="1" t="str">
        <f>IF(H_Soufriere!F:F,"AAAAAH73824=",0)</f>
        <v>AAAAAH73824=</v>
      </c>
      <c r="DH30" s="1" t="str">
        <f>IF(H_Soufriere!G:G,"AAAAAH73828=",0)</f>
        <v>AAAAAH73828=</v>
      </c>
      <c r="DI30" s="1" t="str">
        <f>IF(H_Soufriere!H:H,"AAAAAH7383A=",0)</f>
        <v>AAAAAH7383A=</v>
      </c>
      <c r="DJ30" s="1" t="e">
        <f>IF(H_Soufriere!#REF!,"AAAAAH7383E=",0)</f>
        <v>#REF!</v>
      </c>
      <c r="DK30" s="1" t="e">
        <f>IF(H_Soufriere!#REF!,"AAAAAH7383I=",0)</f>
        <v>#REF!</v>
      </c>
      <c r="DL30" s="1" t="str">
        <f>IF(H_Soufriere!I:I,"AAAAAH7383M=",0)</f>
        <v>AAAAAH7383M=</v>
      </c>
      <c r="DM30" s="1" t="str">
        <f>IF(H_Soufriere!J:J,"AAAAAH7383Q=",0)</f>
        <v>AAAAAH7383Q=</v>
      </c>
      <c r="DN30" s="1" t="str">
        <f>IF(H_Soufriere!K:K,"AAAAAH7383U=",0)</f>
        <v>AAAAAH7383U=</v>
      </c>
      <c r="DO30" s="1" t="str">
        <f>IF(H_Soufriere!L:L,"AAAAAH7383Y=",0)</f>
        <v>AAAAAH7383Y=</v>
      </c>
      <c r="DP30" s="1" t="str">
        <f>IF(H_Soufriere!M:M,"AAAAAH7383c=",0)</f>
        <v>AAAAAH7383c=</v>
      </c>
      <c r="DQ30" s="1" t="str">
        <f>IF(H_Soufriere!N:N,"AAAAAH7383g=",0)</f>
        <v>AAAAAH7383g=</v>
      </c>
      <c r="DR30" s="1">
        <f>IF(I_Choiseul!2:2,"AAAAAH7383k=",0)</f>
        <v>0</v>
      </c>
      <c r="DS30" s="1" t="e">
        <f>AND(I_Choiseul!A2,"AAAAAH7383o=")</f>
        <v>#VALUE!</v>
      </c>
      <c r="DT30" s="1" t="e">
        <f>AND(I_Choiseul!B2,"AAAAAH7383s=")</f>
        <v>#VALUE!</v>
      </c>
      <c r="DU30" s="1" t="e">
        <f>AND(I_Choiseul!C2,"AAAAAH7383w=")</f>
        <v>#VALUE!</v>
      </c>
      <c r="DV30" s="1" t="e">
        <f>AND(I_Choiseul!D2,"AAAAAH73830=")</f>
        <v>#VALUE!</v>
      </c>
      <c r="DW30" s="1" t="e">
        <f>AND(I_Choiseul!E2,"AAAAAH73834=")</f>
        <v>#VALUE!</v>
      </c>
      <c r="DX30" s="1" t="e">
        <f>AND(I_Choiseul!F2,"AAAAAH73838=")</f>
        <v>#VALUE!</v>
      </c>
      <c r="DY30" s="1" t="e">
        <f>AND(I_Choiseul!G2,"AAAAAH7384A=")</f>
        <v>#VALUE!</v>
      </c>
      <c r="DZ30" s="1" t="e">
        <f>AND(I_Choiseul!H2,"AAAAAH7384E=")</f>
        <v>#VALUE!</v>
      </c>
      <c r="EA30" s="1" t="e">
        <f>AND(I_Choiseul!I2,"AAAAAH7384I=")</f>
        <v>#VALUE!</v>
      </c>
      <c r="EB30" s="1" t="e">
        <f>AND(I_Choiseul!J2,"AAAAAH7384M=")</f>
        <v>#VALUE!</v>
      </c>
      <c r="EC30" s="1" t="e">
        <f>AND(I_Choiseul!K2,"AAAAAH7384Q=")</f>
        <v>#VALUE!</v>
      </c>
      <c r="ED30" s="1" t="e">
        <f>AND(I_Choiseul!L2,"AAAAAH7384U=")</f>
        <v>#VALUE!</v>
      </c>
      <c r="EE30" s="1">
        <f>IF(I_Choiseul!3:3,"AAAAAH7384Y=",0)</f>
        <v>0</v>
      </c>
      <c r="EF30" s="1" t="e">
        <f>AND(I_Choiseul!#REF!,"AAAAAH7384c=")</f>
        <v>#REF!</v>
      </c>
      <c r="EG30" s="1" t="e">
        <f>AND(I_Choiseul!A3,"AAAAAH7384g=")</f>
        <v>#VALUE!</v>
      </c>
      <c r="EH30" s="1" t="e">
        <f>AND(I_Choiseul!C3,"AAAAAH7384k=")</f>
        <v>#VALUE!</v>
      </c>
      <c r="EI30" s="1" t="e">
        <f>AND(I_Choiseul!D3,"AAAAAH7384o=")</f>
        <v>#VALUE!</v>
      </c>
      <c r="EJ30" s="1" t="e">
        <f>AND(I_Choiseul!E3,"AAAAAH7384s=")</f>
        <v>#VALUE!</v>
      </c>
      <c r="EK30" s="1" t="e">
        <f>AND(I_Choiseul!F3,"AAAAAH7384w=")</f>
        <v>#VALUE!</v>
      </c>
      <c r="EL30" s="1" t="e">
        <f>AND(I_Choiseul!G3,"AAAAAH73840=")</f>
        <v>#VALUE!</v>
      </c>
      <c r="EM30" s="1" t="e">
        <f>AND(I_Choiseul!H3,"AAAAAH73844=")</f>
        <v>#VALUE!</v>
      </c>
      <c r="EN30" s="1" t="e">
        <f>AND(I_Choiseul!I3,"AAAAAH73848=")</f>
        <v>#VALUE!</v>
      </c>
      <c r="EO30" s="1" t="e">
        <f>AND(I_Choiseul!J3,"AAAAAH7385A=")</f>
        <v>#VALUE!</v>
      </c>
      <c r="EP30" s="1" t="e">
        <f>AND(I_Choiseul!K3,"AAAAAH7385E=")</f>
        <v>#VALUE!</v>
      </c>
      <c r="EQ30" s="1" t="e">
        <f>AND(I_Choiseul!L3,"AAAAAH7385I=")</f>
        <v>#VALUE!</v>
      </c>
      <c r="ER30" s="1">
        <f>IF(I_Choiseul!4:4,"AAAAAH7385M=",0)</f>
        <v>0</v>
      </c>
      <c r="ES30" s="1" t="e">
        <f>AND(I_Choiseul!A4,"AAAAAH7385Q=")</f>
        <v>#VALUE!</v>
      </c>
      <c r="ET30" s="1" t="b">
        <f>AND(I_Choiseul!B4,"AAAAAH7385U=")</f>
        <v>1</v>
      </c>
      <c r="EU30" s="1" t="b">
        <f>AND(I_Choiseul!C4,"AAAAAH7385Y=")</f>
        <v>1</v>
      </c>
      <c r="EV30" s="1" t="b">
        <f>AND(I_Choiseul!D4,"AAAAAH7385c=")</f>
        <v>1</v>
      </c>
      <c r="EW30" s="1" t="b">
        <f>AND(I_Choiseul!E4,"AAAAAH7385g=")</f>
        <v>1</v>
      </c>
      <c r="EX30" s="1" t="b">
        <f>AND(I_Choiseul!F4,"AAAAAH7385k=")</f>
        <v>1</v>
      </c>
      <c r="EY30" s="1" t="b">
        <f>AND(I_Choiseul!G4,"AAAAAH7385o=")</f>
        <v>1</v>
      </c>
      <c r="EZ30" s="1" t="b">
        <f>AND(I_Choiseul!H4,"AAAAAH7385s=")</f>
        <v>1</v>
      </c>
      <c r="FA30" s="1" t="b">
        <f>AND(I_Choiseul!I4,"AAAAAH7385w=")</f>
        <v>1</v>
      </c>
      <c r="FB30" s="1" t="b">
        <f>AND(I_Choiseul!J4,"AAAAAH73850=")</f>
        <v>1</v>
      </c>
      <c r="FC30" s="1" t="b">
        <f>AND(I_Choiseul!K4,"AAAAAH73854=")</f>
        <v>1</v>
      </c>
      <c r="FD30" s="1" t="b">
        <f>AND(I_Choiseul!L4,"AAAAAH73858=")</f>
        <v>1</v>
      </c>
      <c r="FE30" s="1">
        <f>IF(I_Choiseul!5:5,"AAAAAH7386A=",0)</f>
        <v>0</v>
      </c>
      <c r="FF30" s="1" t="e">
        <f>AND(I_Choiseul!A5,"AAAAAH7386E=")</f>
        <v>#VALUE!</v>
      </c>
      <c r="FG30" s="1" t="e">
        <f>AND(I_Choiseul!B5,"AAAAAH7386I=")</f>
        <v>#VALUE!</v>
      </c>
      <c r="FH30" s="1" t="e">
        <f>AND(I_Choiseul!C5,"AAAAAH7386M=")</f>
        <v>#VALUE!</v>
      </c>
      <c r="FI30" s="1" t="e">
        <f>AND(I_Choiseul!D5,"AAAAAH7386Q=")</f>
        <v>#VALUE!</v>
      </c>
      <c r="FJ30" s="1" t="e">
        <f>AND(I_Choiseul!E5,"AAAAAH7386U=")</f>
        <v>#VALUE!</v>
      </c>
      <c r="FK30" s="1" t="e">
        <f>AND(I_Choiseul!F5,"AAAAAH7386Y=")</f>
        <v>#VALUE!</v>
      </c>
      <c r="FL30" s="1" t="e">
        <f>AND(I_Choiseul!G5,"AAAAAH7386c=")</f>
        <v>#VALUE!</v>
      </c>
      <c r="FM30" s="1" t="e">
        <f>AND(I_Choiseul!H5,"AAAAAH7386g=")</f>
        <v>#VALUE!</v>
      </c>
      <c r="FN30" s="1" t="e">
        <f>AND(I_Choiseul!I5,"AAAAAH7386k=")</f>
        <v>#VALUE!</v>
      </c>
      <c r="FO30" s="1" t="e">
        <f>AND(I_Choiseul!J5,"AAAAAH7386o=")</f>
        <v>#VALUE!</v>
      </c>
      <c r="FP30" s="1" t="e">
        <f>AND(I_Choiseul!K5,"AAAAAH7386s=")</f>
        <v>#VALUE!</v>
      </c>
      <c r="FQ30" s="1" t="e">
        <f>AND(I_Choiseul!L5,"AAAAAH7386w=")</f>
        <v>#VALUE!</v>
      </c>
      <c r="FR30" s="1" t="e">
        <f t="shared" ref="FR30:GD30" si="10">IF(I_Choiseul!#REF!,"AAAAAH73860=",0)</f>
        <v>#REF!</v>
      </c>
      <c r="FS30" s="1" t="e">
        <f t="shared" si="10"/>
        <v>#REF!</v>
      </c>
      <c r="FT30" s="1" t="e">
        <f t="shared" si="10"/>
        <v>#REF!</v>
      </c>
      <c r="FU30" s="1" t="e">
        <f t="shared" si="10"/>
        <v>#REF!</v>
      </c>
      <c r="FV30" s="1" t="e">
        <f t="shared" si="10"/>
        <v>#REF!</v>
      </c>
      <c r="FW30" s="1" t="e">
        <f t="shared" si="10"/>
        <v>#REF!</v>
      </c>
      <c r="FX30" s="1" t="e">
        <f t="shared" si="10"/>
        <v>#REF!</v>
      </c>
      <c r="FY30" s="1" t="e">
        <f t="shared" si="10"/>
        <v>#REF!</v>
      </c>
      <c r="FZ30" s="1" t="e">
        <f t="shared" si="10"/>
        <v>#REF!</v>
      </c>
      <c r="GA30" s="1" t="e">
        <f t="shared" si="10"/>
        <v>#REF!</v>
      </c>
      <c r="GB30" s="1" t="e">
        <f t="shared" si="10"/>
        <v>#REF!</v>
      </c>
      <c r="GC30" s="1" t="e">
        <f t="shared" si="10"/>
        <v>#REF!</v>
      </c>
      <c r="GD30" s="1" t="e">
        <f t="shared" si="10"/>
        <v>#REF!</v>
      </c>
      <c r="GE30" s="1">
        <f>IF(I_Choiseul!6:6,"AAAAAH7387o=",0)</f>
        <v>0</v>
      </c>
      <c r="GF30" s="1" t="e">
        <f>AND(I_Choiseul!A6,"AAAAAH7387s=")</f>
        <v>#VALUE!</v>
      </c>
      <c r="GG30" s="1" t="b">
        <f>AND(I_Choiseul!B6,"AAAAAH7387w=")</f>
        <v>1</v>
      </c>
      <c r="GH30" s="1" t="b">
        <f>AND(I_Choiseul!C6,"AAAAAH73870=")</f>
        <v>1</v>
      </c>
      <c r="GI30" s="1" t="b">
        <f>AND(I_Choiseul!D6,"AAAAAH73874=")</f>
        <v>1</v>
      </c>
      <c r="GJ30" s="1" t="b">
        <f>AND(I_Choiseul!E6,"AAAAAH73878=")</f>
        <v>1</v>
      </c>
      <c r="GK30" s="1" t="b">
        <f>AND(I_Choiseul!F6,"AAAAAH7388A=")</f>
        <v>1</v>
      </c>
      <c r="GL30" s="1" t="b">
        <f>AND(I_Choiseul!G6,"AAAAAH7388E=")</f>
        <v>1</v>
      </c>
      <c r="GM30" s="1" t="b">
        <f>AND(I_Choiseul!H6,"AAAAAH7388I=")</f>
        <v>1</v>
      </c>
      <c r="GN30" s="1" t="b">
        <f>AND(I_Choiseul!I6,"AAAAAH7388M=")</f>
        <v>1</v>
      </c>
      <c r="GO30" s="1" t="b">
        <f>AND(I_Choiseul!J6,"AAAAAH7388Q=")</f>
        <v>1</v>
      </c>
      <c r="GP30" s="1" t="b">
        <f>AND(I_Choiseul!K6,"AAAAAH7388U=")</f>
        <v>1</v>
      </c>
      <c r="GQ30" s="1" t="b">
        <f>AND(I_Choiseul!L6,"AAAAAH7388Y=")</f>
        <v>1</v>
      </c>
      <c r="GR30" s="1">
        <f>IF(I_Choiseul!7:7,"AAAAAH7388c=",0)</f>
        <v>0</v>
      </c>
      <c r="GS30" s="1" t="e">
        <f>AND(I_Choiseul!A7,"AAAAAH7388g=")</f>
        <v>#VALUE!</v>
      </c>
      <c r="GT30" s="1" t="b">
        <f>AND(I_Choiseul!B7,"AAAAAH7388k=")</f>
        <v>1</v>
      </c>
      <c r="GU30" s="1" t="b">
        <f>AND(I_Choiseul!C7,"AAAAAH7388o=")</f>
        <v>1</v>
      </c>
      <c r="GV30" s="1" t="b">
        <f>AND(I_Choiseul!D7,"AAAAAH7388s=")</f>
        <v>1</v>
      </c>
      <c r="GW30" s="1" t="b">
        <f>AND(I_Choiseul!E7,"AAAAAH7388w=")</f>
        <v>1</v>
      </c>
      <c r="GX30" s="1" t="b">
        <f>AND(I_Choiseul!F7,"AAAAAH73880=")</f>
        <v>1</v>
      </c>
      <c r="GY30" s="1" t="b">
        <f>AND(I_Choiseul!G7,"AAAAAH73884=")</f>
        <v>0</v>
      </c>
      <c r="GZ30" s="1" t="b">
        <f>AND(I_Choiseul!H7,"AAAAAH73888=")</f>
        <v>0</v>
      </c>
      <c r="HA30" s="1" t="b">
        <f>AND(I_Choiseul!I7,"AAAAAH7389A=")</f>
        <v>1</v>
      </c>
      <c r="HB30" s="1" t="b">
        <f>AND(I_Choiseul!J7,"AAAAAH7389E=")</f>
        <v>1</v>
      </c>
      <c r="HC30" s="1" t="b">
        <f>AND(I_Choiseul!K7,"AAAAAH7389I=")</f>
        <v>1</v>
      </c>
      <c r="HD30" s="1" t="b">
        <f>AND(I_Choiseul!L7,"AAAAAH7389M=")</f>
        <v>1</v>
      </c>
      <c r="HE30" s="1">
        <f>IF(I_Choiseul!8:8,"AAAAAH7389Q=",0)</f>
        <v>0</v>
      </c>
      <c r="HF30" s="1" t="e">
        <f>AND(I_Choiseul!A8,"AAAAAH7389U=")</f>
        <v>#VALUE!</v>
      </c>
      <c r="HG30" s="1" t="b">
        <f>AND(I_Choiseul!B8,"AAAAAH7389Y=")</f>
        <v>1</v>
      </c>
      <c r="HH30" s="1" t="b">
        <f>AND(I_Choiseul!C8,"AAAAAH7389c=")</f>
        <v>1</v>
      </c>
      <c r="HI30" s="1" t="b">
        <f>AND(I_Choiseul!D8,"AAAAAH7389g=")</f>
        <v>1</v>
      </c>
      <c r="HJ30" s="1" t="b">
        <f>AND(I_Choiseul!E8,"AAAAAH7389k=")</f>
        <v>1</v>
      </c>
      <c r="HK30" s="1" t="b">
        <f>AND(I_Choiseul!F8,"AAAAAH7389o=")</f>
        <v>1</v>
      </c>
      <c r="HL30" s="1" t="b">
        <f>AND(I_Choiseul!G8,"AAAAAH7389s=")</f>
        <v>1</v>
      </c>
      <c r="HM30" s="1" t="b">
        <f>AND(I_Choiseul!H8,"AAAAAH7389w=")</f>
        <v>1</v>
      </c>
      <c r="HN30" s="1" t="b">
        <f>AND(I_Choiseul!I8,"AAAAAH73890=")</f>
        <v>1</v>
      </c>
      <c r="HO30" s="1" t="b">
        <f>AND(I_Choiseul!J8,"AAAAAH73894=")</f>
        <v>1</v>
      </c>
      <c r="HP30" s="1" t="b">
        <f>AND(I_Choiseul!K8,"AAAAAH73898=")</f>
        <v>1</v>
      </c>
      <c r="HQ30" s="1" t="b">
        <f>AND(I_Choiseul!L8,"AAAAAH738+A=")</f>
        <v>1</v>
      </c>
      <c r="HR30" s="1">
        <f>IF(I_Choiseul!9:9,"AAAAAH738+E=",0)</f>
        <v>0</v>
      </c>
      <c r="HS30" s="1" t="e">
        <f>AND(I_Choiseul!A9,"AAAAAH738+I=")</f>
        <v>#VALUE!</v>
      </c>
      <c r="HT30" s="1" t="b">
        <f>AND(I_Choiseul!B9,"AAAAAH738+M=")</f>
        <v>1</v>
      </c>
      <c r="HU30" s="1" t="b">
        <f>AND(I_Choiseul!C9,"AAAAAH738+Q=")</f>
        <v>1</v>
      </c>
      <c r="HV30" s="1" t="b">
        <f>AND(I_Choiseul!D9,"AAAAAH738+U=")</f>
        <v>1</v>
      </c>
      <c r="HW30" s="1" t="b">
        <f>AND(I_Choiseul!E9,"AAAAAH738+Y=")</f>
        <v>1</v>
      </c>
      <c r="HX30" s="1" t="b">
        <f>AND(I_Choiseul!F9,"AAAAAH738+c=")</f>
        <v>1</v>
      </c>
      <c r="HY30" s="1" t="b">
        <f>AND(I_Choiseul!G9,"AAAAAH738+g=")</f>
        <v>1</v>
      </c>
      <c r="HZ30" s="1" t="b">
        <f>AND(I_Choiseul!H9,"AAAAAH738+k=")</f>
        <v>1</v>
      </c>
      <c r="IA30" s="1" t="b">
        <f>AND(I_Choiseul!I9,"AAAAAH738+o=")</f>
        <v>1</v>
      </c>
      <c r="IB30" s="1" t="b">
        <f>AND(I_Choiseul!J9,"AAAAAH738+s=")</f>
        <v>1</v>
      </c>
      <c r="IC30" s="1" t="b">
        <f>AND(I_Choiseul!K9,"AAAAAH738+w=")</f>
        <v>1</v>
      </c>
      <c r="ID30" s="1" t="b">
        <f>AND(I_Choiseul!L9,"AAAAAH738+0=")</f>
        <v>1</v>
      </c>
      <c r="IE30" s="1">
        <f>IF(I_Choiseul!10:10,"AAAAAH738+4=",0)</f>
        <v>0</v>
      </c>
      <c r="IF30" s="1" t="e">
        <f>AND(I_Choiseul!A10,"AAAAAH738+8=")</f>
        <v>#VALUE!</v>
      </c>
      <c r="IG30" s="1" t="b">
        <f>AND(I_Choiseul!B10,"AAAAAH738/A=")</f>
        <v>1</v>
      </c>
      <c r="IH30" s="1" t="b">
        <f>AND(I_Choiseul!C10,"AAAAAH738/E=")</f>
        <v>1</v>
      </c>
      <c r="II30" s="1" t="b">
        <f>AND(I_Choiseul!D10,"AAAAAH738/I=")</f>
        <v>1</v>
      </c>
      <c r="IJ30" s="1" t="b">
        <f>AND(I_Choiseul!E10,"AAAAAH738/M=")</f>
        <v>1</v>
      </c>
      <c r="IK30" s="1" t="b">
        <f>AND(I_Choiseul!F10,"AAAAAH738/Q=")</f>
        <v>1</v>
      </c>
      <c r="IL30" s="1" t="b">
        <f>AND(I_Choiseul!G10,"AAAAAH738/U=")</f>
        <v>1</v>
      </c>
      <c r="IM30" s="1" t="b">
        <f>AND(I_Choiseul!H10,"AAAAAH738/Y=")</f>
        <v>1</v>
      </c>
      <c r="IN30" s="1" t="b">
        <f>AND(I_Choiseul!I10,"AAAAAH738/c=")</f>
        <v>1</v>
      </c>
      <c r="IO30" s="1" t="b">
        <f>AND(I_Choiseul!J10,"AAAAAH738/g=")</f>
        <v>1</v>
      </c>
      <c r="IP30" s="1" t="b">
        <f>AND(I_Choiseul!K10,"AAAAAH738/k=")</f>
        <v>1</v>
      </c>
      <c r="IQ30" s="1" t="b">
        <f>AND(I_Choiseul!L10,"AAAAAH738/o=")</f>
        <v>1</v>
      </c>
      <c r="IR30" s="1">
        <f>IF(I_Choiseul!12:12,"AAAAAH738/s=",0)</f>
        <v>0</v>
      </c>
      <c r="IS30" s="1" t="e">
        <f>AND(I_Choiseul!A12,"AAAAAH738/w=")</f>
        <v>#VALUE!</v>
      </c>
      <c r="IT30" s="1" t="e">
        <f>AND(I_Choiseul!B12,"AAAAAH738/0=")</f>
        <v>#VALUE!</v>
      </c>
      <c r="IU30" s="1" t="e">
        <f>AND(I_Choiseul!C12,"AAAAAH738/4=")</f>
        <v>#VALUE!</v>
      </c>
      <c r="IV30" s="1" t="e">
        <f>AND(I_Choiseul!D12,"AAAAAH738/8=")</f>
        <v>#VALUE!</v>
      </c>
    </row>
    <row r="31" spans="1:256" ht="12" customHeight="1" x14ac:dyDescent="0.2">
      <c r="A31" s="1" t="e">
        <f>AND(I_Choiseul!E12,"AAAAAGR/fgA=")</f>
        <v>#VALUE!</v>
      </c>
      <c r="B31" s="1" t="e">
        <f>AND(I_Choiseul!F12,"AAAAAGR/fgE=")</f>
        <v>#VALUE!</v>
      </c>
      <c r="C31" s="1" t="e">
        <f>AND(I_Choiseul!G12,"AAAAAGR/fgI=")</f>
        <v>#VALUE!</v>
      </c>
      <c r="D31" s="1" t="e">
        <f>AND(I_Choiseul!H12,"AAAAAGR/fgM=")</f>
        <v>#VALUE!</v>
      </c>
      <c r="E31" s="1" t="e">
        <f>AND(I_Choiseul!I12,"AAAAAGR/fgQ=")</f>
        <v>#VALUE!</v>
      </c>
      <c r="F31" s="1" t="e">
        <f>AND(I_Choiseul!J12,"AAAAAGR/fgU=")</f>
        <v>#VALUE!</v>
      </c>
      <c r="G31" s="1" t="e">
        <f>AND(I_Choiseul!K12,"AAAAAGR/fgY=")</f>
        <v>#VALUE!</v>
      </c>
      <c r="H31" s="1" t="e">
        <f>AND(I_Choiseul!L12,"AAAAAGR/fgc=")</f>
        <v>#VALUE!</v>
      </c>
      <c r="I31" s="1" t="e">
        <f t="shared" ref="I31:U31" si="11">IF(I_Choiseul!#REF!,"AAAAAGR/fgg=",0)</f>
        <v>#REF!</v>
      </c>
      <c r="J31" s="1" t="e">
        <f t="shared" si="11"/>
        <v>#REF!</v>
      </c>
      <c r="K31" s="1" t="e">
        <f t="shared" si="11"/>
        <v>#REF!</v>
      </c>
      <c r="L31" s="1" t="e">
        <f t="shared" si="11"/>
        <v>#REF!</v>
      </c>
      <c r="M31" s="1" t="e">
        <f t="shared" si="11"/>
        <v>#REF!</v>
      </c>
      <c r="N31" s="1" t="e">
        <f t="shared" si="11"/>
        <v>#REF!</v>
      </c>
      <c r="O31" s="1" t="e">
        <f t="shared" si="11"/>
        <v>#REF!</v>
      </c>
      <c r="P31" s="1" t="e">
        <f t="shared" si="11"/>
        <v>#REF!</v>
      </c>
      <c r="Q31" s="1" t="e">
        <f t="shared" si="11"/>
        <v>#REF!</v>
      </c>
      <c r="R31" s="1" t="e">
        <f t="shared" si="11"/>
        <v>#REF!</v>
      </c>
      <c r="S31" s="1" t="e">
        <f t="shared" si="11"/>
        <v>#REF!</v>
      </c>
      <c r="T31" s="1" t="e">
        <f t="shared" si="11"/>
        <v>#REF!</v>
      </c>
      <c r="U31" s="1" t="e">
        <f t="shared" si="11"/>
        <v>#REF!</v>
      </c>
      <c r="V31" s="1">
        <f>IF(I_Choiseul!13:13,"AAAAAGR/fhU=",0)</f>
        <v>0</v>
      </c>
      <c r="W31" s="1" t="e">
        <f>AND(I_Choiseul!A13,"AAAAAGR/fhY=")</f>
        <v>#VALUE!</v>
      </c>
      <c r="X31" s="1" t="b">
        <f>AND(I_Choiseul!B13,"AAAAAGR/fhc=")</f>
        <v>1</v>
      </c>
      <c r="Y31" s="1" t="b">
        <f>AND(I_Choiseul!C13,"AAAAAGR/fhg=")</f>
        <v>1</v>
      </c>
      <c r="Z31" s="1" t="b">
        <f>AND(I_Choiseul!D13,"AAAAAGR/fhk=")</f>
        <v>1</v>
      </c>
      <c r="AA31" s="1" t="b">
        <f>AND(I_Choiseul!E13,"AAAAAGR/fho=")</f>
        <v>1</v>
      </c>
      <c r="AB31" s="1" t="b">
        <f>AND(I_Choiseul!F13,"AAAAAGR/fhs=")</f>
        <v>1</v>
      </c>
      <c r="AC31" s="1" t="b">
        <f>AND(I_Choiseul!G13,"AAAAAGR/fhw=")</f>
        <v>1</v>
      </c>
      <c r="AD31" s="1" t="b">
        <f>AND(I_Choiseul!H13,"AAAAAGR/fh0=")</f>
        <v>1</v>
      </c>
      <c r="AE31" s="1" t="b">
        <f>AND(I_Choiseul!I13,"AAAAAGR/fh4=")</f>
        <v>1</v>
      </c>
      <c r="AF31" s="1" t="b">
        <f>AND(I_Choiseul!J13,"AAAAAGR/fh8=")</f>
        <v>1</v>
      </c>
      <c r="AG31" s="1" t="b">
        <f>AND(I_Choiseul!K13,"AAAAAGR/fiA=")</f>
        <v>1</v>
      </c>
      <c r="AH31" s="1" t="b">
        <f>AND(I_Choiseul!L13,"AAAAAGR/fiE=")</f>
        <v>1</v>
      </c>
      <c r="AI31" s="1">
        <f>IF(I_Choiseul!14:14,"AAAAAGR/fiI=",0)</f>
        <v>0</v>
      </c>
      <c r="AJ31" s="1" t="e">
        <f>AND(I_Choiseul!A14,"AAAAAGR/fiM=")</f>
        <v>#VALUE!</v>
      </c>
      <c r="AK31" s="1" t="b">
        <f>AND(I_Choiseul!B14,"AAAAAGR/fiQ=")</f>
        <v>1</v>
      </c>
      <c r="AL31" s="1" t="b">
        <f>AND(I_Choiseul!C14,"AAAAAGR/fiU=")</f>
        <v>1</v>
      </c>
      <c r="AM31" s="1" t="b">
        <f>AND(I_Choiseul!D14,"AAAAAGR/fiY=")</f>
        <v>1</v>
      </c>
      <c r="AN31" s="1" t="b">
        <f>AND(I_Choiseul!E14,"AAAAAGR/fic=")</f>
        <v>1</v>
      </c>
      <c r="AO31" s="1" t="b">
        <f>AND(I_Choiseul!F14,"AAAAAGR/fig=")</f>
        <v>1</v>
      </c>
      <c r="AP31" s="1" t="b">
        <f>AND(I_Choiseul!G14,"AAAAAGR/fik=")</f>
        <v>1</v>
      </c>
      <c r="AQ31" s="1" t="b">
        <f>AND(I_Choiseul!H14,"AAAAAGR/fio=")</f>
        <v>1</v>
      </c>
      <c r="AR31" s="1" t="b">
        <f>AND(I_Choiseul!I14,"AAAAAGR/fis=")</f>
        <v>1</v>
      </c>
      <c r="AS31" s="1" t="b">
        <f>AND(I_Choiseul!J14,"AAAAAGR/fiw=")</f>
        <v>1</v>
      </c>
      <c r="AT31" s="1" t="b">
        <f>AND(I_Choiseul!K14,"AAAAAGR/fi0=")</f>
        <v>1</v>
      </c>
      <c r="AU31" s="1" t="b">
        <f>AND(I_Choiseul!L14,"AAAAAGR/fi4=")</f>
        <v>1</v>
      </c>
      <c r="AV31" s="1">
        <f>IF(I_Choiseul!15:15,"AAAAAGR/fi8=",0)</f>
        <v>0</v>
      </c>
      <c r="AW31" s="1" t="e">
        <f>AND(I_Choiseul!A15,"AAAAAGR/fjA=")</f>
        <v>#VALUE!</v>
      </c>
      <c r="AX31" s="1" t="b">
        <f>AND(I_Choiseul!B15,"AAAAAGR/fjE=")</f>
        <v>1</v>
      </c>
      <c r="AY31" s="1" t="b">
        <f>AND(I_Choiseul!C15,"AAAAAGR/fjI=")</f>
        <v>1</v>
      </c>
      <c r="AZ31" s="1" t="b">
        <f>AND(I_Choiseul!D15,"AAAAAGR/fjM=")</f>
        <v>1</v>
      </c>
      <c r="BA31" s="1" t="b">
        <f>AND(I_Choiseul!E15,"AAAAAGR/fjQ=")</f>
        <v>1</v>
      </c>
      <c r="BB31" s="1" t="b">
        <f>AND(I_Choiseul!F15,"AAAAAGR/fjU=")</f>
        <v>1</v>
      </c>
      <c r="BC31" s="1" t="b">
        <f>AND(I_Choiseul!G15,"AAAAAGR/fjY=")</f>
        <v>1</v>
      </c>
      <c r="BD31" s="1" t="b">
        <f>AND(I_Choiseul!H15,"AAAAAGR/fjc=")</f>
        <v>1</v>
      </c>
      <c r="BE31" s="1" t="b">
        <f>AND(I_Choiseul!I15,"AAAAAGR/fjg=")</f>
        <v>1</v>
      </c>
      <c r="BF31" s="1" t="b">
        <f>AND(I_Choiseul!J15,"AAAAAGR/fjk=")</f>
        <v>1</v>
      </c>
      <c r="BG31" s="1" t="b">
        <f>AND(I_Choiseul!K15,"AAAAAGR/fjo=")</f>
        <v>1</v>
      </c>
      <c r="BH31" s="1" t="b">
        <f>AND(I_Choiseul!L15,"AAAAAGR/fjs=")</f>
        <v>1</v>
      </c>
      <c r="BI31" s="1">
        <f>IF(I_Choiseul!16:16,"AAAAAGR/fjw=",0)</f>
        <v>0</v>
      </c>
      <c r="BJ31" s="1" t="e">
        <f>AND(I_Choiseul!A16,"AAAAAGR/fj0=")</f>
        <v>#VALUE!</v>
      </c>
      <c r="BK31" s="1" t="b">
        <f>AND(I_Choiseul!B16,"AAAAAGR/fj4=")</f>
        <v>1</v>
      </c>
      <c r="BL31" s="1" t="b">
        <f>AND(I_Choiseul!C16,"AAAAAGR/fj8=")</f>
        <v>1</v>
      </c>
      <c r="BM31" s="1" t="b">
        <f>AND(I_Choiseul!D16,"AAAAAGR/fkA=")</f>
        <v>1</v>
      </c>
      <c r="BN31" s="1" t="b">
        <f>AND(I_Choiseul!E16,"AAAAAGR/fkE=")</f>
        <v>1</v>
      </c>
      <c r="BO31" s="1" t="b">
        <f>AND(I_Choiseul!F16,"AAAAAGR/fkI=")</f>
        <v>1</v>
      </c>
      <c r="BP31" s="1" t="b">
        <f>AND(I_Choiseul!G16,"AAAAAGR/fkM=")</f>
        <v>1</v>
      </c>
      <c r="BQ31" s="1" t="b">
        <f>AND(I_Choiseul!H16,"AAAAAGR/fkQ=")</f>
        <v>1</v>
      </c>
      <c r="BR31" s="1" t="b">
        <f>AND(I_Choiseul!I16,"AAAAAGR/fkU=")</f>
        <v>1</v>
      </c>
      <c r="BS31" s="1" t="b">
        <f>AND(I_Choiseul!J16,"AAAAAGR/fkY=")</f>
        <v>1</v>
      </c>
      <c r="BT31" s="1" t="b">
        <f>AND(I_Choiseul!K16,"AAAAAGR/fkc=")</f>
        <v>1</v>
      </c>
      <c r="BU31" s="1" t="b">
        <f>AND(I_Choiseul!L16,"AAAAAGR/fkg=")</f>
        <v>1</v>
      </c>
      <c r="BV31" s="1">
        <f>IF(I_Choiseul!18:18,"AAAAAGR/fkk=",0)</f>
        <v>0</v>
      </c>
      <c r="BW31" s="1" t="e">
        <f>AND(I_Choiseul!A18,"AAAAAGR/fko=")</f>
        <v>#VALUE!</v>
      </c>
      <c r="BX31" s="1" t="e">
        <f>AND(I_Choiseul!B18,"AAAAAGR/fks=")</f>
        <v>#VALUE!</v>
      </c>
      <c r="BY31" s="1" t="e">
        <f>AND(I_Choiseul!C18,"AAAAAGR/fkw=")</f>
        <v>#VALUE!</v>
      </c>
      <c r="BZ31" s="1" t="e">
        <f>AND(I_Choiseul!D18,"AAAAAGR/fk0=")</f>
        <v>#VALUE!</v>
      </c>
      <c r="CA31" s="1" t="e">
        <f>AND(I_Choiseul!E18,"AAAAAGR/fk4=")</f>
        <v>#VALUE!</v>
      </c>
      <c r="CB31" s="1" t="e">
        <f>AND(I_Choiseul!F18,"AAAAAGR/fk8=")</f>
        <v>#VALUE!</v>
      </c>
      <c r="CC31" s="1" t="e">
        <f>AND(I_Choiseul!G18,"AAAAAGR/flA=")</f>
        <v>#VALUE!</v>
      </c>
      <c r="CD31" s="1" t="e">
        <f>AND(I_Choiseul!H18,"AAAAAGR/flE=")</f>
        <v>#VALUE!</v>
      </c>
      <c r="CE31" s="1" t="e">
        <f>AND(I_Choiseul!I18,"AAAAAGR/flI=")</f>
        <v>#VALUE!</v>
      </c>
      <c r="CF31" s="1" t="e">
        <f>AND(I_Choiseul!J18,"AAAAAGR/flM=")</f>
        <v>#VALUE!</v>
      </c>
      <c r="CG31" s="1" t="e">
        <f>AND(I_Choiseul!K18,"AAAAAGR/flQ=")</f>
        <v>#VALUE!</v>
      </c>
      <c r="CH31" s="1" t="e">
        <f>AND(I_Choiseul!L18,"AAAAAGR/flU=")</f>
        <v>#VALUE!</v>
      </c>
      <c r="CI31" s="1">
        <f>IF(I_Choiseul!19:19,"AAAAAGR/flY=",0)</f>
        <v>0</v>
      </c>
      <c r="CJ31" s="1" t="e">
        <f>AND(I_Choiseul!A19,"AAAAAGR/flc=")</f>
        <v>#VALUE!</v>
      </c>
      <c r="CK31" s="1" t="b">
        <f>AND(I_Choiseul!B19,"AAAAAGR/flg=")</f>
        <v>1</v>
      </c>
      <c r="CL31" s="1" t="b">
        <f>AND(I_Choiseul!C19,"AAAAAGR/flk=")</f>
        <v>1</v>
      </c>
      <c r="CM31" s="1" t="b">
        <f>AND(I_Choiseul!D19,"AAAAAGR/flo=")</f>
        <v>1</v>
      </c>
      <c r="CN31" s="1" t="b">
        <f>AND(I_Choiseul!E19,"AAAAAGR/fls=")</f>
        <v>1</v>
      </c>
      <c r="CO31" s="1" t="b">
        <f>AND(I_Choiseul!F19,"AAAAAGR/flw=")</f>
        <v>1</v>
      </c>
      <c r="CP31" s="1" t="b">
        <f>AND(I_Choiseul!G19,"AAAAAGR/fl0=")</f>
        <v>0</v>
      </c>
      <c r="CQ31" s="1" t="b">
        <f>AND(I_Choiseul!H19,"AAAAAGR/fl4=")</f>
        <v>0</v>
      </c>
      <c r="CR31" s="1" t="b">
        <f>AND(I_Choiseul!I19,"AAAAAGR/fl8=")</f>
        <v>1</v>
      </c>
      <c r="CS31" s="1" t="b">
        <f>AND(I_Choiseul!J19,"AAAAAGR/fmA=")</f>
        <v>1</v>
      </c>
      <c r="CT31" s="1" t="b">
        <f>AND(I_Choiseul!K19,"AAAAAGR/fmE=")</f>
        <v>1</v>
      </c>
      <c r="CU31" s="1" t="b">
        <f>AND(I_Choiseul!L19,"AAAAAGR/fmI=")</f>
        <v>1</v>
      </c>
      <c r="CV31" s="1">
        <f>IF(I_Choiseul!20:20,"AAAAAGR/fmM=",0)</f>
        <v>0</v>
      </c>
      <c r="CW31" s="1" t="e">
        <f>AND(I_Choiseul!A20,"AAAAAGR/fmQ=")</f>
        <v>#VALUE!</v>
      </c>
      <c r="CX31" s="1" t="b">
        <f>AND(I_Choiseul!B20,"AAAAAGR/fmU=")</f>
        <v>1</v>
      </c>
      <c r="CY31" s="1" t="b">
        <f>AND(I_Choiseul!C20,"AAAAAGR/fmY=")</f>
        <v>1</v>
      </c>
      <c r="CZ31" s="1" t="b">
        <f>AND(I_Choiseul!D20,"AAAAAGR/fmc=")</f>
        <v>1</v>
      </c>
      <c r="DA31" s="1" t="b">
        <f>AND(I_Choiseul!E20,"AAAAAGR/fmg=")</f>
        <v>1</v>
      </c>
      <c r="DB31" s="1" t="b">
        <f>AND(I_Choiseul!F20,"AAAAAGR/fmk=")</f>
        <v>1</v>
      </c>
      <c r="DC31" s="1" t="b">
        <f>AND(I_Choiseul!G20,"AAAAAGR/fmo=")</f>
        <v>1</v>
      </c>
      <c r="DD31" s="1" t="b">
        <f>AND(I_Choiseul!H20,"AAAAAGR/fms=")</f>
        <v>1</v>
      </c>
      <c r="DE31" s="1" t="b">
        <f>AND(I_Choiseul!I20,"AAAAAGR/fmw=")</f>
        <v>1</v>
      </c>
      <c r="DF31" s="1" t="b">
        <f>AND(I_Choiseul!J20,"AAAAAGR/fm0=")</f>
        <v>1</v>
      </c>
      <c r="DG31" s="1" t="b">
        <f>AND(I_Choiseul!K20,"AAAAAGR/fm4=")</f>
        <v>1</v>
      </c>
      <c r="DH31" s="1" t="b">
        <f>AND(I_Choiseul!L20,"AAAAAGR/fm8=")</f>
        <v>1</v>
      </c>
      <c r="DI31" s="1">
        <f>IF(I_Choiseul!21:21,"AAAAAGR/fnA=",0)</f>
        <v>0</v>
      </c>
      <c r="DJ31" s="1" t="e">
        <f>AND(I_Choiseul!A21,"AAAAAGR/fnE=")</f>
        <v>#VALUE!</v>
      </c>
      <c r="DK31" s="1" t="b">
        <f>AND(I_Choiseul!B21,"AAAAAGR/fnI=")</f>
        <v>1</v>
      </c>
      <c r="DL31" s="1" t="b">
        <f>AND(I_Choiseul!C21,"AAAAAGR/fnM=")</f>
        <v>1</v>
      </c>
      <c r="DM31" s="1" t="b">
        <f>AND(I_Choiseul!D21,"AAAAAGR/fnQ=")</f>
        <v>1</v>
      </c>
      <c r="DN31" s="1" t="b">
        <f>AND(I_Choiseul!E21,"AAAAAGR/fnU=")</f>
        <v>1</v>
      </c>
      <c r="DO31" s="1" t="b">
        <f>AND(I_Choiseul!F21,"AAAAAGR/fnY=")</f>
        <v>1</v>
      </c>
      <c r="DP31" s="1" t="b">
        <f>AND(I_Choiseul!G21,"AAAAAGR/fnc=")</f>
        <v>1</v>
      </c>
      <c r="DQ31" s="1" t="b">
        <f>AND(I_Choiseul!H21,"AAAAAGR/fng=")</f>
        <v>1</v>
      </c>
      <c r="DR31" s="1" t="b">
        <f>AND(I_Choiseul!I21,"AAAAAGR/fnk=")</f>
        <v>1</v>
      </c>
      <c r="DS31" s="1" t="b">
        <f>AND(I_Choiseul!J21,"AAAAAGR/fno=")</f>
        <v>1</v>
      </c>
      <c r="DT31" s="1" t="b">
        <f>AND(I_Choiseul!K21,"AAAAAGR/fns=")</f>
        <v>1</v>
      </c>
      <c r="DU31" s="1" t="b">
        <f>AND(I_Choiseul!L21,"AAAAAGR/fnw=")</f>
        <v>1</v>
      </c>
      <c r="DV31" s="1">
        <f>IF(I_Choiseul!22:22,"AAAAAGR/fn0=",0)</f>
        <v>0</v>
      </c>
      <c r="DW31" s="1" t="e">
        <f>AND(I_Choiseul!A22,"AAAAAGR/fn4=")</f>
        <v>#VALUE!</v>
      </c>
      <c r="DX31" s="1" t="b">
        <f>AND(I_Choiseul!B22,"AAAAAGR/fn8=")</f>
        <v>1</v>
      </c>
      <c r="DY31" s="1" t="b">
        <f>AND(I_Choiseul!C22,"AAAAAGR/foA=")</f>
        <v>1</v>
      </c>
      <c r="DZ31" s="1" t="b">
        <f>AND(I_Choiseul!D22,"AAAAAGR/foE=")</f>
        <v>1</v>
      </c>
      <c r="EA31" s="1" t="b">
        <f>AND(I_Choiseul!E22,"AAAAAGR/foI=")</f>
        <v>1</v>
      </c>
      <c r="EB31" s="1" t="b">
        <f>AND(I_Choiseul!F22,"AAAAAGR/foM=")</f>
        <v>1</v>
      </c>
      <c r="EC31" s="1" t="b">
        <f>AND(I_Choiseul!G22,"AAAAAGR/foQ=")</f>
        <v>1</v>
      </c>
      <c r="ED31" s="1" t="b">
        <f>AND(I_Choiseul!H22,"AAAAAGR/foU=")</f>
        <v>1</v>
      </c>
      <c r="EE31" s="1" t="b">
        <f>AND(I_Choiseul!I22,"AAAAAGR/foY=")</f>
        <v>1</v>
      </c>
      <c r="EF31" s="1" t="b">
        <f>AND(I_Choiseul!J22,"AAAAAGR/foc=")</f>
        <v>1</v>
      </c>
      <c r="EG31" s="1" t="b">
        <f>AND(I_Choiseul!K22,"AAAAAGR/fog=")</f>
        <v>1</v>
      </c>
      <c r="EH31" s="1" t="b">
        <f>AND(I_Choiseul!L22,"AAAAAGR/fok=")</f>
        <v>1</v>
      </c>
      <c r="EI31" s="1">
        <f>IF(I_Choiseul!23:23,"AAAAAGR/foo=",0)</f>
        <v>0</v>
      </c>
      <c r="EJ31" s="1" t="e">
        <f>AND(I_Choiseul!A23,"AAAAAGR/fos=")</f>
        <v>#VALUE!</v>
      </c>
      <c r="EK31" s="1" t="b">
        <f>AND(I_Choiseul!B23,"AAAAAGR/fow=")</f>
        <v>1</v>
      </c>
      <c r="EL31" s="1" t="b">
        <f>AND(I_Choiseul!C23,"AAAAAGR/fo0=")</f>
        <v>1</v>
      </c>
      <c r="EM31" s="1" t="b">
        <f>AND(I_Choiseul!D23,"AAAAAGR/fo4=")</f>
        <v>1</v>
      </c>
      <c r="EN31" s="1" t="b">
        <f>AND(I_Choiseul!E23,"AAAAAGR/fo8=")</f>
        <v>1</v>
      </c>
      <c r="EO31" s="1" t="b">
        <f>AND(I_Choiseul!F23,"AAAAAGR/fpA=")</f>
        <v>1</v>
      </c>
      <c r="EP31" s="1" t="b">
        <f>AND(I_Choiseul!G23,"AAAAAGR/fpE=")</f>
        <v>1</v>
      </c>
      <c r="EQ31" s="1" t="b">
        <f>AND(I_Choiseul!H23,"AAAAAGR/fpI=")</f>
        <v>1</v>
      </c>
      <c r="ER31" s="1" t="b">
        <f>AND(I_Choiseul!I23,"AAAAAGR/fpM=")</f>
        <v>1</v>
      </c>
      <c r="ES31" s="1" t="b">
        <f>AND(I_Choiseul!J23,"AAAAAGR/fpQ=")</f>
        <v>1</v>
      </c>
      <c r="ET31" s="1" t="b">
        <f>AND(I_Choiseul!K23,"AAAAAGR/fpU=")</f>
        <v>1</v>
      </c>
      <c r="EU31" s="1" t="b">
        <f>AND(I_Choiseul!L23,"AAAAAGR/fpY=")</f>
        <v>1</v>
      </c>
      <c r="EV31" s="1">
        <f>IF(I_Choiseul!25:25,"AAAAAGR/fpc=",0)</f>
        <v>0</v>
      </c>
      <c r="EW31" s="1" t="e">
        <f>AND(I_Choiseul!A25,"AAAAAGR/fpg=")</f>
        <v>#VALUE!</v>
      </c>
      <c r="EX31" s="1" t="e">
        <f>AND(I_Choiseul!B25,"AAAAAGR/fpk=")</f>
        <v>#VALUE!</v>
      </c>
      <c r="EY31" s="1" t="e">
        <f>AND(I_Choiseul!C25,"AAAAAGR/fpo=")</f>
        <v>#VALUE!</v>
      </c>
      <c r="EZ31" s="1" t="e">
        <f>AND(I_Choiseul!D25,"AAAAAGR/fps=")</f>
        <v>#VALUE!</v>
      </c>
      <c r="FA31" s="1" t="e">
        <f>AND(I_Choiseul!E25,"AAAAAGR/fpw=")</f>
        <v>#VALUE!</v>
      </c>
      <c r="FB31" s="1" t="e">
        <f>AND(I_Choiseul!F25,"AAAAAGR/fp0=")</f>
        <v>#VALUE!</v>
      </c>
      <c r="FC31" s="1" t="e">
        <f>AND(I_Choiseul!G25,"AAAAAGR/fp4=")</f>
        <v>#VALUE!</v>
      </c>
      <c r="FD31" s="1" t="e">
        <f>AND(I_Choiseul!H25,"AAAAAGR/fp8=")</f>
        <v>#VALUE!</v>
      </c>
      <c r="FE31" s="1" t="e">
        <f>AND(I_Choiseul!I25,"AAAAAGR/fqA=")</f>
        <v>#VALUE!</v>
      </c>
      <c r="FF31" s="1" t="e">
        <f>AND(I_Choiseul!J25,"AAAAAGR/fqE=")</f>
        <v>#VALUE!</v>
      </c>
      <c r="FG31" s="1" t="e">
        <f>AND(I_Choiseul!K25,"AAAAAGR/fqI=")</f>
        <v>#VALUE!</v>
      </c>
      <c r="FH31" s="1" t="e">
        <f>AND(I_Choiseul!L25,"AAAAAGR/fqM=")</f>
        <v>#VALUE!</v>
      </c>
      <c r="FI31" s="1">
        <f>IF(I_Choiseul!26:26,"AAAAAGR/fqQ=",0)</f>
        <v>0</v>
      </c>
      <c r="FJ31" s="1" t="e">
        <f>AND(I_Choiseul!A26,"AAAAAGR/fqU=")</f>
        <v>#VALUE!</v>
      </c>
      <c r="FK31" s="1" t="b">
        <f>AND(I_Choiseul!B26,"AAAAAGR/fqY=")</f>
        <v>1</v>
      </c>
      <c r="FL31" s="1" t="b">
        <f>AND(I_Choiseul!C26,"AAAAAGR/fqc=")</f>
        <v>1</v>
      </c>
      <c r="FM31" s="1" t="b">
        <f>AND(I_Choiseul!D26,"AAAAAGR/fqg=")</f>
        <v>1</v>
      </c>
      <c r="FN31" s="1" t="b">
        <f>AND(I_Choiseul!E26,"AAAAAGR/fqk=")</f>
        <v>1</v>
      </c>
      <c r="FO31" s="1" t="b">
        <f>AND(I_Choiseul!F26,"AAAAAGR/fqo=")</f>
        <v>1</v>
      </c>
      <c r="FP31" s="1" t="b">
        <f>AND(I_Choiseul!G26,"AAAAAGR/fqs=")</f>
        <v>1</v>
      </c>
      <c r="FQ31" s="1" t="b">
        <f>AND(I_Choiseul!H26,"AAAAAGR/fqw=")</f>
        <v>1</v>
      </c>
      <c r="FR31" s="1" t="b">
        <f>AND(I_Choiseul!I26,"AAAAAGR/fq0=")</f>
        <v>1</v>
      </c>
      <c r="FS31" s="1" t="b">
        <f>AND(I_Choiseul!J26,"AAAAAGR/fq4=")</f>
        <v>1</v>
      </c>
      <c r="FT31" s="1" t="b">
        <f>AND(I_Choiseul!K26,"AAAAAGR/fq8=")</f>
        <v>1</v>
      </c>
      <c r="FU31" s="1" t="b">
        <f>AND(I_Choiseul!L26,"AAAAAGR/frA=")</f>
        <v>1</v>
      </c>
      <c r="FV31" s="1">
        <f>IF(I_Choiseul!27:27,"AAAAAGR/frE=",0)</f>
        <v>0</v>
      </c>
      <c r="FW31" s="1" t="e">
        <f>AND(I_Choiseul!A27,"AAAAAGR/frI=")</f>
        <v>#VALUE!</v>
      </c>
      <c r="FX31" s="1" t="b">
        <f>AND(I_Choiseul!B27,"AAAAAGR/frM=")</f>
        <v>1</v>
      </c>
      <c r="FY31" s="1" t="b">
        <f>AND(I_Choiseul!C27,"AAAAAGR/frQ=")</f>
        <v>1</v>
      </c>
      <c r="FZ31" s="1" t="b">
        <f>AND(I_Choiseul!D27,"AAAAAGR/frU=")</f>
        <v>1</v>
      </c>
      <c r="GA31" s="1" t="b">
        <f>AND(I_Choiseul!E27,"AAAAAGR/frY=")</f>
        <v>1</v>
      </c>
      <c r="GB31" s="1" t="b">
        <f>AND(I_Choiseul!F27,"AAAAAGR/frc=")</f>
        <v>1</v>
      </c>
      <c r="GC31" s="1" t="b">
        <f>AND(I_Choiseul!G27,"AAAAAGR/frg=")</f>
        <v>1</v>
      </c>
      <c r="GD31" s="1" t="b">
        <f>AND(I_Choiseul!H27,"AAAAAGR/frk=")</f>
        <v>1</v>
      </c>
      <c r="GE31" s="1" t="b">
        <f>AND(I_Choiseul!I27,"AAAAAGR/fro=")</f>
        <v>1</v>
      </c>
      <c r="GF31" s="1" t="b">
        <f>AND(I_Choiseul!J27,"AAAAAGR/frs=")</f>
        <v>1</v>
      </c>
      <c r="GG31" s="1" t="b">
        <f>AND(I_Choiseul!K27,"AAAAAGR/frw=")</f>
        <v>1</v>
      </c>
      <c r="GH31" s="1" t="b">
        <f>AND(I_Choiseul!L27,"AAAAAGR/fr0=")</f>
        <v>1</v>
      </c>
      <c r="GI31" s="1" t="e">
        <f>IF(I_Choiseul!#REF!,"AAAAAGR/fr4=",0)</f>
        <v>#REF!</v>
      </c>
      <c r="GJ31" s="1" t="e">
        <f>AND(I_Choiseul!#REF!,"AAAAAGR/fr8=")</f>
        <v>#REF!</v>
      </c>
      <c r="GK31" s="1" t="e">
        <f>AND(I_Choiseul!#REF!,"AAAAAGR/fsA=")</f>
        <v>#REF!</v>
      </c>
      <c r="GL31" s="1" t="e">
        <f>AND(I_Choiseul!#REF!,"AAAAAGR/fsE=")</f>
        <v>#REF!</v>
      </c>
      <c r="GM31" s="1" t="e">
        <f>AND(I_Choiseul!#REF!,"AAAAAGR/fsI=")</f>
        <v>#REF!</v>
      </c>
      <c r="GN31" s="1" t="e">
        <f>AND(I_Choiseul!#REF!,"AAAAAGR/fsM=")</f>
        <v>#REF!</v>
      </c>
      <c r="GO31" s="1" t="e">
        <f>AND(I_Choiseul!#REF!,"AAAAAGR/fsQ=")</f>
        <v>#REF!</v>
      </c>
      <c r="GP31" s="1" t="e">
        <f>AND(I_Choiseul!#REF!,"AAAAAGR/fsU=")</f>
        <v>#REF!</v>
      </c>
      <c r="GQ31" s="1" t="e">
        <f>AND(I_Choiseul!#REF!,"AAAAAGR/fsY=")</f>
        <v>#REF!</v>
      </c>
      <c r="GR31" s="1" t="e">
        <f>AND(I_Choiseul!#REF!,"AAAAAGR/fsc=")</f>
        <v>#REF!</v>
      </c>
      <c r="GS31" s="1" t="e">
        <f>AND(I_Choiseul!#REF!,"AAAAAGR/fsg=")</f>
        <v>#REF!</v>
      </c>
      <c r="GT31" s="1" t="e">
        <f>AND(I_Choiseul!#REF!,"AAAAAGR/fsk=")</f>
        <v>#REF!</v>
      </c>
      <c r="GU31" s="1" t="e">
        <f>AND(I_Choiseul!#REF!,"AAAAAGR/fso=")</f>
        <v>#REF!</v>
      </c>
      <c r="GV31" s="1">
        <f>IF(I_Choiseul!28:28,"AAAAAGR/fss=",0)</f>
        <v>0</v>
      </c>
      <c r="GW31" s="1" t="e">
        <f>AND(I_Choiseul!A28,"AAAAAGR/fsw=")</f>
        <v>#VALUE!</v>
      </c>
      <c r="GX31" s="1" t="b">
        <f>AND(I_Choiseul!B28,"AAAAAGR/fs0=")</f>
        <v>1</v>
      </c>
      <c r="GY31" s="1" t="b">
        <f>AND(I_Choiseul!C28,"AAAAAGR/fs4=")</f>
        <v>1</v>
      </c>
      <c r="GZ31" s="1" t="b">
        <f>AND(I_Choiseul!D28,"AAAAAGR/fs8=")</f>
        <v>1</v>
      </c>
      <c r="HA31" s="1" t="b">
        <f>AND(I_Choiseul!E28,"AAAAAGR/ftA=")</f>
        <v>1</v>
      </c>
      <c r="HB31" s="1" t="b">
        <f>AND(I_Choiseul!F28,"AAAAAGR/ftE=")</f>
        <v>1</v>
      </c>
      <c r="HC31" s="1" t="b">
        <f>AND(I_Choiseul!G28,"AAAAAGR/ftI=")</f>
        <v>1</v>
      </c>
      <c r="HD31" s="1" t="b">
        <f>AND(I_Choiseul!H28,"AAAAAGR/ftM=")</f>
        <v>1</v>
      </c>
      <c r="HE31" s="1" t="b">
        <f>AND(I_Choiseul!I28,"AAAAAGR/ftQ=")</f>
        <v>1</v>
      </c>
      <c r="HF31" s="1" t="b">
        <f>AND(I_Choiseul!J28,"AAAAAGR/ftU=")</f>
        <v>1</v>
      </c>
      <c r="HG31" s="1" t="b">
        <f>AND(I_Choiseul!K28,"AAAAAGR/ftY=")</f>
        <v>1</v>
      </c>
      <c r="HH31" s="1" t="b">
        <f>AND(I_Choiseul!L28,"AAAAAGR/ftc=")</f>
        <v>1</v>
      </c>
      <c r="HI31" s="1">
        <f>IF(I_Choiseul!30:30,"AAAAAGR/ftg=",0)</f>
        <v>0</v>
      </c>
      <c r="HJ31" s="1" t="e">
        <f>AND(I_Choiseul!A30,"AAAAAGR/ftk=")</f>
        <v>#VALUE!</v>
      </c>
      <c r="HK31" s="1" t="e">
        <f>AND(I_Choiseul!B30,"AAAAAGR/fto=")</f>
        <v>#VALUE!</v>
      </c>
      <c r="HL31" s="1" t="e">
        <f>AND(I_Choiseul!C30,"AAAAAGR/fts=")</f>
        <v>#VALUE!</v>
      </c>
      <c r="HM31" s="1" t="e">
        <f>AND(I_Choiseul!D30,"AAAAAGR/ftw=")</f>
        <v>#VALUE!</v>
      </c>
      <c r="HN31" s="1" t="e">
        <f>AND(I_Choiseul!E30,"AAAAAGR/ft0=")</f>
        <v>#VALUE!</v>
      </c>
      <c r="HO31" s="1" t="e">
        <f>AND(I_Choiseul!F30,"AAAAAGR/ft4=")</f>
        <v>#VALUE!</v>
      </c>
      <c r="HP31" s="1" t="e">
        <f>AND(I_Choiseul!G30,"AAAAAGR/ft8=")</f>
        <v>#VALUE!</v>
      </c>
      <c r="HQ31" s="1" t="e">
        <f>AND(I_Choiseul!H30,"AAAAAGR/fuA=")</f>
        <v>#VALUE!</v>
      </c>
      <c r="HR31" s="1" t="e">
        <f>AND(I_Choiseul!I30,"AAAAAGR/fuE=")</f>
        <v>#VALUE!</v>
      </c>
      <c r="HS31" s="1" t="e">
        <f>AND(I_Choiseul!J30,"AAAAAGR/fuI=")</f>
        <v>#VALUE!</v>
      </c>
      <c r="HT31" s="1" t="e">
        <f>AND(I_Choiseul!K30,"AAAAAGR/fuM=")</f>
        <v>#VALUE!</v>
      </c>
      <c r="HU31" s="1" t="e">
        <f>AND(I_Choiseul!L30,"AAAAAGR/fuQ=")</f>
        <v>#VALUE!</v>
      </c>
      <c r="HV31" s="1">
        <f>IF(I_Choiseul!31:31,"AAAAAGR/fuU=",0)</f>
        <v>0</v>
      </c>
      <c r="HW31" s="1" t="e">
        <f>AND(I_Choiseul!A31,"AAAAAGR/fuY=")</f>
        <v>#VALUE!</v>
      </c>
      <c r="HX31" s="1" t="b">
        <f>AND(I_Choiseul!B31,"AAAAAGR/fuc=")</f>
        <v>1</v>
      </c>
      <c r="HY31" s="1" t="b">
        <f>AND(I_Choiseul!C31,"AAAAAGR/fug=")</f>
        <v>1</v>
      </c>
      <c r="HZ31" s="1" t="b">
        <f>AND(I_Choiseul!D31,"AAAAAGR/fuk=")</f>
        <v>1</v>
      </c>
      <c r="IA31" s="1" t="b">
        <f>AND(I_Choiseul!E31,"AAAAAGR/fuo=")</f>
        <v>1</v>
      </c>
      <c r="IB31" s="1" t="b">
        <f>AND(I_Choiseul!F31,"AAAAAGR/fus=")</f>
        <v>1</v>
      </c>
      <c r="IC31" s="1" t="b">
        <f>AND(I_Choiseul!G31,"AAAAAGR/fuw=")</f>
        <v>1</v>
      </c>
      <c r="ID31" s="1" t="b">
        <f>AND(I_Choiseul!H31,"AAAAAGR/fu0=")</f>
        <v>1</v>
      </c>
      <c r="IE31" s="1" t="b">
        <f>AND(I_Choiseul!I31,"AAAAAGR/fu4=")</f>
        <v>1</v>
      </c>
      <c r="IF31" s="1" t="b">
        <f>AND(I_Choiseul!J31,"AAAAAGR/fu8=")</f>
        <v>1</v>
      </c>
      <c r="IG31" s="1" t="b">
        <f>AND(I_Choiseul!K31,"AAAAAGR/fvA=")</f>
        <v>1</v>
      </c>
      <c r="IH31" s="1" t="b">
        <f>AND(I_Choiseul!L31,"AAAAAGR/fvE=")</f>
        <v>1</v>
      </c>
      <c r="II31" s="1">
        <f>IF(I_Choiseul!32:32,"AAAAAGR/fvI=",0)</f>
        <v>0</v>
      </c>
      <c r="IJ31" s="1" t="e">
        <f>AND(I_Choiseul!A32,"AAAAAGR/fvM=")</f>
        <v>#VALUE!</v>
      </c>
      <c r="IK31" s="1" t="b">
        <f>AND(I_Choiseul!B32,"AAAAAGR/fvQ=")</f>
        <v>1</v>
      </c>
      <c r="IL31" s="1" t="b">
        <f>AND(I_Choiseul!C32,"AAAAAGR/fvU=")</f>
        <v>1</v>
      </c>
      <c r="IM31" s="1" t="b">
        <f>AND(I_Choiseul!D32,"AAAAAGR/fvY=")</f>
        <v>1</v>
      </c>
      <c r="IN31" s="1" t="b">
        <f>AND(I_Choiseul!E32,"AAAAAGR/fvc=")</f>
        <v>1</v>
      </c>
      <c r="IO31" s="1" t="b">
        <f>AND(I_Choiseul!F32,"AAAAAGR/fvg=")</f>
        <v>1</v>
      </c>
      <c r="IP31" s="1" t="b">
        <f>AND(I_Choiseul!G32,"AAAAAGR/fvk=")</f>
        <v>0</v>
      </c>
      <c r="IQ31" s="1" t="b">
        <f>AND(I_Choiseul!H32,"AAAAAGR/fvo=")</f>
        <v>0</v>
      </c>
      <c r="IR31" s="1" t="b">
        <f>AND(I_Choiseul!I32,"AAAAAGR/fvs=")</f>
        <v>1</v>
      </c>
      <c r="IS31" s="1" t="b">
        <f>AND(I_Choiseul!J32,"AAAAAGR/fvw=")</f>
        <v>1</v>
      </c>
      <c r="IT31" s="1" t="b">
        <f>AND(I_Choiseul!K32,"AAAAAGR/fv0=")</f>
        <v>1</v>
      </c>
      <c r="IU31" s="1" t="b">
        <f>AND(I_Choiseul!L32,"AAAAAGR/fv4=")</f>
        <v>1</v>
      </c>
      <c r="IV31" s="1">
        <f>IF(I_Choiseul!33:33,"AAAAAGR/fv8=",0)</f>
        <v>0</v>
      </c>
    </row>
    <row r="32" spans="1:256" ht="12" customHeight="1" x14ac:dyDescent="0.2">
      <c r="A32" s="1" t="e">
        <f>AND(I_Choiseul!A33,"AAAAAHr9+wA=")</f>
        <v>#VALUE!</v>
      </c>
      <c r="B32" s="1" t="b">
        <f>AND(I_Choiseul!B33,"AAAAAHr9+wE=")</f>
        <v>1</v>
      </c>
      <c r="C32" s="1" t="b">
        <f>AND(I_Choiseul!C33,"AAAAAHr9+wI=")</f>
        <v>1</v>
      </c>
      <c r="D32" s="1" t="b">
        <f>AND(I_Choiseul!D33,"AAAAAHr9+wM=")</f>
        <v>1</v>
      </c>
      <c r="E32" s="1" t="b">
        <f>AND(I_Choiseul!E33,"AAAAAHr9+wQ=")</f>
        <v>1</v>
      </c>
      <c r="F32" s="1" t="b">
        <f>AND(I_Choiseul!F33,"AAAAAHr9+wU=")</f>
        <v>1</v>
      </c>
      <c r="G32" s="1" t="b">
        <f>AND(I_Choiseul!G33,"AAAAAHr9+wY=")</f>
        <v>1</v>
      </c>
      <c r="H32" s="1" t="b">
        <f>AND(I_Choiseul!H33,"AAAAAHr9+wc=")</f>
        <v>1</v>
      </c>
      <c r="I32" s="1" t="b">
        <f>AND(I_Choiseul!I33,"AAAAAHr9+wg=")</f>
        <v>1</v>
      </c>
      <c r="J32" s="1" t="b">
        <f>AND(I_Choiseul!J33,"AAAAAHr9+wk=")</f>
        <v>1</v>
      </c>
      <c r="K32" s="1" t="b">
        <f>AND(I_Choiseul!K33,"AAAAAHr9+wo=")</f>
        <v>1</v>
      </c>
      <c r="L32" s="1" t="b">
        <f>AND(I_Choiseul!L33,"AAAAAHr9+ws=")</f>
        <v>1</v>
      </c>
      <c r="M32" s="1">
        <f>IF(I_Choiseul!34:34,"AAAAAHr9+ww=",0)</f>
        <v>0</v>
      </c>
      <c r="N32" s="1" t="e">
        <f>AND(I_Choiseul!A34,"AAAAAHr9+w0=")</f>
        <v>#VALUE!</v>
      </c>
      <c r="O32" s="1" t="b">
        <f>AND(I_Choiseul!B34,"AAAAAHr9+w4=")</f>
        <v>1</v>
      </c>
      <c r="P32" s="1" t="b">
        <f>AND(I_Choiseul!C34,"AAAAAHr9+w8=")</f>
        <v>1</v>
      </c>
      <c r="Q32" s="1" t="b">
        <f>AND(I_Choiseul!D34,"AAAAAHr9+xA=")</f>
        <v>1</v>
      </c>
      <c r="R32" s="1" t="b">
        <f>AND(I_Choiseul!E34,"AAAAAHr9+xE=")</f>
        <v>1</v>
      </c>
      <c r="S32" s="1" t="b">
        <f>AND(I_Choiseul!F34,"AAAAAHr9+xI=")</f>
        <v>1</v>
      </c>
      <c r="T32" s="1" t="b">
        <f>AND(I_Choiseul!G34,"AAAAAHr9+xM=")</f>
        <v>1</v>
      </c>
      <c r="U32" s="1" t="b">
        <f>AND(I_Choiseul!H34,"AAAAAHr9+xQ=")</f>
        <v>1</v>
      </c>
      <c r="V32" s="1" t="b">
        <f>AND(I_Choiseul!I34,"AAAAAHr9+xU=")</f>
        <v>1</v>
      </c>
      <c r="W32" s="1" t="b">
        <f>AND(I_Choiseul!J34,"AAAAAHr9+xY=")</f>
        <v>1</v>
      </c>
      <c r="X32" s="1" t="b">
        <f>AND(I_Choiseul!K34,"AAAAAHr9+xc=")</f>
        <v>1</v>
      </c>
      <c r="Y32" s="1" t="b">
        <f>AND(I_Choiseul!L34,"AAAAAHr9+xg=")</f>
        <v>1</v>
      </c>
      <c r="Z32" s="1">
        <f>IF(I_Choiseul!36:36,"AAAAAHr9+xk=",0)</f>
        <v>0</v>
      </c>
      <c r="AA32" s="1" t="e">
        <f>AND(I_Choiseul!A36,"AAAAAHr9+xo=")</f>
        <v>#VALUE!</v>
      </c>
      <c r="AB32" s="1" t="e">
        <f>AND(I_Choiseul!B36,"AAAAAHr9+xs=")</f>
        <v>#VALUE!</v>
      </c>
      <c r="AC32" s="1" t="e">
        <f>AND(I_Choiseul!C36,"AAAAAHr9+xw=")</f>
        <v>#VALUE!</v>
      </c>
      <c r="AD32" s="1" t="e">
        <f>AND(I_Choiseul!D36,"AAAAAHr9+x0=")</f>
        <v>#VALUE!</v>
      </c>
      <c r="AE32" s="1" t="e">
        <f>AND(I_Choiseul!E36,"AAAAAHr9+x4=")</f>
        <v>#VALUE!</v>
      </c>
      <c r="AF32" s="1" t="e">
        <f>AND(I_Choiseul!F36,"AAAAAHr9+x8=")</f>
        <v>#VALUE!</v>
      </c>
      <c r="AG32" s="1" t="e">
        <f>AND(I_Choiseul!G36,"AAAAAHr9+yA=")</f>
        <v>#VALUE!</v>
      </c>
      <c r="AH32" s="1" t="e">
        <f>AND(I_Choiseul!H36,"AAAAAHr9+yE=")</f>
        <v>#VALUE!</v>
      </c>
      <c r="AI32" s="1" t="e">
        <f>AND(I_Choiseul!I36,"AAAAAHr9+yI=")</f>
        <v>#VALUE!</v>
      </c>
      <c r="AJ32" s="1" t="e">
        <f>AND(I_Choiseul!J36,"AAAAAHr9+yM=")</f>
        <v>#VALUE!</v>
      </c>
      <c r="AK32" s="1" t="e">
        <f>AND(I_Choiseul!K36,"AAAAAHr9+yQ=")</f>
        <v>#VALUE!</v>
      </c>
      <c r="AL32" s="1" t="e">
        <f>AND(I_Choiseul!L36,"AAAAAHr9+yU=")</f>
        <v>#VALUE!</v>
      </c>
      <c r="AM32" s="1">
        <f>IF(I_Choiseul!37:37,"AAAAAHr9+yY=",0)</f>
        <v>0</v>
      </c>
      <c r="AN32" s="1" t="e">
        <f>AND(I_Choiseul!A37,"AAAAAHr9+yc=")</f>
        <v>#VALUE!</v>
      </c>
      <c r="AO32" s="1" t="b">
        <f>AND(I_Choiseul!B37,"AAAAAHr9+yg=")</f>
        <v>1</v>
      </c>
      <c r="AP32" s="1" t="b">
        <f>AND(I_Choiseul!C37,"AAAAAHr9+yk=")</f>
        <v>1</v>
      </c>
      <c r="AQ32" s="1" t="b">
        <f>AND(I_Choiseul!D37,"AAAAAHr9+yo=")</f>
        <v>1</v>
      </c>
      <c r="AR32" s="1" t="b">
        <f>AND(I_Choiseul!E37,"AAAAAHr9+ys=")</f>
        <v>1</v>
      </c>
      <c r="AS32" s="1" t="b">
        <f>AND(I_Choiseul!F37,"AAAAAHr9+yw=")</f>
        <v>1</v>
      </c>
      <c r="AT32" s="1" t="b">
        <f>AND(I_Choiseul!G37,"AAAAAHr9+y0=")</f>
        <v>1</v>
      </c>
      <c r="AU32" s="1" t="b">
        <f>AND(I_Choiseul!H37,"AAAAAHr9+y4=")</f>
        <v>1</v>
      </c>
      <c r="AV32" s="1" t="b">
        <f>AND(I_Choiseul!I37,"AAAAAHr9+y8=")</f>
        <v>1</v>
      </c>
      <c r="AW32" s="1" t="b">
        <f>AND(I_Choiseul!J37,"AAAAAHr9+zA=")</f>
        <v>1</v>
      </c>
      <c r="AX32" s="1" t="b">
        <f>AND(I_Choiseul!K37,"AAAAAHr9+zE=")</f>
        <v>1</v>
      </c>
      <c r="AY32" s="1" t="b">
        <f>AND(I_Choiseul!L37,"AAAAAHr9+zI=")</f>
        <v>1</v>
      </c>
      <c r="AZ32" s="1">
        <f>IF(I_Choiseul!39:39,"AAAAAHr9+zM=",0)</f>
        <v>0</v>
      </c>
      <c r="BA32" s="1" t="e">
        <f>AND(I_Choiseul!A39,"AAAAAHr9+zQ=")</f>
        <v>#VALUE!</v>
      </c>
      <c r="BB32" s="1" t="e">
        <f>AND(I_Choiseul!B39,"AAAAAHr9+zU=")</f>
        <v>#VALUE!</v>
      </c>
      <c r="BC32" s="1" t="e">
        <f>AND(I_Choiseul!C39,"AAAAAHr9+zY=")</f>
        <v>#VALUE!</v>
      </c>
      <c r="BD32" s="1" t="e">
        <f>AND(I_Choiseul!D39,"AAAAAHr9+zc=")</f>
        <v>#VALUE!</v>
      </c>
      <c r="BE32" s="1" t="e">
        <f>AND(I_Choiseul!E39,"AAAAAHr9+zg=")</f>
        <v>#VALUE!</v>
      </c>
      <c r="BF32" s="1" t="e">
        <f>AND(I_Choiseul!F39,"AAAAAHr9+zk=")</f>
        <v>#VALUE!</v>
      </c>
      <c r="BG32" s="1" t="e">
        <f>AND(I_Choiseul!G39,"AAAAAHr9+zo=")</f>
        <v>#VALUE!</v>
      </c>
      <c r="BH32" s="1" t="e">
        <f>AND(I_Choiseul!H39,"AAAAAHr9+zs=")</f>
        <v>#VALUE!</v>
      </c>
      <c r="BI32" s="1" t="e">
        <f>AND(I_Choiseul!I39,"AAAAAHr9+zw=")</f>
        <v>#VALUE!</v>
      </c>
      <c r="BJ32" s="1" t="e">
        <f>AND(I_Choiseul!J39,"AAAAAHr9+z0=")</f>
        <v>#VALUE!</v>
      </c>
      <c r="BK32" s="1" t="e">
        <f>AND(I_Choiseul!K39,"AAAAAHr9+z4=")</f>
        <v>#VALUE!</v>
      </c>
      <c r="BL32" s="1" t="e">
        <f>AND(I_Choiseul!L39,"AAAAAHr9+z8=")</f>
        <v>#VALUE!</v>
      </c>
      <c r="BM32" s="1">
        <f>IF(I_Choiseul!40:40,"AAAAAHr9+0A=",0)</f>
        <v>0</v>
      </c>
      <c r="BN32" s="1" t="e">
        <f>AND(I_Choiseul!A40,"AAAAAHr9+0E=")</f>
        <v>#VALUE!</v>
      </c>
      <c r="BO32" s="1" t="b">
        <f>AND(I_Choiseul!B40,"AAAAAHr9+0I=")</f>
        <v>1</v>
      </c>
      <c r="BP32" s="1" t="b">
        <f>AND(I_Choiseul!C40,"AAAAAHr9+0M=")</f>
        <v>1</v>
      </c>
      <c r="BQ32" s="1" t="b">
        <f>AND(I_Choiseul!D40,"AAAAAHr9+0Q=")</f>
        <v>1</v>
      </c>
      <c r="BR32" s="1" t="b">
        <f>AND(I_Choiseul!E40,"AAAAAHr9+0U=")</f>
        <v>1</v>
      </c>
      <c r="BS32" s="1" t="b">
        <f>AND(I_Choiseul!F40,"AAAAAHr9+0Y=")</f>
        <v>1</v>
      </c>
      <c r="BT32" s="1" t="b">
        <f>AND(I_Choiseul!G40,"AAAAAHr9+0c=")</f>
        <v>1</v>
      </c>
      <c r="BU32" s="1" t="b">
        <f>AND(I_Choiseul!H40,"AAAAAHr9+0g=")</f>
        <v>1</v>
      </c>
      <c r="BV32" s="1" t="b">
        <f>AND(I_Choiseul!I40,"AAAAAHr9+0k=")</f>
        <v>1</v>
      </c>
      <c r="BW32" s="1" t="b">
        <f>AND(I_Choiseul!J40,"AAAAAHr9+0o=")</f>
        <v>1</v>
      </c>
      <c r="BX32" s="1" t="b">
        <f>AND(I_Choiseul!K40,"AAAAAHr9+0s=")</f>
        <v>1</v>
      </c>
      <c r="BY32" s="1" t="b">
        <f>AND(I_Choiseul!L40,"AAAAAHr9+0w=")</f>
        <v>1</v>
      </c>
      <c r="BZ32" s="1">
        <f>IF(I_Choiseul!41:41,"AAAAAHr9+00=",0)</f>
        <v>0</v>
      </c>
      <c r="CA32" s="1" t="e">
        <f>AND(I_Choiseul!A41,"AAAAAHr9+04=")</f>
        <v>#VALUE!</v>
      </c>
      <c r="CB32" s="1" t="b">
        <f>AND(I_Choiseul!B41,"AAAAAHr9+08=")</f>
        <v>1</v>
      </c>
      <c r="CC32" s="1" t="b">
        <f>AND(I_Choiseul!C41,"AAAAAHr9+1A=")</f>
        <v>1</v>
      </c>
      <c r="CD32" s="1" t="b">
        <f>AND(I_Choiseul!D41,"AAAAAHr9+1E=")</f>
        <v>1</v>
      </c>
      <c r="CE32" s="1" t="b">
        <f>AND(I_Choiseul!E41,"AAAAAHr9+1I=")</f>
        <v>1</v>
      </c>
      <c r="CF32" s="1" t="b">
        <f>AND(I_Choiseul!F41,"AAAAAHr9+1M=")</f>
        <v>1</v>
      </c>
      <c r="CG32" s="1" t="b">
        <f>AND(I_Choiseul!G41,"AAAAAHr9+1Q=")</f>
        <v>1</v>
      </c>
      <c r="CH32" s="1" t="b">
        <f>AND(I_Choiseul!H41,"AAAAAHr9+1U=")</f>
        <v>1</v>
      </c>
      <c r="CI32" s="1" t="b">
        <f>AND(I_Choiseul!I41,"AAAAAHr9+1Y=")</f>
        <v>1</v>
      </c>
      <c r="CJ32" s="1" t="b">
        <f>AND(I_Choiseul!J41,"AAAAAHr9+1c=")</f>
        <v>1</v>
      </c>
      <c r="CK32" s="1" t="b">
        <f>AND(I_Choiseul!K41,"AAAAAHr9+1g=")</f>
        <v>1</v>
      </c>
      <c r="CL32" s="1" t="b">
        <f>AND(I_Choiseul!L41,"AAAAAHr9+1k=")</f>
        <v>1</v>
      </c>
      <c r="CM32" s="1">
        <f>IF(I_Choiseul!42:42,"AAAAAHr9+1o=",0)</f>
        <v>0</v>
      </c>
      <c r="CN32" s="1" t="e">
        <f>AND(I_Choiseul!A42,"AAAAAHr9+1s=")</f>
        <v>#VALUE!</v>
      </c>
      <c r="CO32" s="1" t="b">
        <f>AND(I_Choiseul!B42,"AAAAAHr9+1w=")</f>
        <v>1</v>
      </c>
      <c r="CP32" s="1" t="b">
        <f>AND(I_Choiseul!C42,"AAAAAHr9+10=")</f>
        <v>1</v>
      </c>
      <c r="CQ32" s="1" t="b">
        <f>AND(I_Choiseul!D42,"AAAAAHr9+14=")</f>
        <v>1</v>
      </c>
      <c r="CR32" s="1" t="b">
        <f>AND(I_Choiseul!E42,"AAAAAHr9+18=")</f>
        <v>1</v>
      </c>
      <c r="CS32" s="1" t="b">
        <f>AND(I_Choiseul!F42,"AAAAAHr9+2A=")</f>
        <v>1</v>
      </c>
      <c r="CT32" s="1" t="b">
        <f>AND(I_Choiseul!G42,"AAAAAHr9+2E=")</f>
        <v>1</v>
      </c>
      <c r="CU32" s="1" t="b">
        <f>AND(I_Choiseul!H42,"AAAAAHr9+2I=")</f>
        <v>1</v>
      </c>
      <c r="CV32" s="1" t="b">
        <f>AND(I_Choiseul!I42,"AAAAAHr9+2M=")</f>
        <v>1</v>
      </c>
      <c r="CW32" s="1" t="b">
        <f>AND(I_Choiseul!J42,"AAAAAHr9+2Q=")</f>
        <v>1</v>
      </c>
      <c r="CX32" s="1" t="b">
        <f>AND(I_Choiseul!K42,"AAAAAHr9+2U=")</f>
        <v>1</v>
      </c>
      <c r="CY32" s="1" t="b">
        <f>AND(I_Choiseul!L42,"AAAAAHr9+2Y=")</f>
        <v>1</v>
      </c>
      <c r="CZ32" s="1">
        <f>IF(I_Choiseul!43:43,"AAAAAHr9+2c=",0)</f>
        <v>0</v>
      </c>
      <c r="DA32" s="1" t="e">
        <f>AND(I_Choiseul!A43,"AAAAAHr9+2g=")</f>
        <v>#VALUE!</v>
      </c>
      <c r="DB32" s="1" t="b">
        <f>AND(I_Choiseul!B43,"AAAAAHr9+2k=")</f>
        <v>1</v>
      </c>
      <c r="DC32" s="1" t="b">
        <f>AND(I_Choiseul!C43,"AAAAAHr9+2o=")</f>
        <v>1</v>
      </c>
      <c r="DD32" s="1" t="b">
        <f>AND(I_Choiseul!D43,"AAAAAHr9+2s=")</f>
        <v>1</v>
      </c>
      <c r="DE32" s="1" t="b">
        <f>AND(I_Choiseul!E43,"AAAAAHr9+2w=")</f>
        <v>1</v>
      </c>
      <c r="DF32" s="1" t="b">
        <f>AND(I_Choiseul!F43,"AAAAAHr9+20=")</f>
        <v>1</v>
      </c>
      <c r="DG32" s="1" t="b">
        <f>AND(I_Choiseul!G43,"AAAAAHr9+24=")</f>
        <v>1</v>
      </c>
      <c r="DH32" s="1" t="b">
        <f>AND(I_Choiseul!H43,"AAAAAHr9+28=")</f>
        <v>1</v>
      </c>
      <c r="DI32" s="1" t="b">
        <f>AND(I_Choiseul!I43,"AAAAAHr9+3A=")</f>
        <v>1</v>
      </c>
      <c r="DJ32" s="1" t="b">
        <f>AND(I_Choiseul!J43,"AAAAAHr9+3E=")</f>
        <v>1</v>
      </c>
      <c r="DK32" s="1" t="b">
        <f>AND(I_Choiseul!K43,"AAAAAHr9+3I=")</f>
        <v>1</v>
      </c>
      <c r="DL32" s="1" t="b">
        <f>AND(I_Choiseul!L43,"AAAAAHr9+3M=")</f>
        <v>1</v>
      </c>
      <c r="DM32" s="1">
        <f>IF(I_Choiseul!45:45,"AAAAAHr9+3Q=",0)</f>
        <v>0</v>
      </c>
      <c r="DN32" s="1" t="e">
        <f>AND(I_Choiseul!A45,"AAAAAHr9+3U=")</f>
        <v>#VALUE!</v>
      </c>
      <c r="DO32" s="1" t="e">
        <f>AND(I_Choiseul!B45,"AAAAAHr9+3Y=")</f>
        <v>#VALUE!</v>
      </c>
      <c r="DP32" s="1" t="e">
        <f>AND(I_Choiseul!C45,"AAAAAHr9+3c=")</f>
        <v>#VALUE!</v>
      </c>
      <c r="DQ32" s="1" t="e">
        <f>AND(I_Choiseul!D45,"AAAAAHr9+3g=")</f>
        <v>#VALUE!</v>
      </c>
      <c r="DR32" s="1" t="e">
        <f>AND(I_Choiseul!E45,"AAAAAHr9+3k=")</f>
        <v>#VALUE!</v>
      </c>
      <c r="DS32" s="1" t="e">
        <f>AND(I_Choiseul!F45,"AAAAAHr9+3o=")</f>
        <v>#VALUE!</v>
      </c>
      <c r="DT32" s="1" t="e">
        <f>AND(I_Choiseul!G45,"AAAAAHr9+3s=")</f>
        <v>#VALUE!</v>
      </c>
      <c r="DU32" s="1" t="e">
        <f>AND(I_Choiseul!H45,"AAAAAHr9+3w=")</f>
        <v>#VALUE!</v>
      </c>
      <c r="DV32" s="1" t="e">
        <f>AND(I_Choiseul!I45,"AAAAAHr9+30=")</f>
        <v>#VALUE!</v>
      </c>
      <c r="DW32" s="1" t="e">
        <f>AND(I_Choiseul!J45,"AAAAAHr9+34=")</f>
        <v>#VALUE!</v>
      </c>
      <c r="DX32" s="1" t="e">
        <f>AND(I_Choiseul!K45,"AAAAAHr9+38=")</f>
        <v>#VALUE!</v>
      </c>
      <c r="DY32" s="1" t="e">
        <f>AND(I_Choiseul!L45,"AAAAAHr9+4A=")</f>
        <v>#VALUE!</v>
      </c>
      <c r="DZ32" s="1">
        <f>IF(I_Choiseul!46:46,"AAAAAHr9+4E=",0)</f>
        <v>0</v>
      </c>
      <c r="EA32" s="1" t="e">
        <f>AND(I_Choiseul!A46,"AAAAAHr9+4I=")</f>
        <v>#VALUE!</v>
      </c>
      <c r="EB32" s="1" t="b">
        <f>AND(I_Choiseul!B46,"AAAAAHr9+4M=")</f>
        <v>1</v>
      </c>
      <c r="EC32" s="1" t="b">
        <f>AND(I_Choiseul!C46,"AAAAAHr9+4Q=")</f>
        <v>1</v>
      </c>
      <c r="ED32" s="1" t="b">
        <f>AND(I_Choiseul!D46,"AAAAAHr9+4U=")</f>
        <v>1</v>
      </c>
      <c r="EE32" s="1" t="b">
        <f>AND(I_Choiseul!E46,"AAAAAHr9+4Y=")</f>
        <v>1</v>
      </c>
      <c r="EF32" s="1" t="b">
        <f>AND(I_Choiseul!F46,"AAAAAHr9+4c=")</f>
        <v>1</v>
      </c>
      <c r="EG32" s="1" t="b">
        <f>AND(I_Choiseul!G46,"AAAAAHr9+4g=")</f>
        <v>1</v>
      </c>
      <c r="EH32" s="1" t="b">
        <f>AND(I_Choiseul!H46,"AAAAAHr9+4k=")</f>
        <v>1</v>
      </c>
      <c r="EI32" s="1" t="b">
        <f>AND(I_Choiseul!I46,"AAAAAHr9+4o=")</f>
        <v>1</v>
      </c>
      <c r="EJ32" s="1" t="b">
        <f>AND(I_Choiseul!J46,"AAAAAHr9+4s=")</f>
        <v>1</v>
      </c>
      <c r="EK32" s="1" t="b">
        <f>AND(I_Choiseul!K46,"AAAAAHr9+4w=")</f>
        <v>1</v>
      </c>
      <c r="EL32" s="1" t="b">
        <f>AND(I_Choiseul!L46,"AAAAAHr9+40=")</f>
        <v>1</v>
      </c>
      <c r="EM32" s="1">
        <f>IF(I_Choiseul!47:47,"AAAAAHr9+44=",0)</f>
        <v>0</v>
      </c>
      <c r="EN32" s="1" t="e">
        <f>AND(I_Choiseul!A47,"AAAAAHr9+48=")</f>
        <v>#VALUE!</v>
      </c>
      <c r="EO32" s="1" t="b">
        <f>AND(I_Choiseul!B47,"AAAAAHr9+5A=")</f>
        <v>1</v>
      </c>
      <c r="EP32" s="1" t="b">
        <f>AND(I_Choiseul!C47,"AAAAAHr9+5E=")</f>
        <v>1</v>
      </c>
      <c r="EQ32" s="1" t="b">
        <f>AND(I_Choiseul!D47,"AAAAAHr9+5I=")</f>
        <v>1</v>
      </c>
      <c r="ER32" s="1" t="b">
        <f>AND(I_Choiseul!E47,"AAAAAHr9+5M=")</f>
        <v>1</v>
      </c>
      <c r="ES32" s="1" t="b">
        <f>AND(I_Choiseul!F47,"AAAAAHr9+5Q=")</f>
        <v>1</v>
      </c>
      <c r="ET32" s="1" t="b">
        <f>AND(I_Choiseul!G47,"AAAAAHr9+5U=")</f>
        <v>1</v>
      </c>
      <c r="EU32" s="1" t="b">
        <f>AND(I_Choiseul!H47,"AAAAAHr9+5Y=")</f>
        <v>1</v>
      </c>
      <c r="EV32" s="1" t="b">
        <f>AND(I_Choiseul!I47,"AAAAAHr9+5c=")</f>
        <v>1</v>
      </c>
      <c r="EW32" s="1" t="b">
        <f>AND(I_Choiseul!J47,"AAAAAHr9+5g=")</f>
        <v>1</v>
      </c>
      <c r="EX32" s="1" t="b">
        <f>AND(I_Choiseul!K47,"AAAAAHr9+5k=")</f>
        <v>1</v>
      </c>
      <c r="EY32" s="1" t="b">
        <f>AND(I_Choiseul!L47,"AAAAAHr9+5o=")</f>
        <v>1</v>
      </c>
      <c r="EZ32" s="1">
        <f>IF(I_Choiseul!48:48,"AAAAAHr9+5s=",0)</f>
        <v>0</v>
      </c>
      <c r="FA32" s="1" t="e">
        <f>AND(I_Choiseul!A48,"AAAAAHr9+5w=")</f>
        <v>#VALUE!</v>
      </c>
      <c r="FB32" s="1" t="b">
        <f>AND(I_Choiseul!B48,"AAAAAHr9+50=")</f>
        <v>1</v>
      </c>
      <c r="FC32" s="1" t="b">
        <f>AND(I_Choiseul!C48,"AAAAAHr9+54=")</f>
        <v>1</v>
      </c>
      <c r="FD32" s="1" t="b">
        <f>AND(I_Choiseul!D48,"AAAAAHr9+58=")</f>
        <v>1</v>
      </c>
      <c r="FE32" s="1" t="b">
        <f>AND(I_Choiseul!E48,"AAAAAHr9+6A=")</f>
        <v>1</v>
      </c>
      <c r="FF32" s="1" t="b">
        <f>AND(I_Choiseul!F48,"AAAAAHr9+6E=")</f>
        <v>1</v>
      </c>
      <c r="FG32" s="1" t="b">
        <f>AND(I_Choiseul!G48,"AAAAAHr9+6I=")</f>
        <v>1</v>
      </c>
      <c r="FH32" s="1" t="b">
        <f>AND(I_Choiseul!H48,"AAAAAHr9+6M=")</f>
        <v>1</v>
      </c>
      <c r="FI32" s="1" t="b">
        <f>AND(I_Choiseul!I48,"AAAAAHr9+6Q=")</f>
        <v>1</v>
      </c>
      <c r="FJ32" s="1" t="b">
        <f>AND(I_Choiseul!J48,"AAAAAHr9+6U=")</f>
        <v>1</v>
      </c>
      <c r="FK32" s="1" t="b">
        <f>AND(I_Choiseul!K48,"AAAAAHr9+6Y=")</f>
        <v>1</v>
      </c>
      <c r="FL32" s="1" t="b">
        <f>AND(I_Choiseul!L48,"AAAAAHr9+6c=")</f>
        <v>1</v>
      </c>
      <c r="FM32" s="1">
        <f>IF(I_Choiseul!49:49,"AAAAAHr9+6g=",0)</f>
        <v>0</v>
      </c>
      <c r="FN32" s="1" t="e">
        <f>AND(I_Choiseul!A49,"AAAAAHr9+6k=")</f>
        <v>#VALUE!</v>
      </c>
      <c r="FO32" s="1" t="b">
        <f>AND(I_Choiseul!B49,"AAAAAHr9+6o=")</f>
        <v>1</v>
      </c>
      <c r="FP32" s="1" t="b">
        <f>AND(I_Choiseul!C49,"AAAAAHr9+6s=")</f>
        <v>1</v>
      </c>
      <c r="FQ32" s="1" t="b">
        <f>AND(I_Choiseul!D49,"AAAAAHr9+6w=")</f>
        <v>1</v>
      </c>
      <c r="FR32" s="1" t="b">
        <f>AND(I_Choiseul!E49,"AAAAAHr9+60=")</f>
        <v>1</v>
      </c>
      <c r="FS32" s="1" t="b">
        <f>AND(I_Choiseul!F49,"AAAAAHr9+64=")</f>
        <v>1</v>
      </c>
      <c r="FT32" s="1" t="b">
        <f>AND(I_Choiseul!G49,"AAAAAHr9+68=")</f>
        <v>1</v>
      </c>
      <c r="FU32" s="1" t="b">
        <f>AND(I_Choiseul!H49,"AAAAAHr9+7A=")</f>
        <v>1</v>
      </c>
      <c r="FV32" s="1" t="b">
        <f>AND(I_Choiseul!I49,"AAAAAHr9+7E=")</f>
        <v>1</v>
      </c>
      <c r="FW32" s="1" t="b">
        <f>AND(I_Choiseul!J49,"AAAAAHr9+7I=")</f>
        <v>1</v>
      </c>
      <c r="FX32" s="1" t="b">
        <f>AND(I_Choiseul!K49,"AAAAAHr9+7M=")</f>
        <v>1</v>
      </c>
      <c r="FY32" s="1" t="b">
        <f>AND(I_Choiseul!L49,"AAAAAHr9+7Q=")</f>
        <v>1</v>
      </c>
      <c r="FZ32" s="1">
        <f>IF(I_Choiseul!51:51,"AAAAAHr9+7U=",0)</f>
        <v>0</v>
      </c>
      <c r="GA32" s="1" t="e">
        <f>AND(I_Choiseul!A51,"AAAAAHr9+7Y=")</f>
        <v>#VALUE!</v>
      </c>
      <c r="GB32" s="1" t="e">
        <f>AND(I_Choiseul!B51,"AAAAAHr9+7c=")</f>
        <v>#VALUE!</v>
      </c>
      <c r="GC32" s="1" t="e">
        <f>AND(I_Choiseul!C51,"AAAAAHr9+7g=")</f>
        <v>#VALUE!</v>
      </c>
      <c r="GD32" s="1" t="e">
        <f>AND(I_Choiseul!D51,"AAAAAHr9+7k=")</f>
        <v>#VALUE!</v>
      </c>
      <c r="GE32" s="1" t="e">
        <f>AND(I_Choiseul!E51,"AAAAAHr9+7o=")</f>
        <v>#VALUE!</v>
      </c>
      <c r="GF32" s="1" t="e">
        <f>AND(I_Choiseul!F51,"AAAAAHr9+7s=")</f>
        <v>#VALUE!</v>
      </c>
      <c r="GG32" s="1" t="e">
        <f>AND(I_Choiseul!G51,"AAAAAHr9+7w=")</f>
        <v>#VALUE!</v>
      </c>
      <c r="GH32" s="1" t="e">
        <f>AND(I_Choiseul!H51,"AAAAAHr9+70=")</f>
        <v>#VALUE!</v>
      </c>
      <c r="GI32" s="1" t="e">
        <f>AND(I_Choiseul!I51,"AAAAAHr9+74=")</f>
        <v>#VALUE!</v>
      </c>
      <c r="GJ32" s="1" t="e">
        <f>AND(I_Choiseul!J51,"AAAAAHr9+78=")</f>
        <v>#VALUE!</v>
      </c>
      <c r="GK32" s="1" t="e">
        <f>AND(I_Choiseul!K51,"AAAAAHr9+8A=")</f>
        <v>#VALUE!</v>
      </c>
      <c r="GL32" s="1" t="e">
        <f>AND(I_Choiseul!L51,"AAAAAHr9+8E=")</f>
        <v>#VALUE!</v>
      </c>
      <c r="GM32" s="1">
        <f>IF(I_Choiseul!52:52,"AAAAAHr9+8I=",0)</f>
        <v>0</v>
      </c>
      <c r="GN32" s="1" t="e">
        <f>AND(I_Choiseul!A52,"AAAAAHr9+8M=")</f>
        <v>#VALUE!</v>
      </c>
      <c r="GO32" s="1" t="b">
        <f>AND(I_Choiseul!B52,"AAAAAHr9+8Q=")</f>
        <v>1</v>
      </c>
      <c r="GP32" s="1" t="b">
        <f>AND(I_Choiseul!C52,"AAAAAHr9+8U=")</f>
        <v>1</v>
      </c>
      <c r="GQ32" s="1" t="b">
        <f>AND(I_Choiseul!D52,"AAAAAHr9+8Y=")</f>
        <v>1</v>
      </c>
      <c r="GR32" s="1" t="b">
        <f>AND(I_Choiseul!E52,"AAAAAHr9+8c=")</f>
        <v>1</v>
      </c>
      <c r="GS32" s="1" t="b">
        <f>AND(I_Choiseul!F52,"AAAAAHr9+8g=")</f>
        <v>1</v>
      </c>
      <c r="GT32" s="1" t="b">
        <f>AND(I_Choiseul!G52,"AAAAAHr9+8k=")</f>
        <v>0</v>
      </c>
      <c r="GU32" s="1" t="b">
        <f>AND(I_Choiseul!H52,"AAAAAHr9+8o=")</f>
        <v>0</v>
      </c>
      <c r="GV32" s="1" t="b">
        <f>AND(I_Choiseul!I52,"AAAAAHr9+8s=")</f>
        <v>1</v>
      </c>
      <c r="GW32" s="1" t="b">
        <f>AND(I_Choiseul!J52,"AAAAAHr9+8w=")</f>
        <v>1</v>
      </c>
      <c r="GX32" s="1" t="b">
        <f>AND(I_Choiseul!K52,"AAAAAHr9+80=")</f>
        <v>1</v>
      </c>
      <c r="GY32" s="1" t="b">
        <f>AND(I_Choiseul!L52,"AAAAAHr9+84=")</f>
        <v>1</v>
      </c>
      <c r="GZ32" s="1">
        <f>IF(I_Choiseul!53:53,"AAAAAHr9+88=",0)</f>
        <v>0</v>
      </c>
      <c r="HA32" s="1" t="e">
        <f>AND(I_Choiseul!A53,"AAAAAHr9+9A=")</f>
        <v>#VALUE!</v>
      </c>
      <c r="HB32" s="1" t="b">
        <f>AND(I_Choiseul!B53,"AAAAAHr9+9E=")</f>
        <v>1</v>
      </c>
      <c r="HC32" s="1" t="b">
        <f>AND(I_Choiseul!C53,"AAAAAHr9+9I=")</f>
        <v>1</v>
      </c>
      <c r="HD32" s="1" t="b">
        <f>AND(I_Choiseul!D53,"AAAAAHr9+9M=")</f>
        <v>1</v>
      </c>
      <c r="HE32" s="1" t="b">
        <f>AND(I_Choiseul!E53,"AAAAAHr9+9Q=")</f>
        <v>1</v>
      </c>
      <c r="HF32" s="1" t="b">
        <f>AND(I_Choiseul!F53,"AAAAAHr9+9U=")</f>
        <v>1</v>
      </c>
      <c r="HG32" s="1" t="b">
        <f>AND(I_Choiseul!G53,"AAAAAHr9+9Y=")</f>
        <v>1</v>
      </c>
      <c r="HH32" s="1" t="b">
        <f>AND(I_Choiseul!H53,"AAAAAHr9+9c=")</f>
        <v>1</v>
      </c>
      <c r="HI32" s="1" t="b">
        <f>AND(I_Choiseul!I53,"AAAAAHr9+9g=")</f>
        <v>1</v>
      </c>
      <c r="HJ32" s="1" t="b">
        <f>AND(I_Choiseul!J53,"AAAAAHr9+9k=")</f>
        <v>1</v>
      </c>
      <c r="HK32" s="1" t="b">
        <f>AND(I_Choiseul!K53,"AAAAAHr9+9o=")</f>
        <v>1</v>
      </c>
      <c r="HL32" s="1" t="b">
        <f>AND(I_Choiseul!L53,"AAAAAHr9+9s=")</f>
        <v>1</v>
      </c>
      <c r="HM32" s="1">
        <f>IF(I_Choiseul!54:54,"AAAAAHr9+9w=",0)</f>
        <v>0</v>
      </c>
      <c r="HN32" s="1" t="e">
        <f>AND(I_Choiseul!A54,"AAAAAHr9+90=")</f>
        <v>#VALUE!</v>
      </c>
      <c r="HO32" s="1" t="b">
        <f>AND(I_Choiseul!B54,"AAAAAHr9+94=")</f>
        <v>1</v>
      </c>
      <c r="HP32" s="1" t="b">
        <f>AND(I_Choiseul!C54,"AAAAAHr9+98=")</f>
        <v>1</v>
      </c>
      <c r="HQ32" s="1" t="b">
        <f>AND(I_Choiseul!D54,"AAAAAHr9++A=")</f>
        <v>1</v>
      </c>
      <c r="HR32" s="1" t="b">
        <f>AND(I_Choiseul!E54,"AAAAAHr9++E=")</f>
        <v>1</v>
      </c>
      <c r="HS32" s="1" t="b">
        <f>AND(I_Choiseul!F54,"AAAAAHr9++I=")</f>
        <v>1</v>
      </c>
      <c r="HT32" s="1" t="b">
        <f>AND(I_Choiseul!G54,"AAAAAHr9++M=")</f>
        <v>1</v>
      </c>
      <c r="HU32" s="1" t="b">
        <f>AND(I_Choiseul!H54,"AAAAAHr9++Q=")</f>
        <v>1</v>
      </c>
      <c r="HV32" s="1" t="b">
        <f>AND(I_Choiseul!I54,"AAAAAHr9++U=")</f>
        <v>1</v>
      </c>
      <c r="HW32" s="1" t="b">
        <f>AND(I_Choiseul!J54,"AAAAAHr9++Y=")</f>
        <v>1</v>
      </c>
      <c r="HX32" s="1" t="b">
        <f>AND(I_Choiseul!K54,"AAAAAHr9++c=")</f>
        <v>1</v>
      </c>
      <c r="HY32" s="1" t="b">
        <f>AND(I_Choiseul!L54,"AAAAAHr9++g=")</f>
        <v>1</v>
      </c>
      <c r="HZ32" s="1" t="e">
        <f>IF(I_Choiseul!A:A,"AAAAAHr9++k=",0)</f>
        <v>#VALUE!</v>
      </c>
      <c r="IA32" s="1" t="str">
        <f>IF(I_Choiseul!B:B,"AAAAAHr9++o=",0)</f>
        <v>AAAAAHr9++o=</v>
      </c>
      <c r="IB32" s="1" t="str">
        <f>IF(I_Choiseul!C:C,"AAAAAHr9++s=",0)</f>
        <v>AAAAAHr9++s=</v>
      </c>
      <c r="IC32" s="1" t="str">
        <f>IF(I_Choiseul!D:D,"AAAAAHr9++w=",0)</f>
        <v>AAAAAHr9++w=</v>
      </c>
      <c r="ID32" s="1" t="str">
        <f>IF(I_Choiseul!E:E,"AAAAAHr9++0=",0)</f>
        <v>AAAAAHr9++0=</v>
      </c>
      <c r="IE32" s="1" t="str">
        <f>IF(I_Choiseul!F:F,"AAAAAHr9++4=",0)</f>
        <v>AAAAAHr9++4=</v>
      </c>
      <c r="IF32" s="1">
        <f>IF(I_Choiseul!G:G,"AAAAAHr9++8=",0)</f>
        <v>0</v>
      </c>
      <c r="IG32" s="1">
        <f>IF(I_Choiseul!H:H,"AAAAAHr9+/A=",0)</f>
        <v>0</v>
      </c>
      <c r="IH32" s="1" t="str">
        <f>IF(I_Choiseul!I:I,"AAAAAHr9+/E=",0)</f>
        <v>AAAAAHr9+/E=</v>
      </c>
      <c r="II32" s="1" t="str">
        <f>IF(I_Choiseul!J:J,"AAAAAHr9+/I=",0)</f>
        <v>AAAAAHr9+/I=</v>
      </c>
      <c r="IJ32" s="1" t="str">
        <f>IF(I_Choiseul!K:K,"AAAAAHr9+/M=",0)</f>
        <v>AAAAAHr9+/M=</v>
      </c>
      <c r="IK32" s="1" t="str">
        <f>IF(I_Choiseul!L:L,"AAAAAHr9+/Q=",0)</f>
        <v>AAAAAHr9+/Q=</v>
      </c>
      <c r="IL32" s="1">
        <f>IF(J_Laborie!2:2,"AAAAAHr9+/U=",0)</f>
        <v>0</v>
      </c>
      <c r="IM32" s="1" t="e">
        <f>AND(J_Laborie!A2,"AAAAAHr9+/Y=")</f>
        <v>#VALUE!</v>
      </c>
      <c r="IN32" s="1" t="e">
        <f>AND(J_Laborie!B2,"AAAAAHr9+/c=")</f>
        <v>#VALUE!</v>
      </c>
      <c r="IO32" s="1" t="e">
        <f>AND(J_Laborie!C2,"AAAAAHr9+/g=")</f>
        <v>#VALUE!</v>
      </c>
      <c r="IP32" s="1" t="e">
        <f>AND(J_Laborie!D2,"AAAAAHr9+/k=")</f>
        <v>#VALUE!</v>
      </c>
      <c r="IQ32" s="1" t="e">
        <f>AND(J_Laborie!E2,"AAAAAHr9+/o=")</f>
        <v>#VALUE!</v>
      </c>
      <c r="IR32" s="1" t="e">
        <f>AND(J_Laborie!F2,"AAAAAHr9+/s=")</f>
        <v>#VALUE!</v>
      </c>
      <c r="IS32" s="1" t="e">
        <f>AND(J_Laborie!G2,"AAAAAHr9+/w=")</f>
        <v>#VALUE!</v>
      </c>
      <c r="IT32" s="1" t="e">
        <f>AND(J_Laborie!H2,"AAAAAHr9+/0=")</f>
        <v>#VALUE!</v>
      </c>
      <c r="IU32" s="1" t="e">
        <f>AND(J_Laborie!I2,"AAAAAHr9+/4=")</f>
        <v>#VALUE!</v>
      </c>
      <c r="IV32" s="1" t="e">
        <f>AND(J_Laborie!J2,"AAAAAHr9+/8=")</f>
        <v>#VALUE!</v>
      </c>
    </row>
    <row r="33" spans="1:256" ht="12" customHeight="1" x14ac:dyDescent="0.2">
      <c r="A33" s="1" t="e">
        <f>AND(J_Laborie!K2,"AAAAAD7+vQA=")</f>
        <v>#VALUE!</v>
      </c>
      <c r="B33" s="1" t="e">
        <f>AND(J_Laborie!L2,"AAAAAD7+vQE=")</f>
        <v>#VALUE!</v>
      </c>
      <c r="C33" s="1" t="e">
        <f>IF(J_Laborie!3:3,"AAAAAD7+vQI=",0)</f>
        <v>#VALUE!</v>
      </c>
      <c r="D33" s="1" t="e">
        <f>AND(J_Laborie!#REF!,"AAAAAD7+vQM=")</f>
        <v>#REF!</v>
      </c>
      <c r="E33" s="1" t="e">
        <f>AND(J_Laborie!A3,"AAAAAD7+vQQ=")</f>
        <v>#VALUE!</v>
      </c>
      <c r="F33" s="1" t="e">
        <f>AND(J_Laborie!C3,"AAAAAD7+vQU=")</f>
        <v>#VALUE!</v>
      </c>
      <c r="G33" s="1" t="e">
        <f>AND(J_Laborie!D3,"AAAAAD7+vQY=")</f>
        <v>#VALUE!</v>
      </c>
      <c r="H33" s="1" t="e">
        <f>AND(J_Laborie!E3,"AAAAAD7+vQc=")</f>
        <v>#VALUE!</v>
      </c>
      <c r="I33" s="1" t="e">
        <f>AND(J_Laborie!F3,"AAAAAD7+vQg=")</f>
        <v>#VALUE!</v>
      </c>
      <c r="J33" s="1" t="e">
        <f>AND(J_Laborie!G3,"AAAAAD7+vQk=")</f>
        <v>#VALUE!</v>
      </c>
      <c r="K33" s="1" t="e">
        <f>AND(J_Laborie!H3,"AAAAAD7+vQo=")</f>
        <v>#VALUE!</v>
      </c>
      <c r="L33" s="1" t="e">
        <f>AND(J_Laborie!I3,"AAAAAD7+vQs=")</f>
        <v>#VALUE!</v>
      </c>
      <c r="M33" s="1" t="e">
        <f>AND(J_Laborie!J3,"AAAAAD7+vQw=")</f>
        <v>#VALUE!</v>
      </c>
      <c r="N33" s="1" t="e">
        <f>AND(J_Laborie!K3,"AAAAAD7+vQ0=")</f>
        <v>#VALUE!</v>
      </c>
      <c r="O33" s="1" t="e">
        <f>AND(J_Laborie!L3,"AAAAAD7+vQ4=")</f>
        <v>#VALUE!</v>
      </c>
      <c r="P33" s="1">
        <f>IF(J_Laborie!4:4,"AAAAAD7+vQ8=",0)</f>
        <v>0</v>
      </c>
      <c r="Q33" s="1" t="e">
        <f>AND(J_Laborie!A4,"AAAAAD7+vRA=")</f>
        <v>#VALUE!</v>
      </c>
      <c r="R33" s="1" t="b">
        <f>AND(J_Laborie!B4,"AAAAAD7+vRE=")</f>
        <v>1</v>
      </c>
      <c r="S33" s="1" t="b">
        <f>AND(J_Laborie!C4,"AAAAAD7+vRI=")</f>
        <v>1</v>
      </c>
      <c r="T33" s="1" t="b">
        <f>AND(J_Laborie!D4,"AAAAAD7+vRM=")</f>
        <v>1</v>
      </c>
      <c r="U33" s="1" t="b">
        <f>AND(J_Laborie!E4,"AAAAAD7+vRQ=")</f>
        <v>1</v>
      </c>
      <c r="V33" s="1" t="b">
        <f>AND(J_Laborie!F4,"AAAAAD7+vRU=")</f>
        <v>1</v>
      </c>
      <c r="W33" s="1" t="b">
        <f>AND(J_Laborie!G4,"AAAAAD7+vRY=")</f>
        <v>1</v>
      </c>
      <c r="X33" s="1" t="b">
        <f>AND(J_Laborie!H4,"AAAAAD7+vRc=")</f>
        <v>1</v>
      </c>
      <c r="Y33" s="1" t="b">
        <f>AND(J_Laborie!I4,"AAAAAD7+vRg=")</f>
        <v>1</v>
      </c>
      <c r="Z33" s="1" t="b">
        <f>AND(J_Laborie!J4,"AAAAAD7+vRk=")</f>
        <v>1</v>
      </c>
      <c r="AA33" s="1" t="b">
        <f>AND(J_Laborie!K4,"AAAAAD7+vRo=")</f>
        <v>1</v>
      </c>
      <c r="AB33" s="1" t="b">
        <f>AND(J_Laborie!L4,"AAAAAD7+vRs=")</f>
        <v>1</v>
      </c>
      <c r="AC33" s="1">
        <f>IF(J_Laborie!5:5,"AAAAAD7+vRw=",0)</f>
        <v>0</v>
      </c>
      <c r="AD33" s="1" t="e">
        <f>AND(J_Laborie!A5,"AAAAAD7+vR0=")</f>
        <v>#VALUE!</v>
      </c>
      <c r="AE33" s="1" t="e">
        <f>AND(J_Laborie!B5,"AAAAAD7+vR4=")</f>
        <v>#VALUE!</v>
      </c>
      <c r="AF33" s="1" t="e">
        <f>AND(J_Laborie!C5,"AAAAAD7+vR8=")</f>
        <v>#VALUE!</v>
      </c>
      <c r="AG33" s="1" t="e">
        <f>AND(J_Laborie!D5,"AAAAAD7+vSA=")</f>
        <v>#VALUE!</v>
      </c>
      <c r="AH33" s="1" t="e">
        <f>AND(J_Laborie!E5,"AAAAAD7+vSE=")</f>
        <v>#VALUE!</v>
      </c>
      <c r="AI33" s="1" t="e">
        <f>AND(J_Laborie!F5,"AAAAAD7+vSI=")</f>
        <v>#VALUE!</v>
      </c>
      <c r="AJ33" s="1" t="e">
        <f>AND(J_Laborie!G5,"AAAAAD7+vSM=")</f>
        <v>#VALUE!</v>
      </c>
      <c r="AK33" s="1" t="e">
        <f>AND(J_Laborie!H5,"AAAAAD7+vSQ=")</f>
        <v>#VALUE!</v>
      </c>
      <c r="AL33" s="1" t="e">
        <f>AND(J_Laborie!I5,"AAAAAD7+vSU=")</f>
        <v>#VALUE!</v>
      </c>
      <c r="AM33" s="1" t="e">
        <f>AND(J_Laborie!J5,"AAAAAD7+vSY=")</f>
        <v>#VALUE!</v>
      </c>
      <c r="AN33" s="1" t="e">
        <f>AND(J_Laborie!K5,"AAAAAD7+vSc=")</f>
        <v>#VALUE!</v>
      </c>
      <c r="AO33" s="1" t="e">
        <f>AND(J_Laborie!L5,"AAAAAD7+vSg=")</f>
        <v>#VALUE!</v>
      </c>
      <c r="AP33" s="1">
        <f>IF(J_Laborie!6:6,"AAAAAD7+vSk=",0)</f>
        <v>0</v>
      </c>
      <c r="AQ33" s="1" t="e">
        <f>AND(J_Laborie!A6,"AAAAAD7+vSo=")</f>
        <v>#VALUE!</v>
      </c>
      <c r="AR33" s="1" t="b">
        <f>AND(J_Laborie!B6,"AAAAAD7+vSs=")</f>
        <v>1</v>
      </c>
      <c r="AS33" s="1" t="b">
        <f>AND(J_Laborie!C6,"AAAAAD7+vSw=")</f>
        <v>1</v>
      </c>
      <c r="AT33" s="1" t="b">
        <f>AND(J_Laborie!D6,"AAAAAD7+vS0=")</f>
        <v>1</v>
      </c>
      <c r="AU33" s="1" t="b">
        <f>AND(J_Laborie!E6,"AAAAAD7+vS4=")</f>
        <v>1</v>
      </c>
      <c r="AV33" s="1" t="b">
        <f>AND(J_Laborie!F6,"AAAAAD7+vS8=")</f>
        <v>1</v>
      </c>
      <c r="AW33" s="1" t="b">
        <f>AND(J_Laborie!G6,"AAAAAD7+vTA=")</f>
        <v>1</v>
      </c>
      <c r="AX33" s="1" t="b">
        <f>AND(J_Laborie!H6,"AAAAAD7+vTE=")</f>
        <v>1</v>
      </c>
      <c r="AY33" s="1" t="b">
        <f>AND(J_Laborie!I6,"AAAAAD7+vTI=")</f>
        <v>1</v>
      </c>
      <c r="AZ33" s="1" t="b">
        <f>AND(J_Laborie!J6,"AAAAAD7+vTM=")</f>
        <v>1</v>
      </c>
      <c r="BA33" s="1" t="b">
        <f>AND(J_Laborie!K6,"AAAAAD7+vTQ=")</f>
        <v>1</v>
      </c>
      <c r="BB33" s="1" t="b">
        <f>AND(J_Laborie!L6,"AAAAAD7+vTU=")</f>
        <v>1</v>
      </c>
      <c r="BC33" s="1">
        <f>IF(J_Laborie!7:7,"AAAAAD7+vTY=",0)</f>
        <v>0</v>
      </c>
      <c r="BD33" s="1" t="e">
        <f>AND(J_Laborie!A7,"AAAAAD7+vTc=")</f>
        <v>#VALUE!</v>
      </c>
      <c r="BE33" s="1" t="b">
        <f>AND(J_Laborie!B7,"AAAAAD7+vTg=")</f>
        <v>1</v>
      </c>
      <c r="BF33" s="1" t="b">
        <f>AND(J_Laborie!C7,"AAAAAD7+vTk=")</f>
        <v>1</v>
      </c>
      <c r="BG33" s="1" t="b">
        <f>AND(J_Laborie!D7,"AAAAAD7+vTo=")</f>
        <v>1</v>
      </c>
      <c r="BH33" s="1" t="b">
        <f>AND(J_Laborie!E7,"AAAAAD7+vTs=")</f>
        <v>1</v>
      </c>
      <c r="BI33" s="1" t="b">
        <f>AND(J_Laborie!F7,"AAAAAD7+vTw=")</f>
        <v>1</v>
      </c>
      <c r="BJ33" s="1" t="b">
        <f>AND(J_Laborie!G7,"AAAAAD7+vT0=")</f>
        <v>1</v>
      </c>
      <c r="BK33" s="1" t="b">
        <f>AND(J_Laborie!H7,"AAAAAD7+vT4=")</f>
        <v>1</v>
      </c>
      <c r="BL33" s="1" t="b">
        <f>AND(J_Laborie!I7,"AAAAAD7+vT8=")</f>
        <v>1</v>
      </c>
      <c r="BM33" s="1" t="b">
        <f>AND(J_Laborie!J7,"AAAAAD7+vUA=")</f>
        <v>1</v>
      </c>
      <c r="BN33" s="1" t="b">
        <f>AND(J_Laborie!K7,"AAAAAD7+vUE=")</f>
        <v>1</v>
      </c>
      <c r="BO33" s="1" t="b">
        <f>AND(J_Laborie!L7,"AAAAAD7+vUI=")</f>
        <v>1</v>
      </c>
      <c r="BP33" s="1">
        <f>IF(J_Laborie!8:8,"AAAAAD7+vUM=",0)</f>
        <v>0</v>
      </c>
      <c r="BQ33" s="1" t="e">
        <f>AND(J_Laborie!A8,"AAAAAD7+vUQ=")</f>
        <v>#VALUE!</v>
      </c>
      <c r="BR33" s="1" t="b">
        <f>AND(J_Laborie!B8,"AAAAAD7+vUU=")</f>
        <v>1</v>
      </c>
      <c r="BS33" s="1" t="b">
        <f>AND(J_Laborie!C8,"AAAAAD7+vUY=")</f>
        <v>1</v>
      </c>
      <c r="BT33" s="1" t="b">
        <f>AND(J_Laborie!D8,"AAAAAD7+vUc=")</f>
        <v>1</v>
      </c>
      <c r="BU33" s="1" t="b">
        <f>AND(J_Laborie!E8,"AAAAAD7+vUg=")</f>
        <v>1</v>
      </c>
      <c r="BV33" s="1" t="b">
        <f>AND(J_Laborie!F8,"AAAAAD7+vUk=")</f>
        <v>1</v>
      </c>
      <c r="BW33" s="1" t="b">
        <f>AND(J_Laborie!G8,"AAAAAD7+vUo=")</f>
        <v>1</v>
      </c>
      <c r="BX33" s="1" t="b">
        <f>AND(J_Laborie!H8,"AAAAAD7+vUs=")</f>
        <v>1</v>
      </c>
      <c r="BY33" s="1" t="b">
        <f>AND(J_Laborie!I8,"AAAAAD7+vUw=")</f>
        <v>1</v>
      </c>
      <c r="BZ33" s="1" t="b">
        <f>AND(J_Laborie!J8,"AAAAAD7+vU0=")</f>
        <v>1</v>
      </c>
      <c r="CA33" s="1" t="b">
        <f>AND(J_Laborie!K8,"AAAAAD7+vU4=")</f>
        <v>1</v>
      </c>
      <c r="CB33" s="1" t="b">
        <f>AND(J_Laborie!L8,"AAAAAD7+vU8=")</f>
        <v>1</v>
      </c>
      <c r="CC33" s="1">
        <f>IF(J_Laborie!9:9,"AAAAAD7+vVA=",0)</f>
        <v>0</v>
      </c>
      <c r="CD33" s="1" t="e">
        <f>AND(J_Laborie!A9,"AAAAAD7+vVE=")</f>
        <v>#VALUE!</v>
      </c>
      <c r="CE33" s="1" t="b">
        <f>AND(J_Laborie!B9,"AAAAAD7+vVI=")</f>
        <v>1</v>
      </c>
      <c r="CF33" s="1" t="b">
        <f>AND(J_Laborie!C9,"AAAAAD7+vVM=")</f>
        <v>1</v>
      </c>
      <c r="CG33" s="1" t="b">
        <f>AND(J_Laborie!D9,"AAAAAD7+vVQ=")</f>
        <v>1</v>
      </c>
      <c r="CH33" s="1" t="b">
        <f>AND(J_Laborie!E9,"AAAAAD7+vVU=")</f>
        <v>1</v>
      </c>
      <c r="CI33" s="1" t="b">
        <f>AND(J_Laborie!F9,"AAAAAD7+vVY=")</f>
        <v>1</v>
      </c>
      <c r="CJ33" s="1" t="b">
        <f>AND(J_Laborie!G9,"AAAAAD7+vVc=")</f>
        <v>1</v>
      </c>
      <c r="CK33" s="1" t="b">
        <f>AND(J_Laborie!H9,"AAAAAD7+vVg=")</f>
        <v>1</v>
      </c>
      <c r="CL33" s="1" t="b">
        <f>AND(J_Laborie!I9,"AAAAAD7+vVk=")</f>
        <v>1</v>
      </c>
      <c r="CM33" s="1" t="b">
        <f>AND(J_Laborie!J9,"AAAAAD7+vVo=")</f>
        <v>1</v>
      </c>
      <c r="CN33" s="1" t="b">
        <f>AND(J_Laborie!K9,"AAAAAD7+vVs=")</f>
        <v>1</v>
      </c>
      <c r="CO33" s="1" t="b">
        <f>AND(J_Laborie!L9,"AAAAAD7+vVw=")</f>
        <v>1</v>
      </c>
      <c r="CP33" s="1">
        <f>IF(J_Laborie!10:10,"AAAAAD7+vV0=",0)</f>
        <v>0</v>
      </c>
      <c r="CQ33" s="1" t="e">
        <f>AND(J_Laborie!A10,"AAAAAD7+vV4=")</f>
        <v>#VALUE!</v>
      </c>
      <c r="CR33" s="1" t="b">
        <f>AND(J_Laborie!B10,"AAAAAD7+vV8=")</f>
        <v>1</v>
      </c>
      <c r="CS33" s="1" t="b">
        <f>AND(J_Laborie!C10,"AAAAAD7+vWA=")</f>
        <v>1</v>
      </c>
      <c r="CT33" s="1" t="b">
        <f>AND(J_Laborie!D10,"AAAAAD7+vWE=")</f>
        <v>1</v>
      </c>
      <c r="CU33" s="1" t="b">
        <f>AND(J_Laborie!E10,"AAAAAD7+vWI=")</f>
        <v>1</v>
      </c>
      <c r="CV33" s="1" t="b">
        <f>AND(J_Laborie!F10,"AAAAAD7+vWM=")</f>
        <v>1</v>
      </c>
      <c r="CW33" s="1" t="b">
        <f>AND(J_Laborie!G10,"AAAAAD7+vWQ=")</f>
        <v>1</v>
      </c>
      <c r="CX33" s="1" t="b">
        <f>AND(J_Laborie!H10,"AAAAAD7+vWU=")</f>
        <v>1</v>
      </c>
      <c r="CY33" s="1" t="b">
        <f>AND(J_Laborie!I10,"AAAAAD7+vWY=")</f>
        <v>1</v>
      </c>
      <c r="CZ33" s="1" t="b">
        <f>AND(J_Laborie!J10,"AAAAAD7+vWc=")</f>
        <v>1</v>
      </c>
      <c r="DA33" s="1" t="b">
        <f>AND(J_Laborie!K10,"AAAAAD7+vWg=")</f>
        <v>1</v>
      </c>
      <c r="DB33" s="1" t="b">
        <f>AND(J_Laborie!L10,"AAAAAD7+vWk=")</f>
        <v>1</v>
      </c>
      <c r="DC33" s="1">
        <f>IF(J_Laborie!11:11,"AAAAAD7+vWo=",0)</f>
        <v>0</v>
      </c>
      <c r="DD33" s="1" t="e">
        <f>AND(J_Laborie!A11,"AAAAAD7+vWs=")</f>
        <v>#VALUE!</v>
      </c>
      <c r="DE33" s="1" t="b">
        <f>AND(J_Laborie!B11,"AAAAAD7+vWw=")</f>
        <v>1</v>
      </c>
      <c r="DF33" s="1" t="b">
        <f>AND(J_Laborie!C11,"AAAAAD7+vW0=")</f>
        <v>1</v>
      </c>
      <c r="DG33" s="1" t="b">
        <f>AND(J_Laborie!D11,"AAAAAD7+vW4=")</f>
        <v>1</v>
      </c>
      <c r="DH33" s="1" t="b">
        <f>AND(J_Laborie!E11,"AAAAAD7+vW8=")</f>
        <v>1</v>
      </c>
      <c r="DI33" s="1" t="b">
        <f>AND(J_Laborie!F11,"AAAAAD7+vXA=")</f>
        <v>1</v>
      </c>
      <c r="DJ33" s="1" t="b">
        <f>AND(J_Laborie!G11,"AAAAAD7+vXE=")</f>
        <v>1</v>
      </c>
      <c r="DK33" s="1" t="b">
        <f>AND(J_Laborie!H11,"AAAAAD7+vXI=")</f>
        <v>1</v>
      </c>
      <c r="DL33" s="1" t="b">
        <f>AND(J_Laborie!I11,"AAAAAD7+vXM=")</f>
        <v>1</v>
      </c>
      <c r="DM33" s="1" t="b">
        <f>AND(J_Laborie!J11,"AAAAAD7+vXQ=")</f>
        <v>1</v>
      </c>
      <c r="DN33" s="1" t="b">
        <f>AND(J_Laborie!K11,"AAAAAD7+vXU=")</f>
        <v>1</v>
      </c>
      <c r="DO33" s="1" t="b">
        <f>AND(J_Laborie!L11,"AAAAAD7+vXY=")</f>
        <v>1</v>
      </c>
      <c r="DP33" s="1">
        <f>IF(J_Laborie!12:12,"AAAAAD7+vXc=",0)</f>
        <v>0</v>
      </c>
      <c r="DQ33" s="1" t="e">
        <f>AND(J_Laborie!A12,"AAAAAD7+vXg=")</f>
        <v>#VALUE!</v>
      </c>
      <c r="DR33" s="1" t="b">
        <f>AND(J_Laborie!B12,"AAAAAD7+vXk=")</f>
        <v>1</v>
      </c>
      <c r="DS33" s="1" t="b">
        <f>AND(J_Laborie!C12,"AAAAAD7+vXo=")</f>
        <v>1</v>
      </c>
      <c r="DT33" s="1" t="b">
        <f>AND(J_Laborie!D12,"AAAAAD7+vXs=")</f>
        <v>1</v>
      </c>
      <c r="DU33" s="1" t="b">
        <f>AND(J_Laborie!E12,"AAAAAD7+vXw=")</f>
        <v>1</v>
      </c>
      <c r="DV33" s="1" t="b">
        <f>AND(J_Laborie!F12,"AAAAAD7+vX0=")</f>
        <v>1</v>
      </c>
      <c r="DW33" s="1" t="b">
        <f>AND(J_Laborie!G12,"AAAAAD7+vX4=")</f>
        <v>1</v>
      </c>
      <c r="DX33" s="1" t="b">
        <f>AND(J_Laborie!H12,"AAAAAD7+vX8=")</f>
        <v>1</v>
      </c>
      <c r="DY33" s="1" t="b">
        <f>AND(J_Laborie!I12,"AAAAAD7+vYA=")</f>
        <v>1</v>
      </c>
      <c r="DZ33" s="1" t="b">
        <f>AND(J_Laborie!J12,"AAAAAD7+vYE=")</f>
        <v>1</v>
      </c>
      <c r="EA33" s="1" t="b">
        <f>AND(J_Laborie!K12,"AAAAAD7+vYI=")</f>
        <v>1</v>
      </c>
      <c r="EB33" s="1" t="b">
        <f>AND(J_Laborie!L12,"AAAAAD7+vYM=")</f>
        <v>1</v>
      </c>
      <c r="EC33" s="1">
        <f>IF(J_Laborie!14:14,"AAAAAD7+vYQ=",0)</f>
        <v>0</v>
      </c>
      <c r="ED33" s="1" t="e">
        <f>AND(J_Laborie!A14,"AAAAAD7+vYU=")</f>
        <v>#VALUE!</v>
      </c>
      <c r="EE33" s="1" t="e">
        <f>AND(J_Laborie!B14,"AAAAAD7+vYY=")</f>
        <v>#VALUE!</v>
      </c>
      <c r="EF33" s="1" t="e">
        <f>AND(J_Laborie!C14,"AAAAAD7+vYc=")</f>
        <v>#VALUE!</v>
      </c>
      <c r="EG33" s="1" t="e">
        <f>AND(J_Laborie!D14,"AAAAAD7+vYg=")</f>
        <v>#VALUE!</v>
      </c>
      <c r="EH33" s="1" t="e">
        <f>AND(J_Laborie!E14,"AAAAAD7+vYk=")</f>
        <v>#VALUE!</v>
      </c>
      <c r="EI33" s="1" t="e">
        <f>AND(J_Laborie!F14,"AAAAAD7+vYo=")</f>
        <v>#VALUE!</v>
      </c>
      <c r="EJ33" s="1" t="e">
        <f>AND(J_Laborie!G14,"AAAAAD7+vYs=")</f>
        <v>#VALUE!</v>
      </c>
      <c r="EK33" s="1" t="e">
        <f>AND(J_Laborie!H14,"AAAAAD7+vYw=")</f>
        <v>#VALUE!</v>
      </c>
      <c r="EL33" s="1" t="e">
        <f>AND(J_Laborie!I14,"AAAAAD7+vY0=")</f>
        <v>#VALUE!</v>
      </c>
      <c r="EM33" s="1" t="e">
        <f>AND(J_Laborie!J14,"AAAAAD7+vY4=")</f>
        <v>#VALUE!</v>
      </c>
      <c r="EN33" s="1" t="e">
        <f>AND(J_Laborie!K14,"AAAAAD7+vY8=")</f>
        <v>#VALUE!</v>
      </c>
      <c r="EO33" s="1" t="e">
        <f>AND(J_Laborie!L14,"AAAAAD7+vZA=")</f>
        <v>#VALUE!</v>
      </c>
      <c r="EP33" s="1" t="e">
        <f t="shared" ref="EP33:FO33" si="12">IF(J_Laborie!#REF!,"AAAAAD7+vZE=",0)</f>
        <v>#REF!</v>
      </c>
      <c r="EQ33" s="1" t="e">
        <f t="shared" si="12"/>
        <v>#REF!</v>
      </c>
      <c r="ER33" s="1" t="e">
        <f t="shared" si="12"/>
        <v>#REF!</v>
      </c>
      <c r="ES33" s="1" t="e">
        <f t="shared" si="12"/>
        <v>#REF!</v>
      </c>
      <c r="ET33" s="1" t="e">
        <f t="shared" si="12"/>
        <v>#REF!</v>
      </c>
      <c r="EU33" s="1" t="e">
        <f t="shared" si="12"/>
        <v>#REF!</v>
      </c>
      <c r="EV33" s="1" t="e">
        <f t="shared" si="12"/>
        <v>#REF!</v>
      </c>
      <c r="EW33" s="1" t="e">
        <f t="shared" si="12"/>
        <v>#REF!</v>
      </c>
      <c r="EX33" s="1" t="e">
        <f t="shared" si="12"/>
        <v>#REF!</v>
      </c>
      <c r="EY33" s="1" t="e">
        <f t="shared" si="12"/>
        <v>#REF!</v>
      </c>
      <c r="EZ33" s="1" t="e">
        <f t="shared" si="12"/>
        <v>#REF!</v>
      </c>
      <c r="FA33" s="1" t="e">
        <f t="shared" si="12"/>
        <v>#REF!</v>
      </c>
      <c r="FB33" s="1" t="e">
        <f t="shared" si="12"/>
        <v>#REF!</v>
      </c>
      <c r="FC33" s="1" t="e">
        <f t="shared" si="12"/>
        <v>#REF!</v>
      </c>
      <c r="FD33" s="1" t="e">
        <f t="shared" si="12"/>
        <v>#REF!</v>
      </c>
      <c r="FE33" s="1" t="e">
        <f t="shared" si="12"/>
        <v>#REF!</v>
      </c>
      <c r="FF33" s="1" t="e">
        <f t="shared" si="12"/>
        <v>#REF!</v>
      </c>
      <c r="FG33" s="1" t="e">
        <f t="shared" si="12"/>
        <v>#REF!</v>
      </c>
      <c r="FH33" s="1" t="e">
        <f t="shared" si="12"/>
        <v>#REF!</v>
      </c>
      <c r="FI33" s="1" t="e">
        <f t="shared" si="12"/>
        <v>#REF!</v>
      </c>
      <c r="FJ33" s="1" t="e">
        <f t="shared" si="12"/>
        <v>#REF!</v>
      </c>
      <c r="FK33" s="1" t="e">
        <f t="shared" si="12"/>
        <v>#REF!</v>
      </c>
      <c r="FL33" s="1" t="e">
        <f t="shared" si="12"/>
        <v>#REF!</v>
      </c>
      <c r="FM33" s="1" t="e">
        <f t="shared" si="12"/>
        <v>#REF!</v>
      </c>
      <c r="FN33" s="1" t="e">
        <f t="shared" si="12"/>
        <v>#REF!</v>
      </c>
      <c r="FO33" s="1" t="e">
        <f t="shared" si="12"/>
        <v>#REF!</v>
      </c>
      <c r="FP33" s="1">
        <f>IF(J_Laborie!15:15,"AAAAAD7+vas=",0)</f>
        <v>0</v>
      </c>
      <c r="FQ33" s="1" t="e">
        <f>AND(J_Laborie!A15,"AAAAAD7+vaw=")</f>
        <v>#VALUE!</v>
      </c>
      <c r="FR33" s="1" t="b">
        <f>AND(J_Laborie!B15,"AAAAAD7+va0=")</f>
        <v>1</v>
      </c>
      <c r="FS33" s="1" t="b">
        <f>AND(J_Laborie!C15,"AAAAAD7+va4=")</f>
        <v>1</v>
      </c>
      <c r="FT33" s="1" t="b">
        <f>AND(J_Laborie!D15,"AAAAAD7+va8=")</f>
        <v>1</v>
      </c>
      <c r="FU33" s="1" t="b">
        <f>AND(J_Laborie!E15,"AAAAAD7+vbA=")</f>
        <v>1</v>
      </c>
      <c r="FV33" s="1" t="b">
        <f>AND(J_Laborie!F15,"AAAAAD7+vbE=")</f>
        <v>1</v>
      </c>
      <c r="FW33" s="1" t="b">
        <f>AND(J_Laborie!G15,"AAAAAD7+vbI=")</f>
        <v>1</v>
      </c>
      <c r="FX33" s="1" t="b">
        <f>AND(J_Laborie!H15,"AAAAAD7+vbM=")</f>
        <v>1</v>
      </c>
      <c r="FY33" s="1" t="b">
        <f>AND(J_Laborie!I15,"AAAAAD7+vbQ=")</f>
        <v>1</v>
      </c>
      <c r="FZ33" s="1" t="b">
        <f>AND(J_Laborie!J15,"AAAAAD7+vbU=")</f>
        <v>1</v>
      </c>
      <c r="GA33" s="1" t="b">
        <f>AND(J_Laborie!K15,"AAAAAD7+vbY=")</f>
        <v>1</v>
      </c>
      <c r="GB33" s="1" t="b">
        <f>AND(J_Laborie!L15,"AAAAAD7+vbc=")</f>
        <v>1</v>
      </c>
      <c r="GC33" s="1">
        <f>IF(J_Laborie!16:16,"AAAAAD7+vbg=",0)</f>
        <v>0</v>
      </c>
      <c r="GD33" s="1" t="e">
        <f>AND(J_Laborie!A16,"AAAAAD7+vbk=")</f>
        <v>#VALUE!</v>
      </c>
      <c r="GE33" s="1" t="b">
        <f>AND(J_Laborie!B16,"AAAAAD7+vbo=")</f>
        <v>1</v>
      </c>
      <c r="GF33" s="1" t="b">
        <f>AND(J_Laborie!C16,"AAAAAD7+vbs=")</f>
        <v>1</v>
      </c>
      <c r="GG33" s="1" t="b">
        <f>AND(J_Laborie!D16,"AAAAAD7+vbw=")</f>
        <v>1</v>
      </c>
      <c r="GH33" s="1" t="b">
        <f>AND(J_Laborie!E16,"AAAAAD7+vb0=")</f>
        <v>1</v>
      </c>
      <c r="GI33" s="1" t="b">
        <f>AND(J_Laborie!F16,"AAAAAD7+vb4=")</f>
        <v>1</v>
      </c>
      <c r="GJ33" s="1" t="b">
        <f>AND(J_Laborie!G16,"AAAAAD7+vb8=")</f>
        <v>0</v>
      </c>
      <c r="GK33" s="1" t="b">
        <f>AND(J_Laborie!H16,"AAAAAD7+vcA=")</f>
        <v>0</v>
      </c>
      <c r="GL33" s="1" t="b">
        <f>AND(J_Laborie!I16,"AAAAAD7+vcE=")</f>
        <v>1</v>
      </c>
      <c r="GM33" s="1" t="b">
        <f>AND(J_Laborie!J16,"AAAAAD7+vcI=")</f>
        <v>1</v>
      </c>
      <c r="GN33" s="1" t="b">
        <f>AND(J_Laborie!K16,"AAAAAD7+vcM=")</f>
        <v>1</v>
      </c>
      <c r="GO33" s="1" t="b">
        <f>AND(J_Laborie!L16,"AAAAAD7+vcQ=")</f>
        <v>1</v>
      </c>
      <c r="GP33" s="1">
        <f>IF(J_Laborie!17:17,"AAAAAD7+vcU=",0)</f>
        <v>0</v>
      </c>
      <c r="GQ33" s="1" t="e">
        <f>AND(J_Laborie!A17,"AAAAAD7+vcY=")</f>
        <v>#VALUE!</v>
      </c>
      <c r="GR33" s="1" t="b">
        <f>AND(J_Laborie!B17,"AAAAAD7+vcc=")</f>
        <v>1</v>
      </c>
      <c r="GS33" s="1" t="b">
        <f>AND(J_Laborie!C17,"AAAAAD7+vcg=")</f>
        <v>1</v>
      </c>
      <c r="GT33" s="1" t="b">
        <f>AND(J_Laborie!D17,"AAAAAD7+vck=")</f>
        <v>1</v>
      </c>
      <c r="GU33" s="1" t="b">
        <f>AND(J_Laborie!E17,"AAAAAD7+vco=")</f>
        <v>1</v>
      </c>
      <c r="GV33" s="1" t="b">
        <f>AND(J_Laborie!F17,"AAAAAD7+vcs=")</f>
        <v>1</v>
      </c>
      <c r="GW33" s="1" t="b">
        <f>AND(J_Laborie!G17,"AAAAAD7+vcw=")</f>
        <v>0</v>
      </c>
      <c r="GX33" s="1" t="b">
        <f>AND(J_Laborie!H17,"AAAAAD7+vc0=")</f>
        <v>0</v>
      </c>
      <c r="GY33" s="1" t="b">
        <f>AND(J_Laborie!I17,"AAAAAD7+vc4=")</f>
        <v>1</v>
      </c>
      <c r="GZ33" s="1" t="b">
        <f>AND(J_Laborie!J17,"AAAAAD7+vc8=")</f>
        <v>1</v>
      </c>
      <c r="HA33" s="1" t="b">
        <f>AND(J_Laborie!K17,"AAAAAD7+vdA=")</f>
        <v>1</v>
      </c>
      <c r="HB33" s="1" t="b">
        <f>AND(J_Laborie!L17,"AAAAAD7+vdE=")</f>
        <v>1</v>
      </c>
      <c r="HC33" s="1">
        <f>IF(J_Laborie!18:18,"AAAAAD7+vdI=",0)</f>
        <v>0</v>
      </c>
      <c r="HD33" s="1" t="e">
        <f>AND(J_Laborie!A18,"AAAAAD7+vdM=")</f>
        <v>#VALUE!</v>
      </c>
      <c r="HE33" s="1" t="b">
        <f>AND(J_Laborie!B18,"AAAAAD7+vdQ=")</f>
        <v>1</v>
      </c>
      <c r="HF33" s="1" t="b">
        <f>AND(J_Laborie!C18,"AAAAAD7+vdU=")</f>
        <v>1</v>
      </c>
      <c r="HG33" s="1" t="b">
        <f>AND(J_Laborie!D18,"AAAAAD7+vdY=")</f>
        <v>1</v>
      </c>
      <c r="HH33" s="1" t="b">
        <f>AND(J_Laborie!E18,"AAAAAD7+vdc=")</f>
        <v>1</v>
      </c>
      <c r="HI33" s="1" t="b">
        <f>AND(J_Laborie!F18,"AAAAAD7+vdg=")</f>
        <v>1</v>
      </c>
      <c r="HJ33" s="1" t="b">
        <f>AND(J_Laborie!G18,"AAAAAD7+vdk=")</f>
        <v>1</v>
      </c>
      <c r="HK33" s="1" t="b">
        <f>AND(J_Laborie!H18,"AAAAAD7+vdo=")</f>
        <v>1</v>
      </c>
      <c r="HL33" s="1" t="b">
        <f>AND(J_Laborie!I18,"AAAAAD7+vds=")</f>
        <v>1</v>
      </c>
      <c r="HM33" s="1" t="b">
        <f>AND(J_Laborie!J18,"AAAAAD7+vdw=")</f>
        <v>1</v>
      </c>
      <c r="HN33" s="1" t="b">
        <f>AND(J_Laborie!K18,"AAAAAD7+vd0=")</f>
        <v>1</v>
      </c>
      <c r="HO33" s="1" t="b">
        <f>AND(J_Laborie!L18,"AAAAAD7+vd4=")</f>
        <v>1</v>
      </c>
      <c r="HP33" s="1">
        <f>IF(J_Laborie!19:19,"AAAAAD7+vd8=",0)</f>
        <v>0</v>
      </c>
      <c r="HQ33" s="1" t="e">
        <f>AND(J_Laborie!A19,"AAAAAD7+veA=")</f>
        <v>#VALUE!</v>
      </c>
      <c r="HR33" s="1" t="b">
        <f>AND(J_Laborie!B19,"AAAAAD7+veE=")</f>
        <v>1</v>
      </c>
      <c r="HS33" s="1" t="b">
        <f>AND(J_Laborie!C19,"AAAAAD7+veI=")</f>
        <v>1</v>
      </c>
      <c r="HT33" s="1" t="b">
        <f>AND(J_Laborie!D19,"AAAAAD7+veM=")</f>
        <v>1</v>
      </c>
      <c r="HU33" s="1" t="b">
        <f>AND(J_Laborie!E19,"AAAAAD7+veQ=")</f>
        <v>1</v>
      </c>
      <c r="HV33" s="1" t="b">
        <f>AND(J_Laborie!F19,"AAAAAD7+veU=")</f>
        <v>1</v>
      </c>
      <c r="HW33" s="1" t="b">
        <f>AND(J_Laborie!G19,"AAAAAD7+veY=")</f>
        <v>1</v>
      </c>
      <c r="HX33" s="1" t="b">
        <f>AND(J_Laborie!H19,"AAAAAD7+vec=")</f>
        <v>1</v>
      </c>
      <c r="HY33" s="1" t="b">
        <f>AND(J_Laborie!I19,"AAAAAD7+veg=")</f>
        <v>1</v>
      </c>
      <c r="HZ33" s="1" t="b">
        <f>AND(J_Laborie!J19,"AAAAAD7+vek=")</f>
        <v>1</v>
      </c>
      <c r="IA33" s="1" t="b">
        <f>AND(J_Laborie!K19,"AAAAAD7+veo=")</f>
        <v>1</v>
      </c>
      <c r="IB33" s="1" t="b">
        <f>AND(J_Laborie!L19,"AAAAAD7+ves=")</f>
        <v>1</v>
      </c>
      <c r="IC33" s="1" t="e">
        <f>IF(J_Laborie!#REF!,"AAAAAD7+vew=",0)</f>
        <v>#REF!</v>
      </c>
      <c r="ID33" s="1" t="e">
        <f>AND(J_Laborie!#REF!,"AAAAAD7+ve0=")</f>
        <v>#REF!</v>
      </c>
      <c r="IE33" s="1" t="e">
        <f>AND(J_Laborie!#REF!,"AAAAAD7+ve4=")</f>
        <v>#REF!</v>
      </c>
      <c r="IF33" s="1" t="e">
        <f>AND(J_Laborie!#REF!,"AAAAAD7+ve8=")</f>
        <v>#REF!</v>
      </c>
      <c r="IG33" s="1" t="e">
        <f>AND(J_Laborie!#REF!,"AAAAAD7+vfA=")</f>
        <v>#REF!</v>
      </c>
      <c r="IH33" s="1" t="e">
        <f>AND(J_Laborie!#REF!,"AAAAAD7+vfE=")</f>
        <v>#REF!</v>
      </c>
      <c r="II33" s="1" t="e">
        <f>AND(J_Laborie!#REF!,"AAAAAD7+vfI=")</f>
        <v>#REF!</v>
      </c>
      <c r="IJ33" s="1" t="e">
        <f>AND(J_Laborie!#REF!,"AAAAAD7+vfM=")</f>
        <v>#REF!</v>
      </c>
      <c r="IK33" s="1" t="e">
        <f>AND(J_Laborie!#REF!,"AAAAAD7+vfQ=")</f>
        <v>#REF!</v>
      </c>
      <c r="IL33" s="1" t="e">
        <f>AND(J_Laborie!#REF!,"AAAAAD7+vfU=")</f>
        <v>#REF!</v>
      </c>
      <c r="IM33" s="1" t="e">
        <f>AND(J_Laborie!#REF!,"AAAAAD7+vfY=")</f>
        <v>#REF!</v>
      </c>
      <c r="IN33" s="1" t="e">
        <f>AND(J_Laborie!#REF!,"AAAAAD7+vfc=")</f>
        <v>#REF!</v>
      </c>
      <c r="IO33" s="1" t="e">
        <f>AND(J_Laborie!#REF!,"AAAAAD7+vfg=")</f>
        <v>#REF!</v>
      </c>
      <c r="IP33" s="1" t="e">
        <f>IF(J_Laborie!#REF!,"AAAAAD7+vfk=",0)</f>
        <v>#REF!</v>
      </c>
      <c r="IQ33" s="1" t="e">
        <f>AND(J_Laborie!#REF!,"AAAAAD7+vfo=")</f>
        <v>#REF!</v>
      </c>
      <c r="IR33" s="1" t="e">
        <f>AND(J_Laborie!#REF!,"AAAAAD7+vfs=")</f>
        <v>#REF!</v>
      </c>
      <c r="IS33" s="1" t="e">
        <f>AND(J_Laborie!#REF!,"AAAAAD7+vfw=")</f>
        <v>#REF!</v>
      </c>
      <c r="IT33" s="1" t="e">
        <f>AND(J_Laborie!#REF!,"AAAAAD7+vf0=")</f>
        <v>#REF!</v>
      </c>
      <c r="IU33" s="1" t="e">
        <f>AND(J_Laborie!#REF!,"AAAAAD7+vf4=")</f>
        <v>#REF!</v>
      </c>
      <c r="IV33" s="1" t="e">
        <f>AND(J_Laborie!#REF!,"AAAAAD7+vf8=")</f>
        <v>#REF!</v>
      </c>
    </row>
    <row r="34" spans="1:256" ht="12" customHeight="1" x14ac:dyDescent="0.2">
      <c r="A34" s="1" t="e">
        <f>AND(J_Laborie!#REF!,"AAAAAH7fvwA=")</f>
        <v>#REF!</v>
      </c>
      <c r="B34" s="1" t="e">
        <f>AND(J_Laborie!#REF!,"AAAAAH7fvwE=")</f>
        <v>#REF!</v>
      </c>
      <c r="C34" s="1" t="e">
        <f>AND(J_Laborie!#REF!,"AAAAAH7fvwI=")</f>
        <v>#REF!</v>
      </c>
      <c r="D34" s="1" t="e">
        <f>AND(J_Laborie!#REF!,"AAAAAH7fvwM=")</f>
        <v>#REF!</v>
      </c>
      <c r="E34" s="1" t="e">
        <f>AND(J_Laborie!#REF!,"AAAAAH7fvwQ=")</f>
        <v>#REF!</v>
      </c>
      <c r="F34" s="1" t="e">
        <f>AND(J_Laborie!#REF!,"AAAAAH7fvwU=")</f>
        <v>#REF!</v>
      </c>
      <c r="G34" s="1" t="str">
        <f>IF(J_Laborie!20:20,"AAAAAH7fvwY=",0)</f>
        <v>AAAAAH7fvwY=</v>
      </c>
      <c r="H34" s="1" t="e">
        <f>AND(J_Laborie!A20,"AAAAAH7fvwc=")</f>
        <v>#VALUE!</v>
      </c>
      <c r="I34" s="1" t="b">
        <f>AND(J_Laborie!B20,"AAAAAH7fvwg=")</f>
        <v>1</v>
      </c>
      <c r="J34" s="1" t="b">
        <f>AND(J_Laborie!C20,"AAAAAH7fvwk=")</f>
        <v>1</v>
      </c>
      <c r="K34" s="1" t="b">
        <f>AND(J_Laborie!D20,"AAAAAH7fvwo=")</f>
        <v>1</v>
      </c>
      <c r="L34" s="1" t="b">
        <f>AND(J_Laborie!E20,"AAAAAH7fvws=")</f>
        <v>1</v>
      </c>
      <c r="M34" s="1" t="b">
        <f>AND(J_Laborie!F20,"AAAAAH7fvww=")</f>
        <v>1</v>
      </c>
      <c r="N34" s="1" t="b">
        <f>AND(J_Laborie!G20,"AAAAAH7fvw0=")</f>
        <v>1</v>
      </c>
      <c r="O34" s="1" t="b">
        <f>AND(J_Laborie!H20,"AAAAAH7fvw4=")</f>
        <v>1</v>
      </c>
      <c r="P34" s="1" t="b">
        <f>AND(J_Laborie!I20,"AAAAAH7fvw8=")</f>
        <v>1</v>
      </c>
      <c r="Q34" s="1" t="b">
        <f>AND(J_Laborie!J20,"AAAAAH7fvxA=")</f>
        <v>1</v>
      </c>
      <c r="R34" s="1" t="b">
        <f>AND(J_Laborie!K20,"AAAAAH7fvxE=")</f>
        <v>1</v>
      </c>
      <c r="S34" s="1" t="b">
        <f>AND(J_Laborie!L20,"AAAAAH7fvxI=")</f>
        <v>1</v>
      </c>
      <c r="T34" s="1">
        <f>IF(J_Laborie!22:22,"AAAAAH7fvxM=",0)</f>
        <v>0</v>
      </c>
      <c r="U34" s="1" t="e">
        <f>AND(J_Laborie!A22,"AAAAAH7fvxQ=")</f>
        <v>#VALUE!</v>
      </c>
      <c r="V34" s="1" t="e">
        <f>AND(J_Laborie!B22,"AAAAAH7fvxU=")</f>
        <v>#VALUE!</v>
      </c>
      <c r="W34" s="1" t="e">
        <f>AND(J_Laborie!C22,"AAAAAH7fvxY=")</f>
        <v>#VALUE!</v>
      </c>
      <c r="X34" s="1" t="e">
        <f>AND(J_Laborie!D22,"AAAAAH7fvxc=")</f>
        <v>#VALUE!</v>
      </c>
      <c r="Y34" s="1" t="e">
        <f>AND(J_Laborie!E22,"AAAAAH7fvxg=")</f>
        <v>#VALUE!</v>
      </c>
      <c r="Z34" s="1" t="e">
        <f>AND(J_Laborie!F22,"AAAAAH7fvxk=")</f>
        <v>#VALUE!</v>
      </c>
      <c r="AA34" s="1" t="e">
        <f>AND(J_Laborie!G22,"AAAAAH7fvxo=")</f>
        <v>#VALUE!</v>
      </c>
      <c r="AB34" s="1" t="e">
        <f>AND(J_Laborie!H22,"AAAAAH7fvxs=")</f>
        <v>#VALUE!</v>
      </c>
      <c r="AC34" s="1" t="e">
        <f>AND(J_Laborie!I22,"AAAAAH7fvxw=")</f>
        <v>#VALUE!</v>
      </c>
      <c r="AD34" s="1" t="e">
        <f>AND(J_Laborie!J22,"AAAAAH7fvx0=")</f>
        <v>#VALUE!</v>
      </c>
      <c r="AE34" s="1" t="e">
        <f>AND(J_Laborie!K22,"AAAAAH7fvx4=")</f>
        <v>#VALUE!</v>
      </c>
      <c r="AF34" s="1" t="e">
        <f>AND(J_Laborie!L22,"AAAAAH7fvx8=")</f>
        <v>#VALUE!</v>
      </c>
      <c r="AG34" s="1" t="e">
        <f t="shared" ref="AG34:AS34" si="13">IF(J_Laborie!#REF!,"AAAAAH7fvyA=",0)</f>
        <v>#REF!</v>
      </c>
      <c r="AH34" s="1" t="e">
        <f t="shared" si="13"/>
        <v>#REF!</v>
      </c>
      <c r="AI34" s="1" t="e">
        <f t="shared" si="13"/>
        <v>#REF!</v>
      </c>
      <c r="AJ34" s="1" t="e">
        <f t="shared" si="13"/>
        <v>#REF!</v>
      </c>
      <c r="AK34" s="1" t="e">
        <f t="shared" si="13"/>
        <v>#REF!</v>
      </c>
      <c r="AL34" s="1" t="e">
        <f t="shared" si="13"/>
        <v>#REF!</v>
      </c>
      <c r="AM34" s="1" t="e">
        <f t="shared" si="13"/>
        <v>#REF!</v>
      </c>
      <c r="AN34" s="1" t="e">
        <f t="shared" si="13"/>
        <v>#REF!</v>
      </c>
      <c r="AO34" s="1" t="e">
        <f t="shared" si="13"/>
        <v>#REF!</v>
      </c>
      <c r="AP34" s="1" t="e">
        <f t="shared" si="13"/>
        <v>#REF!</v>
      </c>
      <c r="AQ34" s="1" t="e">
        <f t="shared" si="13"/>
        <v>#REF!</v>
      </c>
      <c r="AR34" s="1" t="e">
        <f t="shared" si="13"/>
        <v>#REF!</v>
      </c>
      <c r="AS34" s="1" t="e">
        <f t="shared" si="13"/>
        <v>#REF!</v>
      </c>
      <c r="AT34" s="1">
        <f>IF(J_Laborie!23:23,"AAAAAH7fvy0=",0)</f>
        <v>0</v>
      </c>
      <c r="AU34" s="1" t="e">
        <f>AND(J_Laborie!A23,"AAAAAH7fvy4=")</f>
        <v>#VALUE!</v>
      </c>
      <c r="AV34" s="1" t="b">
        <f>AND(J_Laborie!B23,"AAAAAH7fvy8=")</f>
        <v>1</v>
      </c>
      <c r="AW34" s="1" t="b">
        <f>AND(J_Laborie!C23,"AAAAAH7fvzA=")</f>
        <v>1</v>
      </c>
      <c r="AX34" s="1" t="b">
        <f>AND(J_Laborie!D23,"AAAAAH7fvzE=")</f>
        <v>1</v>
      </c>
      <c r="AY34" s="1" t="b">
        <f>AND(J_Laborie!E23,"AAAAAH7fvzI=")</f>
        <v>1</v>
      </c>
      <c r="AZ34" s="1" t="b">
        <f>AND(J_Laborie!F23,"AAAAAH7fvzM=")</f>
        <v>1</v>
      </c>
      <c r="BA34" s="1" t="b">
        <f>AND(J_Laborie!G23,"AAAAAH7fvzQ=")</f>
        <v>1</v>
      </c>
      <c r="BB34" s="1" t="b">
        <f>AND(J_Laborie!H23,"AAAAAH7fvzU=")</f>
        <v>1</v>
      </c>
      <c r="BC34" s="1" t="b">
        <f>AND(J_Laborie!I23,"AAAAAH7fvzY=")</f>
        <v>1</v>
      </c>
      <c r="BD34" s="1" t="b">
        <f>AND(J_Laborie!J23,"AAAAAH7fvzc=")</f>
        <v>1</v>
      </c>
      <c r="BE34" s="1" t="b">
        <f>AND(J_Laborie!K23,"AAAAAH7fvzg=")</f>
        <v>1</v>
      </c>
      <c r="BF34" s="1" t="b">
        <f>AND(J_Laborie!L23,"AAAAAH7fvzk=")</f>
        <v>1</v>
      </c>
      <c r="BG34" s="1">
        <f>IF(J_Laborie!24:24,"AAAAAH7fvzo=",0)</f>
        <v>0</v>
      </c>
      <c r="BH34" s="1" t="e">
        <f>AND(J_Laborie!A24,"AAAAAH7fvzs=")</f>
        <v>#VALUE!</v>
      </c>
      <c r="BI34" s="1" t="b">
        <f>AND(J_Laborie!B24,"AAAAAH7fvzw=")</f>
        <v>1</v>
      </c>
      <c r="BJ34" s="1" t="b">
        <f>AND(J_Laborie!C24,"AAAAAH7fvz0=")</f>
        <v>1</v>
      </c>
      <c r="BK34" s="1" t="b">
        <f>AND(J_Laborie!D24,"AAAAAH7fvz4=")</f>
        <v>1</v>
      </c>
      <c r="BL34" s="1" t="b">
        <f>AND(J_Laborie!E24,"AAAAAH7fvz8=")</f>
        <v>1</v>
      </c>
      <c r="BM34" s="1" t="b">
        <f>AND(J_Laborie!F24,"AAAAAH7fv0A=")</f>
        <v>1</v>
      </c>
      <c r="BN34" s="1" t="b">
        <f>AND(J_Laborie!G24,"AAAAAH7fv0E=")</f>
        <v>0</v>
      </c>
      <c r="BO34" s="1" t="b">
        <f>AND(J_Laborie!H24,"AAAAAH7fv0I=")</f>
        <v>0</v>
      </c>
      <c r="BP34" s="1" t="b">
        <f>AND(J_Laborie!I24,"AAAAAH7fv0M=")</f>
        <v>1</v>
      </c>
      <c r="BQ34" s="1" t="b">
        <f>AND(J_Laborie!J24,"AAAAAH7fv0Q=")</f>
        <v>1</v>
      </c>
      <c r="BR34" s="1" t="b">
        <f>AND(J_Laborie!K24,"AAAAAH7fv0U=")</f>
        <v>1</v>
      </c>
      <c r="BS34" s="1" t="b">
        <f>AND(J_Laborie!L24,"AAAAAH7fv0Y=")</f>
        <v>1</v>
      </c>
      <c r="BT34" s="1">
        <f>IF(J_Laborie!25:25,"AAAAAH7fv0c=",0)</f>
        <v>0</v>
      </c>
      <c r="BU34" s="1" t="e">
        <f>AND(J_Laborie!A25,"AAAAAH7fv0g=")</f>
        <v>#VALUE!</v>
      </c>
      <c r="BV34" s="1" t="b">
        <f>AND(J_Laborie!B25,"AAAAAH7fv0k=")</f>
        <v>1</v>
      </c>
      <c r="BW34" s="1" t="b">
        <f>AND(J_Laborie!C25,"AAAAAH7fv0o=")</f>
        <v>1</v>
      </c>
      <c r="BX34" s="1" t="b">
        <f>AND(J_Laborie!D25,"AAAAAH7fv0s=")</f>
        <v>1</v>
      </c>
      <c r="BY34" s="1" t="b">
        <f>AND(J_Laborie!E25,"AAAAAH7fv0w=")</f>
        <v>1</v>
      </c>
      <c r="BZ34" s="1" t="b">
        <f>AND(J_Laborie!F25,"AAAAAH7fv00=")</f>
        <v>1</v>
      </c>
      <c r="CA34" s="1" t="b">
        <f>AND(J_Laborie!G25,"AAAAAH7fv04=")</f>
        <v>1</v>
      </c>
      <c r="CB34" s="1" t="b">
        <f>AND(J_Laborie!H25,"AAAAAH7fv08=")</f>
        <v>1</v>
      </c>
      <c r="CC34" s="1" t="b">
        <f>AND(J_Laborie!I25,"AAAAAH7fv1A=")</f>
        <v>1</v>
      </c>
      <c r="CD34" s="1" t="b">
        <f>AND(J_Laborie!J25,"AAAAAH7fv1E=")</f>
        <v>1</v>
      </c>
      <c r="CE34" s="1" t="b">
        <f>AND(J_Laborie!K25,"AAAAAH7fv1I=")</f>
        <v>1</v>
      </c>
      <c r="CF34" s="1" t="b">
        <f>AND(J_Laborie!L25,"AAAAAH7fv1M=")</f>
        <v>1</v>
      </c>
      <c r="CG34" s="1">
        <f>IF(J_Laborie!26:26,"AAAAAH7fv1Q=",0)</f>
        <v>0</v>
      </c>
      <c r="CH34" s="1" t="e">
        <f>AND(J_Laborie!A26,"AAAAAH7fv1U=")</f>
        <v>#VALUE!</v>
      </c>
      <c r="CI34" s="1" t="b">
        <f>AND(J_Laborie!B26,"AAAAAH7fv1Y=")</f>
        <v>1</v>
      </c>
      <c r="CJ34" s="1" t="b">
        <f>AND(J_Laborie!C26,"AAAAAH7fv1c=")</f>
        <v>1</v>
      </c>
      <c r="CK34" s="1" t="b">
        <f>AND(J_Laborie!D26,"AAAAAH7fv1g=")</f>
        <v>1</v>
      </c>
      <c r="CL34" s="1" t="b">
        <f>AND(J_Laborie!E26,"AAAAAH7fv1k=")</f>
        <v>1</v>
      </c>
      <c r="CM34" s="1" t="b">
        <f>AND(J_Laborie!F26,"AAAAAH7fv1o=")</f>
        <v>1</v>
      </c>
      <c r="CN34" s="1" t="b">
        <f>AND(J_Laborie!G26,"AAAAAH7fv1s=")</f>
        <v>1</v>
      </c>
      <c r="CO34" s="1" t="b">
        <f>AND(J_Laborie!H26,"AAAAAH7fv1w=")</f>
        <v>1</v>
      </c>
      <c r="CP34" s="1" t="b">
        <f>AND(J_Laborie!I26,"AAAAAH7fv10=")</f>
        <v>1</v>
      </c>
      <c r="CQ34" s="1" t="b">
        <f>AND(J_Laborie!J26,"AAAAAH7fv14=")</f>
        <v>1</v>
      </c>
      <c r="CR34" s="1" t="b">
        <f>AND(J_Laborie!K26,"AAAAAH7fv18=")</f>
        <v>1</v>
      </c>
      <c r="CS34" s="1" t="b">
        <f>AND(J_Laborie!L26,"AAAAAH7fv2A=")</f>
        <v>1</v>
      </c>
      <c r="CT34" s="1">
        <f>IF(J_Laborie!28:28,"AAAAAH7fv2E=",0)</f>
        <v>0</v>
      </c>
      <c r="CU34" s="1" t="e">
        <f>AND(J_Laborie!A28,"AAAAAH7fv2I=")</f>
        <v>#VALUE!</v>
      </c>
      <c r="CV34" s="1" t="e">
        <f>AND(J_Laborie!B28,"AAAAAH7fv2M=")</f>
        <v>#VALUE!</v>
      </c>
      <c r="CW34" s="1" t="e">
        <f>AND(J_Laborie!C28,"AAAAAH7fv2Q=")</f>
        <v>#VALUE!</v>
      </c>
      <c r="CX34" s="1" t="e">
        <f>AND(J_Laborie!D28,"AAAAAH7fv2U=")</f>
        <v>#VALUE!</v>
      </c>
      <c r="CY34" s="1" t="e">
        <f>AND(J_Laborie!E28,"AAAAAH7fv2Y=")</f>
        <v>#VALUE!</v>
      </c>
      <c r="CZ34" s="1" t="e">
        <f>AND(J_Laborie!F28,"AAAAAH7fv2c=")</f>
        <v>#VALUE!</v>
      </c>
      <c r="DA34" s="1" t="e">
        <f>AND(J_Laborie!G28,"AAAAAH7fv2g=")</f>
        <v>#VALUE!</v>
      </c>
      <c r="DB34" s="1" t="e">
        <f>AND(J_Laborie!H28,"AAAAAH7fv2k=")</f>
        <v>#VALUE!</v>
      </c>
      <c r="DC34" s="1" t="e">
        <f>AND(J_Laborie!I28,"AAAAAH7fv2o=")</f>
        <v>#VALUE!</v>
      </c>
      <c r="DD34" s="1" t="e">
        <f>AND(J_Laborie!J28,"AAAAAH7fv2s=")</f>
        <v>#VALUE!</v>
      </c>
      <c r="DE34" s="1" t="e">
        <f>AND(J_Laborie!K28,"AAAAAH7fv2w=")</f>
        <v>#VALUE!</v>
      </c>
      <c r="DF34" s="1" t="e">
        <f>AND(J_Laborie!L28,"AAAAAH7fv20=")</f>
        <v>#VALUE!</v>
      </c>
      <c r="DG34" s="1" t="e">
        <f t="shared" ref="DG34:DS34" si="14">IF(J_Laborie!#REF!,"AAAAAH7fv24=",0)</f>
        <v>#REF!</v>
      </c>
      <c r="DH34" s="1" t="e">
        <f t="shared" si="14"/>
        <v>#REF!</v>
      </c>
      <c r="DI34" s="1" t="e">
        <f t="shared" si="14"/>
        <v>#REF!</v>
      </c>
      <c r="DJ34" s="1" t="e">
        <f t="shared" si="14"/>
        <v>#REF!</v>
      </c>
      <c r="DK34" s="1" t="e">
        <f t="shared" si="14"/>
        <v>#REF!</v>
      </c>
      <c r="DL34" s="1" t="e">
        <f t="shared" si="14"/>
        <v>#REF!</v>
      </c>
      <c r="DM34" s="1" t="e">
        <f t="shared" si="14"/>
        <v>#REF!</v>
      </c>
      <c r="DN34" s="1" t="e">
        <f t="shared" si="14"/>
        <v>#REF!</v>
      </c>
      <c r="DO34" s="1" t="e">
        <f t="shared" si="14"/>
        <v>#REF!</v>
      </c>
      <c r="DP34" s="1" t="e">
        <f t="shared" si="14"/>
        <v>#REF!</v>
      </c>
      <c r="DQ34" s="1" t="e">
        <f t="shared" si="14"/>
        <v>#REF!</v>
      </c>
      <c r="DR34" s="1" t="e">
        <f t="shared" si="14"/>
        <v>#REF!</v>
      </c>
      <c r="DS34" s="1" t="e">
        <f t="shared" si="14"/>
        <v>#REF!</v>
      </c>
      <c r="DT34" s="1">
        <f>IF(J_Laborie!29:29,"AAAAAH7fv3s=",0)</f>
        <v>0</v>
      </c>
      <c r="DU34" s="1" t="e">
        <f>AND(J_Laborie!A29,"AAAAAH7fv3w=")</f>
        <v>#VALUE!</v>
      </c>
      <c r="DV34" s="1" t="b">
        <f>AND(J_Laborie!B29,"AAAAAH7fv30=")</f>
        <v>1</v>
      </c>
      <c r="DW34" s="1" t="b">
        <f>AND(J_Laborie!C29,"AAAAAH7fv34=")</f>
        <v>1</v>
      </c>
      <c r="DX34" s="1" t="b">
        <f>AND(J_Laborie!D29,"AAAAAH7fv38=")</f>
        <v>1</v>
      </c>
      <c r="DY34" s="1" t="b">
        <f>AND(J_Laborie!E29,"AAAAAH7fv4A=")</f>
        <v>1</v>
      </c>
      <c r="DZ34" s="1" t="b">
        <f>AND(J_Laborie!F29,"AAAAAH7fv4E=")</f>
        <v>1</v>
      </c>
      <c r="EA34" s="1" t="b">
        <f>AND(J_Laborie!G29,"AAAAAH7fv4I=")</f>
        <v>1</v>
      </c>
      <c r="EB34" s="1" t="b">
        <f>AND(J_Laborie!H29,"AAAAAH7fv4M=")</f>
        <v>1</v>
      </c>
      <c r="EC34" s="1" t="b">
        <f>AND(J_Laborie!I29,"AAAAAH7fv4Q=")</f>
        <v>1</v>
      </c>
      <c r="ED34" s="1" t="b">
        <f>AND(J_Laborie!J29,"AAAAAH7fv4U=")</f>
        <v>1</v>
      </c>
      <c r="EE34" s="1" t="b">
        <f>AND(J_Laborie!K29,"AAAAAH7fv4Y=")</f>
        <v>1</v>
      </c>
      <c r="EF34" s="1" t="b">
        <f>AND(J_Laborie!L29,"AAAAAH7fv4c=")</f>
        <v>1</v>
      </c>
      <c r="EG34" s="1">
        <f>IF(J_Laborie!30:30,"AAAAAH7fv4g=",0)</f>
        <v>0</v>
      </c>
      <c r="EH34" s="1" t="e">
        <f>AND(J_Laborie!A30,"AAAAAH7fv4k=")</f>
        <v>#VALUE!</v>
      </c>
      <c r="EI34" s="1" t="b">
        <f>AND(J_Laborie!B30,"AAAAAH7fv4o=")</f>
        <v>1</v>
      </c>
      <c r="EJ34" s="1" t="b">
        <f>AND(J_Laborie!C30,"AAAAAH7fv4s=")</f>
        <v>1</v>
      </c>
      <c r="EK34" s="1" t="b">
        <f>AND(J_Laborie!D30,"AAAAAH7fv4w=")</f>
        <v>1</v>
      </c>
      <c r="EL34" s="1" t="b">
        <f>AND(J_Laborie!E30,"AAAAAH7fv40=")</f>
        <v>1</v>
      </c>
      <c r="EM34" s="1" t="b">
        <f>AND(J_Laborie!F30,"AAAAAH7fv44=")</f>
        <v>1</v>
      </c>
      <c r="EN34" s="1" t="b">
        <f>AND(J_Laborie!G30,"AAAAAH7fv48=")</f>
        <v>0</v>
      </c>
      <c r="EO34" s="1" t="b">
        <f>AND(J_Laborie!H30,"AAAAAH7fv5A=")</f>
        <v>0</v>
      </c>
      <c r="EP34" s="1" t="b">
        <f>AND(J_Laborie!I30,"AAAAAH7fv5E=")</f>
        <v>1</v>
      </c>
      <c r="EQ34" s="1" t="b">
        <f>AND(J_Laborie!J30,"AAAAAH7fv5I=")</f>
        <v>1</v>
      </c>
      <c r="ER34" s="1" t="b">
        <f>AND(J_Laborie!K30,"AAAAAH7fv5M=")</f>
        <v>1</v>
      </c>
      <c r="ES34" s="1" t="b">
        <f>AND(J_Laborie!L30,"AAAAAH7fv5Q=")</f>
        <v>1</v>
      </c>
      <c r="ET34" s="1" t="e">
        <f>IF(J_Laborie!#REF!,"AAAAAH7fv5U=",0)</f>
        <v>#REF!</v>
      </c>
      <c r="EU34" s="1" t="e">
        <f>AND(J_Laborie!#REF!,"AAAAAH7fv5Y=")</f>
        <v>#REF!</v>
      </c>
      <c r="EV34" s="1" t="e">
        <f>AND(J_Laborie!#REF!,"AAAAAH7fv5c=")</f>
        <v>#REF!</v>
      </c>
      <c r="EW34" s="1" t="e">
        <f>AND(J_Laborie!#REF!,"AAAAAH7fv5g=")</f>
        <v>#REF!</v>
      </c>
      <c r="EX34" s="1" t="e">
        <f>AND(J_Laborie!#REF!,"AAAAAH7fv5k=")</f>
        <v>#REF!</v>
      </c>
      <c r="EY34" s="1" t="e">
        <f>AND(J_Laborie!#REF!,"AAAAAH7fv5o=")</f>
        <v>#REF!</v>
      </c>
      <c r="EZ34" s="1" t="e">
        <f>AND(J_Laborie!#REF!,"AAAAAH7fv5s=")</f>
        <v>#REF!</v>
      </c>
      <c r="FA34" s="1" t="e">
        <f>AND(J_Laborie!#REF!,"AAAAAH7fv5w=")</f>
        <v>#REF!</v>
      </c>
      <c r="FB34" s="1" t="e">
        <f>AND(J_Laborie!#REF!,"AAAAAH7fv50=")</f>
        <v>#REF!</v>
      </c>
      <c r="FC34" s="1" t="e">
        <f>AND(J_Laborie!#REF!,"AAAAAH7fv54=")</f>
        <v>#REF!</v>
      </c>
      <c r="FD34" s="1" t="e">
        <f>AND(J_Laborie!#REF!,"AAAAAH7fv58=")</f>
        <v>#REF!</v>
      </c>
      <c r="FE34" s="1" t="e">
        <f>AND(J_Laborie!#REF!,"AAAAAH7fv6A=")</f>
        <v>#REF!</v>
      </c>
      <c r="FF34" s="1" t="e">
        <f>AND(J_Laborie!#REF!,"AAAAAH7fv6E=")</f>
        <v>#REF!</v>
      </c>
      <c r="FG34" s="1">
        <f>IF(J_Laborie!31:31,"AAAAAH7fv6I=",0)</f>
        <v>0</v>
      </c>
      <c r="FH34" s="1" t="e">
        <f>AND(J_Laborie!A31,"AAAAAH7fv6M=")</f>
        <v>#VALUE!</v>
      </c>
      <c r="FI34" s="1" t="b">
        <f>AND(J_Laborie!B31,"AAAAAH7fv6Q=")</f>
        <v>1</v>
      </c>
      <c r="FJ34" s="1" t="b">
        <f>AND(J_Laborie!C31,"AAAAAH7fv6U=")</f>
        <v>1</v>
      </c>
      <c r="FK34" s="1" t="b">
        <f>AND(J_Laborie!D31,"AAAAAH7fv6Y=")</f>
        <v>1</v>
      </c>
      <c r="FL34" s="1" t="b">
        <f>AND(J_Laborie!E31,"AAAAAH7fv6c=")</f>
        <v>1</v>
      </c>
      <c r="FM34" s="1" t="b">
        <f>AND(J_Laborie!F31,"AAAAAH7fv6g=")</f>
        <v>1</v>
      </c>
      <c r="FN34" s="1" t="b">
        <f>AND(J_Laborie!G31,"AAAAAH7fv6k=")</f>
        <v>1</v>
      </c>
      <c r="FO34" s="1" t="b">
        <f>AND(J_Laborie!H31,"AAAAAH7fv6o=")</f>
        <v>1</v>
      </c>
      <c r="FP34" s="1" t="b">
        <f>AND(J_Laborie!I31,"AAAAAH7fv6s=")</f>
        <v>1</v>
      </c>
      <c r="FQ34" s="1" t="b">
        <f>AND(J_Laborie!J31,"AAAAAH7fv6w=")</f>
        <v>1</v>
      </c>
      <c r="FR34" s="1" t="b">
        <f>AND(J_Laborie!K31,"AAAAAH7fv60=")</f>
        <v>1</v>
      </c>
      <c r="FS34" s="1" t="b">
        <f>AND(J_Laborie!L31,"AAAAAH7fv64=")</f>
        <v>1</v>
      </c>
      <c r="FT34" s="1">
        <f>IF(J_Laborie!33:33,"AAAAAH7fv68=",0)</f>
        <v>0</v>
      </c>
      <c r="FU34" s="1" t="e">
        <f>AND(J_Laborie!A33,"AAAAAH7fv7A=")</f>
        <v>#VALUE!</v>
      </c>
      <c r="FV34" s="1" t="e">
        <f>AND(J_Laborie!B33,"AAAAAH7fv7E=")</f>
        <v>#VALUE!</v>
      </c>
      <c r="FW34" s="1" t="e">
        <f>AND(J_Laborie!C33,"AAAAAH7fv7I=")</f>
        <v>#VALUE!</v>
      </c>
      <c r="FX34" s="1" t="e">
        <f>AND(J_Laborie!D33,"AAAAAH7fv7M=")</f>
        <v>#VALUE!</v>
      </c>
      <c r="FY34" s="1" t="e">
        <f>AND(J_Laborie!E33,"AAAAAH7fv7Q=")</f>
        <v>#VALUE!</v>
      </c>
      <c r="FZ34" s="1" t="e">
        <f>AND(J_Laborie!F33,"AAAAAH7fv7U=")</f>
        <v>#VALUE!</v>
      </c>
      <c r="GA34" s="1" t="e">
        <f>AND(J_Laborie!G33,"AAAAAH7fv7Y=")</f>
        <v>#VALUE!</v>
      </c>
      <c r="GB34" s="1" t="e">
        <f>AND(J_Laborie!H33,"AAAAAH7fv7c=")</f>
        <v>#VALUE!</v>
      </c>
      <c r="GC34" s="1" t="e">
        <f>AND(J_Laborie!I33,"AAAAAH7fv7g=")</f>
        <v>#VALUE!</v>
      </c>
      <c r="GD34" s="1" t="e">
        <f>AND(J_Laborie!J33,"AAAAAH7fv7k=")</f>
        <v>#VALUE!</v>
      </c>
      <c r="GE34" s="1" t="e">
        <f>AND(J_Laborie!K33,"AAAAAH7fv7o=")</f>
        <v>#VALUE!</v>
      </c>
      <c r="GF34" s="1" t="e">
        <f>AND(J_Laborie!L33,"AAAAAH7fv7s=")</f>
        <v>#VALUE!</v>
      </c>
      <c r="GG34" s="1">
        <f>IF(J_Laborie!34:34,"AAAAAH7fv7w=",0)</f>
        <v>0</v>
      </c>
      <c r="GH34" s="1" t="e">
        <f>AND(J_Laborie!A34,"AAAAAH7fv70=")</f>
        <v>#VALUE!</v>
      </c>
      <c r="GI34" s="1" t="b">
        <f>AND(J_Laborie!B34,"AAAAAH7fv74=")</f>
        <v>1</v>
      </c>
      <c r="GJ34" s="1" t="b">
        <f>AND(J_Laborie!C34,"AAAAAH7fv78=")</f>
        <v>1</v>
      </c>
      <c r="GK34" s="1" t="b">
        <f>AND(J_Laborie!D34,"AAAAAH7fv8A=")</f>
        <v>1</v>
      </c>
      <c r="GL34" s="1" t="b">
        <f>AND(J_Laborie!E34,"AAAAAH7fv8E=")</f>
        <v>1</v>
      </c>
      <c r="GM34" s="1" t="b">
        <f>AND(J_Laborie!F34,"AAAAAH7fv8I=")</f>
        <v>1</v>
      </c>
      <c r="GN34" s="1" t="b">
        <f>AND(J_Laborie!G34,"AAAAAH7fv8M=")</f>
        <v>1</v>
      </c>
      <c r="GO34" s="1" t="b">
        <f>AND(J_Laborie!H34,"AAAAAH7fv8Q=")</f>
        <v>1</v>
      </c>
      <c r="GP34" s="1" t="b">
        <f>AND(J_Laborie!I34,"AAAAAH7fv8U=")</f>
        <v>1</v>
      </c>
      <c r="GQ34" s="1" t="b">
        <f>AND(J_Laborie!J34,"AAAAAH7fv8Y=")</f>
        <v>1</v>
      </c>
      <c r="GR34" s="1" t="b">
        <f>AND(J_Laborie!K34,"AAAAAH7fv8c=")</f>
        <v>1</v>
      </c>
      <c r="GS34" s="1" t="b">
        <f>AND(J_Laborie!L34,"AAAAAH7fv8g=")</f>
        <v>1</v>
      </c>
      <c r="GT34" s="1">
        <f>IF(J_Laborie!35:35,"AAAAAH7fv8k=",0)</f>
        <v>0</v>
      </c>
      <c r="GU34" s="1" t="e">
        <f>AND(J_Laborie!A35,"AAAAAH7fv8o=")</f>
        <v>#VALUE!</v>
      </c>
      <c r="GV34" s="1" t="b">
        <f>AND(J_Laborie!B35,"AAAAAH7fv8s=")</f>
        <v>1</v>
      </c>
      <c r="GW34" s="1" t="b">
        <f>AND(J_Laborie!C35,"AAAAAH7fv8w=")</f>
        <v>1</v>
      </c>
      <c r="GX34" s="1" t="b">
        <f>AND(J_Laborie!D35,"AAAAAH7fv80=")</f>
        <v>1</v>
      </c>
      <c r="GY34" s="1" t="b">
        <f>AND(J_Laborie!E35,"AAAAAH7fv84=")</f>
        <v>1</v>
      </c>
      <c r="GZ34" s="1" t="b">
        <f>AND(J_Laborie!F35,"AAAAAH7fv88=")</f>
        <v>1</v>
      </c>
      <c r="HA34" s="1" t="b">
        <f>AND(J_Laborie!G35,"AAAAAH7fv9A=")</f>
        <v>0</v>
      </c>
      <c r="HB34" s="1" t="b">
        <f>AND(J_Laborie!H35,"AAAAAH7fv9E=")</f>
        <v>0</v>
      </c>
      <c r="HC34" s="1" t="b">
        <f>AND(J_Laborie!I35,"AAAAAH7fv9I=")</f>
        <v>1</v>
      </c>
      <c r="HD34" s="1" t="b">
        <f>AND(J_Laborie!J35,"AAAAAH7fv9M=")</f>
        <v>1</v>
      </c>
      <c r="HE34" s="1" t="b">
        <f>AND(J_Laborie!K35,"AAAAAH7fv9Q=")</f>
        <v>1</v>
      </c>
      <c r="HF34" s="1" t="b">
        <f>AND(J_Laborie!L35,"AAAAAH7fv9U=")</f>
        <v>1</v>
      </c>
      <c r="HG34" s="1">
        <f>IF(J_Laborie!36:36,"AAAAAH7fv9Y=",0)</f>
        <v>0</v>
      </c>
      <c r="HH34" s="1" t="e">
        <f>AND(J_Laborie!A36,"AAAAAH7fv9c=")</f>
        <v>#VALUE!</v>
      </c>
      <c r="HI34" s="1" t="b">
        <f>AND(J_Laborie!B36,"AAAAAH7fv9g=")</f>
        <v>1</v>
      </c>
      <c r="HJ34" s="1" t="b">
        <f>AND(J_Laborie!C36,"AAAAAH7fv9k=")</f>
        <v>1</v>
      </c>
      <c r="HK34" s="1" t="b">
        <f>AND(J_Laborie!D36,"AAAAAH7fv9o=")</f>
        <v>1</v>
      </c>
      <c r="HL34" s="1" t="b">
        <f>AND(J_Laborie!E36,"AAAAAH7fv9s=")</f>
        <v>1</v>
      </c>
      <c r="HM34" s="1" t="b">
        <f>AND(J_Laborie!F36,"AAAAAH7fv9w=")</f>
        <v>1</v>
      </c>
      <c r="HN34" s="1" t="b">
        <f>AND(J_Laborie!G36,"AAAAAH7fv90=")</f>
        <v>1</v>
      </c>
      <c r="HO34" s="1" t="b">
        <f>AND(J_Laborie!H36,"AAAAAH7fv94=")</f>
        <v>1</v>
      </c>
      <c r="HP34" s="1" t="b">
        <f>AND(J_Laborie!I36,"AAAAAH7fv98=")</f>
        <v>1</v>
      </c>
      <c r="HQ34" s="1" t="b">
        <f>AND(J_Laborie!J36,"AAAAAH7fv+A=")</f>
        <v>1</v>
      </c>
      <c r="HR34" s="1" t="b">
        <f>AND(J_Laborie!K36,"AAAAAH7fv+E=")</f>
        <v>1</v>
      </c>
      <c r="HS34" s="1" t="b">
        <f>AND(J_Laborie!L36,"AAAAAH7fv+I=")</f>
        <v>1</v>
      </c>
      <c r="HT34" s="1" t="e">
        <f>IF(J_Laborie!A:A,"AAAAAH7fv+M=",0)</f>
        <v>#VALUE!</v>
      </c>
      <c r="HU34" s="1" t="str">
        <f>IF(J_Laborie!B:B,"AAAAAH7fv+Q=",0)</f>
        <v>AAAAAH7fv+Q=</v>
      </c>
      <c r="HV34" s="1" t="str">
        <f>IF(J_Laborie!C:C,"AAAAAH7fv+U=",0)</f>
        <v>AAAAAH7fv+U=</v>
      </c>
      <c r="HW34" s="1" t="str">
        <f>IF(J_Laborie!D:D,"AAAAAH7fv+Y=",0)</f>
        <v>AAAAAH7fv+Y=</v>
      </c>
      <c r="HX34" s="1" t="str">
        <f>IF(J_Laborie!E:E,"AAAAAH7fv+c=",0)</f>
        <v>AAAAAH7fv+c=</v>
      </c>
      <c r="HY34" s="1" t="str">
        <f>IF(J_Laborie!F:F,"AAAAAH7fv+g=",0)</f>
        <v>AAAAAH7fv+g=</v>
      </c>
      <c r="HZ34" s="1" t="str">
        <f>IF(J_Laborie!G:G,"AAAAAH7fv+k=",0)</f>
        <v>AAAAAH7fv+k=</v>
      </c>
      <c r="IA34" s="1" t="str">
        <f>IF(J_Laborie!H:H,"AAAAAH7fv+o=",0)</f>
        <v>AAAAAH7fv+o=</v>
      </c>
      <c r="IB34" s="1" t="str">
        <f>IF(J_Laborie!I:I,"AAAAAH7fv+s=",0)</f>
        <v>AAAAAH7fv+s=</v>
      </c>
      <c r="IC34" s="1" t="str">
        <f>IF(J_Laborie!J:J,"AAAAAH7fv+w=",0)</f>
        <v>AAAAAH7fv+w=</v>
      </c>
      <c r="ID34" s="1" t="str">
        <f>IF(J_Laborie!K:K,"AAAAAH7fv+0=",0)</f>
        <v>AAAAAH7fv+0=</v>
      </c>
      <c r="IE34" s="1" t="str">
        <f>IF(J_Laborie!L:L,"AAAAAH7fv+4=",0)</f>
        <v>AAAAAH7fv+4=</v>
      </c>
      <c r="IF34" s="1">
        <f>IF(K_Vieux_Fort_South!2:2,"AAAAAH7fv+8=",0)</f>
        <v>0</v>
      </c>
      <c r="IG34" s="1" t="e">
        <f>AND(K_Vieux_Fort_South!A2,"AAAAAH7fv/A=")</f>
        <v>#VALUE!</v>
      </c>
      <c r="IH34" s="1" t="e">
        <f>AND(K_Vieux_Fort_South!B2,"AAAAAH7fv/E=")</f>
        <v>#VALUE!</v>
      </c>
      <c r="II34" s="1" t="e">
        <f>AND(K_Vieux_Fort_South!C2,"AAAAAH7fv/I=")</f>
        <v>#VALUE!</v>
      </c>
      <c r="IJ34" s="1" t="e">
        <f>AND(K_Vieux_Fort_South!D2,"AAAAAH7fv/M=")</f>
        <v>#VALUE!</v>
      </c>
      <c r="IK34" s="1" t="e">
        <f>AND(K_Vieux_Fort_South!E2,"AAAAAH7fv/Q=")</f>
        <v>#VALUE!</v>
      </c>
      <c r="IL34" s="1" t="e">
        <f>AND(K_Vieux_Fort_South!F2,"AAAAAH7fv/U=")</f>
        <v>#VALUE!</v>
      </c>
      <c r="IM34" s="1" t="e">
        <f>AND(K_Vieux_Fort_South!#REF!,"AAAAAH7fv/Y=")</f>
        <v>#REF!</v>
      </c>
      <c r="IN34" s="1" t="e">
        <f>AND(K_Vieux_Fort_South!#REF!,"AAAAAH7fv/c=")</f>
        <v>#REF!</v>
      </c>
      <c r="IO34" s="1" t="e">
        <f>AND(K_Vieux_Fort_South!G2,"AAAAAH7fv/g=")</f>
        <v>#VALUE!</v>
      </c>
      <c r="IP34" s="1" t="e">
        <f>AND(K_Vieux_Fort_South!H2,"AAAAAH7fv/k=")</f>
        <v>#VALUE!</v>
      </c>
      <c r="IQ34" s="1" t="e">
        <f>AND(K_Vieux_Fort_South!I2,"AAAAAH7fv/o=")</f>
        <v>#VALUE!</v>
      </c>
      <c r="IR34" s="1" t="e">
        <f>AND(K_Vieux_Fort_South!J2,"AAAAAH7fv/s=")</f>
        <v>#VALUE!</v>
      </c>
      <c r="IS34" s="1" t="e">
        <f>AND(K_Vieux_Fort_South!K2,"AAAAAH7fv/w=")</f>
        <v>#VALUE!</v>
      </c>
      <c r="IT34" s="1" t="e">
        <f>AND(K_Vieux_Fort_South!L2,"AAAAAH7fv/0=")</f>
        <v>#VALUE!</v>
      </c>
      <c r="IU34" s="1">
        <f>IF(K_Vieux_Fort_South!3:3,"AAAAAH7fv/4=",0)</f>
        <v>0</v>
      </c>
      <c r="IV34" s="1" t="e">
        <f>AND(K_Vieux_Fort_South!#REF!,"AAAAAH7fv/8=")</f>
        <v>#REF!</v>
      </c>
    </row>
    <row r="35" spans="1:256" ht="12" customHeight="1" x14ac:dyDescent="0.2">
      <c r="A35" s="1" t="e">
        <f>AND(K_Vieux_Fort_South!A3,"AAAAAHGNOQA=")</f>
        <v>#VALUE!</v>
      </c>
      <c r="B35" s="1" t="e">
        <f>AND(K_Vieux_Fort_South!C3,"AAAAAHGNOQE=")</f>
        <v>#VALUE!</v>
      </c>
      <c r="C35" s="1" t="e">
        <f>AND(K_Vieux_Fort_South!D3,"AAAAAHGNOQI=")</f>
        <v>#VALUE!</v>
      </c>
      <c r="D35" s="1" t="e">
        <f>AND(K_Vieux_Fort_South!E3,"AAAAAHGNOQM=")</f>
        <v>#VALUE!</v>
      </c>
      <c r="E35" s="1" t="e">
        <f>AND(K_Vieux_Fort_South!F3,"AAAAAHGNOQQ=")</f>
        <v>#VALUE!</v>
      </c>
      <c r="F35" s="1" t="e">
        <f>AND(K_Vieux_Fort_South!#REF!,"AAAAAHGNOQU=")</f>
        <v>#REF!</v>
      </c>
      <c r="G35" s="1" t="e">
        <f>AND(K_Vieux_Fort_South!#REF!,"AAAAAHGNOQY=")</f>
        <v>#REF!</v>
      </c>
      <c r="H35" s="1" t="e">
        <f>AND(K_Vieux_Fort_South!G3,"AAAAAHGNOQc=")</f>
        <v>#VALUE!</v>
      </c>
      <c r="I35" s="1" t="e">
        <f>AND(K_Vieux_Fort_South!H3,"AAAAAHGNOQg=")</f>
        <v>#VALUE!</v>
      </c>
      <c r="J35" s="1" t="e">
        <f>AND(K_Vieux_Fort_South!I3,"AAAAAHGNOQk=")</f>
        <v>#VALUE!</v>
      </c>
      <c r="K35" s="1" t="e">
        <f>AND(K_Vieux_Fort_South!J3,"AAAAAHGNOQo=")</f>
        <v>#VALUE!</v>
      </c>
      <c r="L35" s="1" t="e">
        <f>AND(K_Vieux_Fort_South!K3,"AAAAAHGNOQs=")</f>
        <v>#VALUE!</v>
      </c>
      <c r="M35" s="1" t="e">
        <f>AND(K_Vieux_Fort_South!L3,"AAAAAHGNOQw=")</f>
        <v>#VALUE!</v>
      </c>
      <c r="N35" s="1">
        <f>IF(K_Vieux_Fort_South!4:4,"AAAAAHGNOQ0=",0)</f>
        <v>0</v>
      </c>
      <c r="O35" s="1" t="e">
        <f>AND(K_Vieux_Fort_South!A4,"AAAAAHGNOQ4=")</f>
        <v>#VALUE!</v>
      </c>
      <c r="P35" s="1" t="b">
        <f>AND(K_Vieux_Fort_South!B4,"AAAAAHGNOQ8=")</f>
        <v>1</v>
      </c>
      <c r="Q35" s="1" t="b">
        <f>AND(K_Vieux_Fort_South!C4,"AAAAAHGNORA=")</f>
        <v>1</v>
      </c>
      <c r="R35" s="1" t="b">
        <f>AND(K_Vieux_Fort_South!D4,"AAAAAHGNORE=")</f>
        <v>1</v>
      </c>
      <c r="S35" s="1" t="b">
        <f>AND(K_Vieux_Fort_South!E4,"AAAAAHGNORI=")</f>
        <v>1</v>
      </c>
      <c r="T35" s="1" t="b">
        <f>AND(K_Vieux_Fort_South!F4,"AAAAAHGNORM=")</f>
        <v>1</v>
      </c>
      <c r="U35" s="1" t="e">
        <f>AND(K_Vieux_Fort_South!#REF!,"AAAAAHGNORQ=")</f>
        <v>#REF!</v>
      </c>
      <c r="V35" s="1" t="e">
        <f>AND(K_Vieux_Fort_South!#REF!,"AAAAAHGNORU=")</f>
        <v>#REF!</v>
      </c>
      <c r="W35" s="1" t="b">
        <f>AND(K_Vieux_Fort_South!G4,"AAAAAHGNORY=")</f>
        <v>1</v>
      </c>
      <c r="X35" s="1" t="b">
        <f>AND(K_Vieux_Fort_South!H4,"AAAAAHGNORc=")</f>
        <v>1</v>
      </c>
      <c r="Y35" s="1" t="b">
        <f>AND(K_Vieux_Fort_South!I4,"AAAAAHGNORg=")</f>
        <v>1</v>
      </c>
      <c r="Z35" s="1" t="b">
        <f>AND(K_Vieux_Fort_South!J4,"AAAAAHGNORk=")</f>
        <v>1</v>
      </c>
      <c r="AA35" s="1" t="b">
        <f>AND(K_Vieux_Fort_South!K4,"AAAAAHGNORo=")</f>
        <v>1</v>
      </c>
      <c r="AB35" s="1" t="b">
        <f>AND(K_Vieux_Fort_South!L4,"AAAAAHGNORs=")</f>
        <v>1</v>
      </c>
      <c r="AC35" s="1">
        <f>IF(K_Vieux_Fort_South!5:5,"AAAAAHGNORw=",0)</f>
        <v>0</v>
      </c>
      <c r="AD35" s="1" t="e">
        <f>AND(K_Vieux_Fort_South!A5,"AAAAAHGNOR0=")</f>
        <v>#VALUE!</v>
      </c>
      <c r="AE35" s="1" t="e">
        <f>AND(K_Vieux_Fort_South!B5,"AAAAAHGNOR4=")</f>
        <v>#VALUE!</v>
      </c>
      <c r="AF35" s="1" t="e">
        <f>AND(K_Vieux_Fort_South!C5,"AAAAAHGNOR8=")</f>
        <v>#VALUE!</v>
      </c>
      <c r="AG35" s="1" t="e">
        <f>AND(K_Vieux_Fort_South!D5,"AAAAAHGNOSA=")</f>
        <v>#VALUE!</v>
      </c>
      <c r="AH35" s="1" t="e">
        <f>AND(K_Vieux_Fort_South!E5,"AAAAAHGNOSE=")</f>
        <v>#VALUE!</v>
      </c>
      <c r="AI35" s="1" t="e">
        <f>AND(K_Vieux_Fort_South!F5,"AAAAAHGNOSI=")</f>
        <v>#VALUE!</v>
      </c>
      <c r="AJ35" s="1" t="e">
        <f>AND(K_Vieux_Fort_South!#REF!,"AAAAAHGNOSM=")</f>
        <v>#REF!</v>
      </c>
      <c r="AK35" s="1" t="e">
        <f>AND(K_Vieux_Fort_South!#REF!,"AAAAAHGNOSQ=")</f>
        <v>#REF!</v>
      </c>
      <c r="AL35" s="1" t="e">
        <f>AND(K_Vieux_Fort_South!G5,"AAAAAHGNOSU=")</f>
        <v>#VALUE!</v>
      </c>
      <c r="AM35" s="1" t="e">
        <f>AND(K_Vieux_Fort_South!H5,"AAAAAHGNOSY=")</f>
        <v>#VALUE!</v>
      </c>
      <c r="AN35" s="1" t="e">
        <f>AND(K_Vieux_Fort_South!I5,"AAAAAHGNOSc=")</f>
        <v>#VALUE!</v>
      </c>
      <c r="AO35" s="1" t="e">
        <f>AND(K_Vieux_Fort_South!J5,"AAAAAHGNOSg=")</f>
        <v>#VALUE!</v>
      </c>
      <c r="AP35" s="1" t="e">
        <f>AND(K_Vieux_Fort_South!K5,"AAAAAHGNOSk=")</f>
        <v>#VALUE!</v>
      </c>
      <c r="AQ35" s="1" t="e">
        <f>AND(K_Vieux_Fort_South!L5,"AAAAAHGNOSo=")</f>
        <v>#VALUE!</v>
      </c>
      <c r="AR35" s="1" t="e">
        <f t="shared" ref="AR35:BF35" si="15">IF(K_Vieux_Fort_South!#REF!,"AAAAAHGNOSs=",0)</f>
        <v>#REF!</v>
      </c>
      <c r="AS35" s="1" t="e">
        <f t="shared" si="15"/>
        <v>#REF!</v>
      </c>
      <c r="AT35" s="1" t="e">
        <f t="shared" si="15"/>
        <v>#REF!</v>
      </c>
      <c r="AU35" s="1" t="e">
        <f t="shared" si="15"/>
        <v>#REF!</v>
      </c>
      <c r="AV35" s="1" t="e">
        <f t="shared" si="15"/>
        <v>#REF!</v>
      </c>
      <c r="AW35" s="1" t="e">
        <f t="shared" si="15"/>
        <v>#REF!</v>
      </c>
      <c r="AX35" s="1" t="e">
        <f t="shared" si="15"/>
        <v>#REF!</v>
      </c>
      <c r="AY35" s="1" t="e">
        <f t="shared" si="15"/>
        <v>#REF!</v>
      </c>
      <c r="AZ35" s="1" t="e">
        <f t="shared" si="15"/>
        <v>#REF!</v>
      </c>
      <c r="BA35" s="1" t="e">
        <f t="shared" si="15"/>
        <v>#REF!</v>
      </c>
      <c r="BB35" s="1" t="e">
        <f t="shared" si="15"/>
        <v>#REF!</v>
      </c>
      <c r="BC35" s="1" t="e">
        <f t="shared" si="15"/>
        <v>#REF!</v>
      </c>
      <c r="BD35" s="1" t="e">
        <f t="shared" si="15"/>
        <v>#REF!</v>
      </c>
      <c r="BE35" s="1" t="e">
        <f t="shared" si="15"/>
        <v>#REF!</v>
      </c>
      <c r="BF35" s="1" t="e">
        <f t="shared" si="15"/>
        <v>#REF!</v>
      </c>
      <c r="BG35" s="1">
        <f>IF(K_Vieux_Fort_South!6:6,"AAAAAHGNOTo=",0)</f>
        <v>0</v>
      </c>
      <c r="BH35" s="1" t="e">
        <f>AND(K_Vieux_Fort_South!A6,"AAAAAHGNOTs=")</f>
        <v>#VALUE!</v>
      </c>
      <c r="BI35" s="1" t="b">
        <f>AND(K_Vieux_Fort_South!B6,"AAAAAHGNOTw=")</f>
        <v>1</v>
      </c>
      <c r="BJ35" s="1" t="b">
        <f>AND(K_Vieux_Fort_South!C6,"AAAAAHGNOT0=")</f>
        <v>1</v>
      </c>
      <c r="BK35" s="1" t="b">
        <f>AND(K_Vieux_Fort_South!D6,"AAAAAHGNOT4=")</f>
        <v>1</v>
      </c>
      <c r="BL35" s="1" t="b">
        <f>AND(K_Vieux_Fort_South!E6,"AAAAAHGNOT8=")</f>
        <v>1</v>
      </c>
      <c r="BM35" s="1" t="b">
        <f>AND(K_Vieux_Fort_South!F6,"AAAAAHGNOUA=")</f>
        <v>1</v>
      </c>
      <c r="BN35" s="1" t="e">
        <f>AND(K_Vieux_Fort_South!#REF!,"AAAAAHGNOUE=")</f>
        <v>#REF!</v>
      </c>
      <c r="BO35" s="1" t="e">
        <f>AND(K_Vieux_Fort_South!#REF!,"AAAAAHGNOUI=")</f>
        <v>#REF!</v>
      </c>
      <c r="BP35" s="1" t="b">
        <f>AND(K_Vieux_Fort_South!G6,"AAAAAHGNOUM=")</f>
        <v>1</v>
      </c>
      <c r="BQ35" s="1" t="b">
        <f>AND(K_Vieux_Fort_South!H6,"AAAAAHGNOUQ=")</f>
        <v>1</v>
      </c>
      <c r="BR35" s="1" t="b">
        <f>AND(K_Vieux_Fort_South!I6,"AAAAAHGNOUU=")</f>
        <v>1</v>
      </c>
      <c r="BS35" s="1" t="b">
        <f>AND(K_Vieux_Fort_South!J6,"AAAAAHGNOUY=")</f>
        <v>1</v>
      </c>
      <c r="BT35" s="1" t="b">
        <f>AND(K_Vieux_Fort_South!K6,"AAAAAHGNOUc=")</f>
        <v>1</v>
      </c>
      <c r="BU35" s="1" t="b">
        <f>AND(K_Vieux_Fort_South!L6,"AAAAAHGNOUg=")</f>
        <v>1</v>
      </c>
      <c r="BV35" s="1">
        <f>IF(K_Vieux_Fort_South!7:7,"AAAAAHGNOUk=",0)</f>
        <v>0</v>
      </c>
      <c r="BW35" s="1" t="e">
        <f>AND(K_Vieux_Fort_South!A7,"AAAAAHGNOUo=")</f>
        <v>#VALUE!</v>
      </c>
      <c r="BX35" s="1" t="b">
        <f>AND(K_Vieux_Fort_South!B7,"AAAAAHGNOUs=")</f>
        <v>1</v>
      </c>
      <c r="BY35" s="1" t="b">
        <f>AND(K_Vieux_Fort_South!C7,"AAAAAHGNOUw=")</f>
        <v>1</v>
      </c>
      <c r="BZ35" s="1" t="b">
        <f>AND(K_Vieux_Fort_South!D7,"AAAAAHGNOU0=")</f>
        <v>1</v>
      </c>
      <c r="CA35" s="1" t="b">
        <f>AND(K_Vieux_Fort_South!E7,"AAAAAHGNOU4=")</f>
        <v>1</v>
      </c>
      <c r="CB35" s="1" t="b">
        <f>AND(K_Vieux_Fort_South!F7,"AAAAAHGNOU8=")</f>
        <v>1</v>
      </c>
      <c r="CC35" s="1" t="e">
        <f>AND(K_Vieux_Fort_South!#REF!,"AAAAAHGNOVA=")</f>
        <v>#REF!</v>
      </c>
      <c r="CD35" s="1" t="e">
        <f>AND(K_Vieux_Fort_South!#REF!,"AAAAAHGNOVE=")</f>
        <v>#REF!</v>
      </c>
      <c r="CE35" s="1" t="b">
        <f>AND(K_Vieux_Fort_South!G7,"AAAAAHGNOVI=")</f>
        <v>1</v>
      </c>
      <c r="CF35" s="1" t="b">
        <f>AND(K_Vieux_Fort_South!H7,"AAAAAHGNOVM=")</f>
        <v>1</v>
      </c>
      <c r="CG35" s="1" t="b">
        <f>AND(K_Vieux_Fort_South!I7,"AAAAAHGNOVQ=")</f>
        <v>1</v>
      </c>
      <c r="CH35" s="1" t="b">
        <f>AND(K_Vieux_Fort_South!J7,"AAAAAHGNOVU=")</f>
        <v>1</v>
      </c>
      <c r="CI35" s="1" t="b">
        <f>AND(K_Vieux_Fort_South!K7,"AAAAAHGNOVY=")</f>
        <v>1</v>
      </c>
      <c r="CJ35" s="1" t="b">
        <f>AND(K_Vieux_Fort_South!L7,"AAAAAHGNOVc=")</f>
        <v>1</v>
      </c>
      <c r="CK35" s="1">
        <f>IF(K_Vieux_Fort_South!8:8,"AAAAAHGNOVg=",0)</f>
        <v>0</v>
      </c>
      <c r="CL35" s="1" t="e">
        <f>AND(K_Vieux_Fort_South!A8,"AAAAAHGNOVk=")</f>
        <v>#VALUE!</v>
      </c>
      <c r="CM35" s="1" t="b">
        <f>AND(K_Vieux_Fort_South!B8,"AAAAAHGNOVo=")</f>
        <v>1</v>
      </c>
      <c r="CN35" s="1" t="b">
        <f>AND(K_Vieux_Fort_South!C8,"AAAAAHGNOVs=")</f>
        <v>1</v>
      </c>
      <c r="CO35" s="1" t="b">
        <f>AND(K_Vieux_Fort_South!D8,"AAAAAHGNOVw=")</f>
        <v>1</v>
      </c>
      <c r="CP35" s="1" t="b">
        <f>AND(K_Vieux_Fort_South!E8,"AAAAAHGNOV0=")</f>
        <v>1</v>
      </c>
      <c r="CQ35" s="1" t="b">
        <f>AND(K_Vieux_Fort_South!F8,"AAAAAHGNOV4=")</f>
        <v>1</v>
      </c>
      <c r="CR35" s="1" t="e">
        <f>AND(K_Vieux_Fort_South!#REF!,"AAAAAHGNOV8=")</f>
        <v>#REF!</v>
      </c>
      <c r="CS35" s="1" t="e">
        <f>AND(K_Vieux_Fort_South!#REF!,"AAAAAHGNOWA=")</f>
        <v>#REF!</v>
      </c>
      <c r="CT35" s="1" t="b">
        <f>AND(K_Vieux_Fort_South!G8,"AAAAAHGNOWE=")</f>
        <v>1</v>
      </c>
      <c r="CU35" s="1" t="b">
        <f>AND(K_Vieux_Fort_South!H8,"AAAAAHGNOWI=")</f>
        <v>1</v>
      </c>
      <c r="CV35" s="1" t="b">
        <f>AND(K_Vieux_Fort_South!I8,"AAAAAHGNOWM=")</f>
        <v>1</v>
      </c>
      <c r="CW35" s="1" t="b">
        <f>AND(K_Vieux_Fort_South!J8,"AAAAAHGNOWQ=")</f>
        <v>1</v>
      </c>
      <c r="CX35" s="1" t="b">
        <f>AND(K_Vieux_Fort_South!K8,"AAAAAHGNOWU=")</f>
        <v>1</v>
      </c>
      <c r="CY35" s="1" t="b">
        <f>AND(K_Vieux_Fort_South!L8,"AAAAAHGNOWY=")</f>
        <v>1</v>
      </c>
      <c r="CZ35" s="1">
        <f>IF(K_Vieux_Fort_South!9:9,"AAAAAHGNOWc=",0)</f>
        <v>0</v>
      </c>
      <c r="DA35" s="1" t="e">
        <f>AND(K_Vieux_Fort_South!A9,"AAAAAHGNOWg=")</f>
        <v>#VALUE!</v>
      </c>
      <c r="DB35" s="1" t="b">
        <f>AND(K_Vieux_Fort_South!B9,"AAAAAHGNOWk=")</f>
        <v>1</v>
      </c>
      <c r="DC35" s="1" t="b">
        <f>AND(K_Vieux_Fort_South!C9,"AAAAAHGNOWo=")</f>
        <v>1</v>
      </c>
      <c r="DD35" s="1" t="b">
        <f>AND(K_Vieux_Fort_South!D9,"AAAAAHGNOWs=")</f>
        <v>1</v>
      </c>
      <c r="DE35" s="1" t="b">
        <f>AND(K_Vieux_Fort_South!E9,"AAAAAHGNOWw=")</f>
        <v>1</v>
      </c>
      <c r="DF35" s="1" t="b">
        <f>AND(K_Vieux_Fort_South!F9,"AAAAAHGNOW0=")</f>
        <v>1</v>
      </c>
      <c r="DG35" s="1" t="e">
        <f>AND(K_Vieux_Fort_South!#REF!,"AAAAAHGNOW4=")</f>
        <v>#REF!</v>
      </c>
      <c r="DH35" s="1" t="e">
        <f>AND(K_Vieux_Fort_South!#REF!,"AAAAAHGNOW8=")</f>
        <v>#REF!</v>
      </c>
      <c r="DI35" s="1" t="b">
        <f>AND(K_Vieux_Fort_South!G9,"AAAAAHGNOXA=")</f>
        <v>1</v>
      </c>
      <c r="DJ35" s="1" t="b">
        <f>AND(K_Vieux_Fort_South!H9,"AAAAAHGNOXE=")</f>
        <v>1</v>
      </c>
      <c r="DK35" s="1" t="b">
        <f>AND(K_Vieux_Fort_South!I9,"AAAAAHGNOXI=")</f>
        <v>1</v>
      </c>
      <c r="DL35" s="1" t="b">
        <f>AND(K_Vieux_Fort_South!J9,"AAAAAHGNOXM=")</f>
        <v>1</v>
      </c>
      <c r="DM35" s="1" t="b">
        <f>AND(K_Vieux_Fort_South!K9,"AAAAAHGNOXQ=")</f>
        <v>1</v>
      </c>
      <c r="DN35" s="1" t="b">
        <f>AND(K_Vieux_Fort_South!L9,"AAAAAHGNOXU=")</f>
        <v>1</v>
      </c>
      <c r="DO35" s="1">
        <f>IF(K_Vieux_Fort_South!10:10,"AAAAAHGNOXY=",0)</f>
        <v>0</v>
      </c>
      <c r="DP35" s="1" t="e">
        <f>AND(K_Vieux_Fort_South!A10,"AAAAAHGNOXc=")</f>
        <v>#VALUE!</v>
      </c>
      <c r="DQ35" s="1" t="b">
        <f>AND(K_Vieux_Fort_South!B10,"AAAAAHGNOXg=")</f>
        <v>1</v>
      </c>
      <c r="DR35" s="1" t="b">
        <f>AND(K_Vieux_Fort_South!C10,"AAAAAHGNOXk=")</f>
        <v>1</v>
      </c>
      <c r="DS35" s="1" t="b">
        <f>AND(K_Vieux_Fort_South!D10,"AAAAAHGNOXo=")</f>
        <v>1</v>
      </c>
      <c r="DT35" s="1" t="b">
        <f>AND(K_Vieux_Fort_South!E10,"AAAAAHGNOXs=")</f>
        <v>1</v>
      </c>
      <c r="DU35" s="1" t="b">
        <f>AND(K_Vieux_Fort_South!F10,"AAAAAHGNOXw=")</f>
        <v>1</v>
      </c>
      <c r="DV35" s="1" t="e">
        <f>AND(K_Vieux_Fort_South!#REF!,"AAAAAHGNOX0=")</f>
        <v>#REF!</v>
      </c>
      <c r="DW35" s="1" t="e">
        <f>AND(K_Vieux_Fort_South!#REF!,"AAAAAHGNOX4=")</f>
        <v>#REF!</v>
      </c>
      <c r="DX35" s="1" t="b">
        <f>AND(K_Vieux_Fort_South!G10,"AAAAAHGNOX8=")</f>
        <v>1</v>
      </c>
      <c r="DY35" s="1" t="b">
        <f>AND(K_Vieux_Fort_South!H10,"AAAAAHGNOYA=")</f>
        <v>1</v>
      </c>
      <c r="DZ35" s="1" t="b">
        <f>AND(K_Vieux_Fort_South!I10,"AAAAAHGNOYE=")</f>
        <v>1</v>
      </c>
      <c r="EA35" s="1" t="b">
        <f>AND(K_Vieux_Fort_South!J10,"AAAAAHGNOYI=")</f>
        <v>1</v>
      </c>
      <c r="EB35" s="1" t="b">
        <f>AND(K_Vieux_Fort_South!K10,"AAAAAHGNOYM=")</f>
        <v>1</v>
      </c>
      <c r="EC35" s="1" t="b">
        <f>AND(K_Vieux_Fort_South!L10,"AAAAAHGNOYQ=")</f>
        <v>1</v>
      </c>
      <c r="ED35" s="1">
        <f>IF(K_Vieux_Fort_South!11:11,"AAAAAHGNOYU=",0)</f>
        <v>0</v>
      </c>
      <c r="EE35" s="1" t="e">
        <f>AND(K_Vieux_Fort_South!A11,"AAAAAHGNOYY=")</f>
        <v>#VALUE!</v>
      </c>
      <c r="EF35" s="1" t="b">
        <f>AND(K_Vieux_Fort_South!B11,"AAAAAHGNOYc=")</f>
        <v>1</v>
      </c>
      <c r="EG35" s="1" t="b">
        <f>AND(K_Vieux_Fort_South!C11,"AAAAAHGNOYg=")</f>
        <v>1</v>
      </c>
      <c r="EH35" s="1" t="b">
        <f>AND(K_Vieux_Fort_South!D11,"AAAAAHGNOYk=")</f>
        <v>1</v>
      </c>
      <c r="EI35" s="1" t="b">
        <f>AND(K_Vieux_Fort_South!E11,"AAAAAHGNOYo=")</f>
        <v>1</v>
      </c>
      <c r="EJ35" s="1" t="b">
        <f>AND(K_Vieux_Fort_South!F11,"AAAAAHGNOYs=")</f>
        <v>1</v>
      </c>
      <c r="EK35" s="1" t="e">
        <f>AND(K_Vieux_Fort_South!#REF!,"AAAAAHGNOYw=")</f>
        <v>#REF!</v>
      </c>
      <c r="EL35" s="1" t="e">
        <f>AND(K_Vieux_Fort_South!#REF!,"AAAAAHGNOY0=")</f>
        <v>#REF!</v>
      </c>
      <c r="EM35" s="1" t="b">
        <f>AND(K_Vieux_Fort_South!G11,"AAAAAHGNOY4=")</f>
        <v>1</v>
      </c>
      <c r="EN35" s="1" t="b">
        <f>AND(K_Vieux_Fort_South!H11,"AAAAAHGNOY8=")</f>
        <v>1</v>
      </c>
      <c r="EO35" s="1" t="b">
        <f>AND(K_Vieux_Fort_South!I11,"AAAAAHGNOZA=")</f>
        <v>1</v>
      </c>
      <c r="EP35" s="1" t="b">
        <f>AND(K_Vieux_Fort_South!J11,"AAAAAHGNOZE=")</f>
        <v>1</v>
      </c>
      <c r="EQ35" s="1" t="b">
        <f>AND(K_Vieux_Fort_South!K11,"AAAAAHGNOZI=")</f>
        <v>1</v>
      </c>
      <c r="ER35" s="1" t="b">
        <f>AND(K_Vieux_Fort_South!L11,"AAAAAHGNOZM=")</f>
        <v>1</v>
      </c>
      <c r="ES35" s="1">
        <f>IF(K_Vieux_Fort_South!12:12,"AAAAAHGNOZQ=",0)</f>
        <v>0</v>
      </c>
      <c r="ET35" s="1" t="e">
        <f>AND(K_Vieux_Fort_South!A12,"AAAAAHGNOZU=")</f>
        <v>#VALUE!</v>
      </c>
      <c r="EU35" s="1" t="b">
        <f>AND(K_Vieux_Fort_South!B12,"AAAAAHGNOZY=")</f>
        <v>1</v>
      </c>
      <c r="EV35" s="1" t="b">
        <f>AND(K_Vieux_Fort_South!C12,"AAAAAHGNOZc=")</f>
        <v>1</v>
      </c>
      <c r="EW35" s="1" t="b">
        <f>AND(K_Vieux_Fort_South!D12,"AAAAAHGNOZg=")</f>
        <v>1</v>
      </c>
      <c r="EX35" s="1" t="b">
        <f>AND(K_Vieux_Fort_South!E12,"AAAAAHGNOZk=")</f>
        <v>1</v>
      </c>
      <c r="EY35" s="1" t="b">
        <f>AND(K_Vieux_Fort_South!F12,"AAAAAHGNOZo=")</f>
        <v>1</v>
      </c>
      <c r="EZ35" s="1" t="e">
        <f>AND(K_Vieux_Fort_South!#REF!,"AAAAAHGNOZs=")</f>
        <v>#REF!</v>
      </c>
      <c r="FA35" s="1" t="e">
        <f>AND(K_Vieux_Fort_South!#REF!,"AAAAAHGNOZw=")</f>
        <v>#REF!</v>
      </c>
      <c r="FB35" s="1" t="b">
        <f>AND(K_Vieux_Fort_South!G12,"AAAAAHGNOZ0=")</f>
        <v>1</v>
      </c>
      <c r="FC35" s="1" t="b">
        <f>AND(K_Vieux_Fort_South!H12,"AAAAAHGNOZ4=")</f>
        <v>1</v>
      </c>
      <c r="FD35" s="1" t="b">
        <f>AND(K_Vieux_Fort_South!I12,"AAAAAHGNOZ8=")</f>
        <v>1</v>
      </c>
      <c r="FE35" s="1" t="b">
        <f>AND(K_Vieux_Fort_South!J12,"AAAAAHGNOaA=")</f>
        <v>1</v>
      </c>
      <c r="FF35" s="1" t="b">
        <f>AND(K_Vieux_Fort_South!K12,"AAAAAHGNOaE=")</f>
        <v>1</v>
      </c>
      <c r="FG35" s="1" t="b">
        <f>AND(K_Vieux_Fort_South!L12,"AAAAAHGNOaI=")</f>
        <v>1</v>
      </c>
      <c r="FH35" s="1">
        <f>IF(K_Vieux_Fort_South!14:14,"AAAAAHGNOaM=",0)</f>
        <v>0</v>
      </c>
      <c r="FI35" s="1" t="e">
        <f>AND(K_Vieux_Fort_South!A14,"AAAAAHGNOaQ=")</f>
        <v>#VALUE!</v>
      </c>
      <c r="FJ35" s="1" t="e">
        <f>AND(K_Vieux_Fort_South!B14,"AAAAAHGNOaU=")</f>
        <v>#VALUE!</v>
      </c>
      <c r="FK35" s="1" t="e">
        <f>AND(K_Vieux_Fort_South!C14,"AAAAAHGNOaY=")</f>
        <v>#VALUE!</v>
      </c>
      <c r="FL35" s="1" t="e">
        <f>AND(K_Vieux_Fort_South!D14,"AAAAAHGNOac=")</f>
        <v>#VALUE!</v>
      </c>
      <c r="FM35" s="1" t="e">
        <f>AND(K_Vieux_Fort_South!E14,"AAAAAHGNOag=")</f>
        <v>#VALUE!</v>
      </c>
      <c r="FN35" s="1" t="e">
        <f>AND(K_Vieux_Fort_South!F14,"AAAAAHGNOak=")</f>
        <v>#VALUE!</v>
      </c>
      <c r="FO35" s="1" t="e">
        <f>AND(K_Vieux_Fort_South!#REF!,"AAAAAHGNOao=")</f>
        <v>#REF!</v>
      </c>
      <c r="FP35" s="1" t="e">
        <f>AND(K_Vieux_Fort_South!#REF!,"AAAAAHGNOas=")</f>
        <v>#REF!</v>
      </c>
      <c r="FQ35" s="1" t="e">
        <f>AND(K_Vieux_Fort_South!G14,"AAAAAHGNOaw=")</f>
        <v>#VALUE!</v>
      </c>
      <c r="FR35" s="1" t="e">
        <f>AND(K_Vieux_Fort_South!H14,"AAAAAHGNOa0=")</f>
        <v>#VALUE!</v>
      </c>
      <c r="FS35" s="1" t="e">
        <f>AND(K_Vieux_Fort_South!I14,"AAAAAHGNOa4=")</f>
        <v>#VALUE!</v>
      </c>
      <c r="FT35" s="1" t="e">
        <f>AND(K_Vieux_Fort_South!J14,"AAAAAHGNOa8=")</f>
        <v>#VALUE!</v>
      </c>
      <c r="FU35" s="1" t="e">
        <f>AND(K_Vieux_Fort_South!K14,"AAAAAHGNObA=")</f>
        <v>#VALUE!</v>
      </c>
      <c r="FV35" s="1" t="e">
        <f>AND(K_Vieux_Fort_South!L14,"AAAAAHGNObE=")</f>
        <v>#VALUE!</v>
      </c>
      <c r="FW35" s="1" t="e">
        <f t="shared" ref="FW35:GK35" si="16">IF(K_Vieux_Fort_South!#REF!,"AAAAAHGNObI=",0)</f>
        <v>#REF!</v>
      </c>
      <c r="FX35" s="1" t="e">
        <f t="shared" si="16"/>
        <v>#REF!</v>
      </c>
      <c r="FY35" s="1" t="e">
        <f t="shared" si="16"/>
        <v>#REF!</v>
      </c>
      <c r="FZ35" s="1" t="e">
        <f t="shared" si="16"/>
        <v>#REF!</v>
      </c>
      <c r="GA35" s="1" t="e">
        <f t="shared" si="16"/>
        <v>#REF!</v>
      </c>
      <c r="GB35" s="1" t="e">
        <f t="shared" si="16"/>
        <v>#REF!</v>
      </c>
      <c r="GC35" s="1" t="e">
        <f t="shared" si="16"/>
        <v>#REF!</v>
      </c>
      <c r="GD35" s="1" t="e">
        <f t="shared" si="16"/>
        <v>#REF!</v>
      </c>
      <c r="GE35" s="1" t="e">
        <f t="shared" si="16"/>
        <v>#REF!</v>
      </c>
      <c r="GF35" s="1" t="e">
        <f t="shared" si="16"/>
        <v>#REF!</v>
      </c>
      <c r="GG35" s="1" t="e">
        <f t="shared" si="16"/>
        <v>#REF!</v>
      </c>
      <c r="GH35" s="1" t="e">
        <f t="shared" si="16"/>
        <v>#REF!</v>
      </c>
      <c r="GI35" s="1" t="e">
        <f t="shared" si="16"/>
        <v>#REF!</v>
      </c>
      <c r="GJ35" s="1" t="e">
        <f t="shared" si="16"/>
        <v>#REF!</v>
      </c>
      <c r="GK35" s="1" t="e">
        <f t="shared" si="16"/>
        <v>#REF!</v>
      </c>
      <c r="GL35" s="1">
        <f>IF(K_Vieux_Fort_South!15:15,"AAAAAHGNOcE=",0)</f>
        <v>0</v>
      </c>
      <c r="GM35" s="1" t="e">
        <f>AND(K_Vieux_Fort_South!A15,"AAAAAHGNOcI=")</f>
        <v>#VALUE!</v>
      </c>
      <c r="GN35" s="1" t="b">
        <f>AND(K_Vieux_Fort_South!B15,"AAAAAHGNOcM=")</f>
        <v>1</v>
      </c>
      <c r="GO35" s="1" t="b">
        <f>AND(K_Vieux_Fort_South!C15,"AAAAAHGNOcQ=")</f>
        <v>1</v>
      </c>
      <c r="GP35" s="1" t="b">
        <f>AND(K_Vieux_Fort_South!D15,"AAAAAHGNOcU=")</f>
        <v>1</v>
      </c>
      <c r="GQ35" s="1" t="b">
        <f>AND(K_Vieux_Fort_South!E15,"AAAAAHGNOcY=")</f>
        <v>1</v>
      </c>
      <c r="GR35" s="1" t="b">
        <f>AND(K_Vieux_Fort_South!F15,"AAAAAHGNOcc=")</f>
        <v>1</v>
      </c>
      <c r="GS35" s="1" t="e">
        <f>AND(K_Vieux_Fort_South!#REF!,"AAAAAHGNOcg=")</f>
        <v>#REF!</v>
      </c>
      <c r="GT35" s="1" t="e">
        <f>AND(K_Vieux_Fort_South!#REF!,"AAAAAHGNOck=")</f>
        <v>#REF!</v>
      </c>
      <c r="GU35" s="1" t="b">
        <f>AND(K_Vieux_Fort_South!G15,"AAAAAHGNOco=")</f>
        <v>1</v>
      </c>
      <c r="GV35" s="1" t="b">
        <f>AND(K_Vieux_Fort_South!H15,"AAAAAHGNOcs=")</f>
        <v>1</v>
      </c>
      <c r="GW35" s="1" t="b">
        <f>AND(K_Vieux_Fort_South!I15,"AAAAAHGNOcw=")</f>
        <v>1</v>
      </c>
      <c r="GX35" s="1" t="b">
        <f>AND(K_Vieux_Fort_South!J15,"AAAAAHGNOc0=")</f>
        <v>1</v>
      </c>
      <c r="GY35" s="1" t="b">
        <f>AND(K_Vieux_Fort_South!K15,"AAAAAHGNOc4=")</f>
        <v>1</v>
      </c>
      <c r="GZ35" s="1" t="b">
        <f>AND(K_Vieux_Fort_South!L15,"AAAAAHGNOc8=")</f>
        <v>1</v>
      </c>
      <c r="HA35" s="1">
        <f>IF(K_Vieux_Fort_South!16:16,"AAAAAHGNOdA=",0)</f>
        <v>0</v>
      </c>
      <c r="HB35" s="1" t="e">
        <f>AND(K_Vieux_Fort_South!A16,"AAAAAHGNOdE=")</f>
        <v>#VALUE!</v>
      </c>
      <c r="HC35" s="1" t="b">
        <f>AND(K_Vieux_Fort_South!B16,"AAAAAHGNOdI=")</f>
        <v>1</v>
      </c>
      <c r="HD35" s="1" t="b">
        <f>AND(K_Vieux_Fort_South!C16,"AAAAAHGNOdM=")</f>
        <v>1</v>
      </c>
      <c r="HE35" s="1" t="b">
        <f>AND(K_Vieux_Fort_South!D16,"AAAAAHGNOdQ=")</f>
        <v>1</v>
      </c>
      <c r="HF35" s="1" t="b">
        <f>AND(K_Vieux_Fort_South!E16,"AAAAAHGNOdU=")</f>
        <v>1</v>
      </c>
      <c r="HG35" s="1" t="b">
        <f>AND(K_Vieux_Fort_South!F16,"AAAAAHGNOdY=")</f>
        <v>1</v>
      </c>
      <c r="HH35" s="1" t="e">
        <f>AND(K_Vieux_Fort_South!#REF!,"AAAAAHGNOdc=")</f>
        <v>#REF!</v>
      </c>
      <c r="HI35" s="1" t="e">
        <f>AND(K_Vieux_Fort_South!#REF!,"AAAAAHGNOdg=")</f>
        <v>#REF!</v>
      </c>
      <c r="HJ35" s="1" t="b">
        <f>AND(K_Vieux_Fort_South!G16,"AAAAAHGNOdk=")</f>
        <v>1</v>
      </c>
      <c r="HK35" s="1" t="b">
        <f>AND(K_Vieux_Fort_South!H16,"AAAAAHGNOdo=")</f>
        <v>1</v>
      </c>
      <c r="HL35" s="1" t="b">
        <f>AND(K_Vieux_Fort_South!I16,"AAAAAHGNOds=")</f>
        <v>1</v>
      </c>
      <c r="HM35" s="1" t="b">
        <f>AND(K_Vieux_Fort_South!J16,"AAAAAHGNOdw=")</f>
        <v>1</v>
      </c>
      <c r="HN35" s="1" t="b">
        <f>AND(K_Vieux_Fort_South!K16,"AAAAAHGNOd0=")</f>
        <v>1</v>
      </c>
      <c r="HO35" s="1" t="b">
        <f>AND(K_Vieux_Fort_South!L16,"AAAAAHGNOd4=")</f>
        <v>1</v>
      </c>
      <c r="HP35" s="1">
        <f>IF(K_Vieux_Fort_South!17:17,"AAAAAHGNOd8=",0)</f>
        <v>0</v>
      </c>
      <c r="HQ35" s="1" t="e">
        <f>AND(K_Vieux_Fort_South!A17,"AAAAAHGNOeA=")</f>
        <v>#VALUE!</v>
      </c>
      <c r="HR35" s="1" t="b">
        <f>AND(K_Vieux_Fort_South!B17,"AAAAAHGNOeE=")</f>
        <v>1</v>
      </c>
      <c r="HS35" s="1" t="b">
        <f>AND(K_Vieux_Fort_South!C17,"AAAAAHGNOeI=")</f>
        <v>1</v>
      </c>
      <c r="HT35" s="1" t="b">
        <f>AND(K_Vieux_Fort_South!D17,"AAAAAHGNOeM=")</f>
        <v>1</v>
      </c>
      <c r="HU35" s="1" t="b">
        <f>AND(K_Vieux_Fort_South!E17,"AAAAAHGNOeQ=")</f>
        <v>1</v>
      </c>
      <c r="HV35" s="1" t="b">
        <f>AND(K_Vieux_Fort_South!F17,"AAAAAHGNOeU=")</f>
        <v>1</v>
      </c>
      <c r="HW35" s="1" t="e">
        <f>AND(K_Vieux_Fort_South!#REF!,"AAAAAHGNOeY=")</f>
        <v>#REF!</v>
      </c>
      <c r="HX35" s="1" t="e">
        <f>AND(K_Vieux_Fort_South!#REF!,"AAAAAHGNOec=")</f>
        <v>#REF!</v>
      </c>
      <c r="HY35" s="1" t="b">
        <f>AND(K_Vieux_Fort_South!G17,"AAAAAHGNOeg=")</f>
        <v>1</v>
      </c>
      <c r="HZ35" s="1" t="b">
        <f>AND(K_Vieux_Fort_South!H17,"AAAAAHGNOek=")</f>
        <v>1</v>
      </c>
      <c r="IA35" s="1" t="b">
        <f>AND(K_Vieux_Fort_South!I17,"AAAAAHGNOeo=")</f>
        <v>1</v>
      </c>
      <c r="IB35" s="1" t="b">
        <f>AND(K_Vieux_Fort_South!J17,"AAAAAHGNOes=")</f>
        <v>1</v>
      </c>
      <c r="IC35" s="1" t="b">
        <f>AND(K_Vieux_Fort_South!K17,"AAAAAHGNOew=")</f>
        <v>1</v>
      </c>
      <c r="ID35" s="1" t="b">
        <f>AND(K_Vieux_Fort_South!L17,"AAAAAHGNOe0=")</f>
        <v>1</v>
      </c>
      <c r="IE35" s="1">
        <f>IF(K_Vieux_Fort_South!18:18,"AAAAAHGNOe4=",0)</f>
        <v>0</v>
      </c>
      <c r="IF35" s="1" t="e">
        <f>AND(K_Vieux_Fort_South!A18,"AAAAAHGNOe8=")</f>
        <v>#VALUE!</v>
      </c>
      <c r="IG35" s="1" t="b">
        <f>AND(K_Vieux_Fort_South!B18,"AAAAAHGNOfA=")</f>
        <v>1</v>
      </c>
      <c r="IH35" s="1" t="b">
        <f>AND(K_Vieux_Fort_South!C18,"AAAAAHGNOfE=")</f>
        <v>1</v>
      </c>
      <c r="II35" s="1" t="b">
        <f>AND(K_Vieux_Fort_South!D18,"AAAAAHGNOfI=")</f>
        <v>1</v>
      </c>
      <c r="IJ35" s="1" t="b">
        <f>AND(K_Vieux_Fort_South!E18,"AAAAAHGNOfM=")</f>
        <v>1</v>
      </c>
      <c r="IK35" s="1" t="b">
        <f>AND(K_Vieux_Fort_South!F18,"AAAAAHGNOfQ=")</f>
        <v>1</v>
      </c>
      <c r="IL35" s="1" t="e">
        <f>AND(K_Vieux_Fort_South!#REF!,"AAAAAHGNOfU=")</f>
        <v>#REF!</v>
      </c>
      <c r="IM35" s="1" t="e">
        <f>AND(K_Vieux_Fort_South!#REF!,"AAAAAHGNOfY=")</f>
        <v>#REF!</v>
      </c>
      <c r="IN35" s="1" t="b">
        <f>AND(K_Vieux_Fort_South!G18,"AAAAAHGNOfc=")</f>
        <v>1</v>
      </c>
      <c r="IO35" s="1" t="b">
        <f>AND(K_Vieux_Fort_South!H18,"AAAAAHGNOfg=")</f>
        <v>1</v>
      </c>
      <c r="IP35" s="1" t="b">
        <f>AND(K_Vieux_Fort_South!I18,"AAAAAHGNOfk=")</f>
        <v>1</v>
      </c>
      <c r="IQ35" s="1" t="b">
        <f>AND(K_Vieux_Fort_South!J18,"AAAAAHGNOfo=")</f>
        <v>1</v>
      </c>
      <c r="IR35" s="1" t="b">
        <f>AND(K_Vieux_Fort_South!K18,"AAAAAHGNOfs=")</f>
        <v>1</v>
      </c>
      <c r="IS35" s="1" t="b">
        <f>AND(K_Vieux_Fort_South!L18,"AAAAAHGNOfw=")</f>
        <v>1</v>
      </c>
      <c r="IT35" s="1">
        <f>IF(K_Vieux_Fort_South!19:19,"AAAAAHGNOf0=",0)</f>
        <v>0</v>
      </c>
      <c r="IU35" s="1" t="e">
        <f>AND(K_Vieux_Fort_South!A19,"AAAAAHGNOf4=")</f>
        <v>#VALUE!</v>
      </c>
      <c r="IV35" s="1" t="b">
        <f>AND(K_Vieux_Fort_South!B19,"AAAAAHGNOf8=")</f>
        <v>1</v>
      </c>
    </row>
    <row r="36" spans="1:256" ht="12" customHeight="1" x14ac:dyDescent="0.2">
      <c r="A36" s="1" t="b">
        <f>AND(K_Vieux_Fort_South!C19,"AAAAAH/avwA=")</f>
        <v>1</v>
      </c>
      <c r="B36" s="1" t="b">
        <f>AND(K_Vieux_Fort_South!D19,"AAAAAH/avwE=")</f>
        <v>1</v>
      </c>
      <c r="C36" s="1" t="b">
        <f>AND(K_Vieux_Fort_South!E19,"AAAAAH/avwI=")</f>
        <v>1</v>
      </c>
      <c r="D36" s="1" t="b">
        <f>AND(K_Vieux_Fort_South!F19,"AAAAAH/avwM=")</f>
        <v>1</v>
      </c>
      <c r="E36" s="1" t="e">
        <f>AND(K_Vieux_Fort_South!#REF!,"AAAAAH/avwQ=")</f>
        <v>#REF!</v>
      </c>
      <c r="F36" s="1" t="e">
        <f>AND(K_Vieux_Fort_South!#REF!,"AAAAAH/avwU=")</f>
        <v>#REF!</v>
      </c>
      <c r="G36" s="1" t="b">
        <f>AND(K_Vieux_Fort_South!G19,"AAAAAH/avwY=")</f>
        <v>1</v>
      </c>
      <c r="H36" s="1" t="b">
        <f>AND(K_Vieux_Fort_South!H19,"AAAAAH/avwc=")</f>
        <v>1</v>
      </c>
      <c r="I36" s="1" t="b">
        <f>AND(K_Vieux_Fort_South!I19,"AAAAAH/avwg=")</f>
        <v>1</v>
      </c>
      <c r="J36" s="1" t="b">
        <f>AND(K_Vieux_Fort_South!J19,"AAAAAH/avwk=")</f>
        <v>1</v>
      </c>
      <c r="K36" s="1" t="b">
        <f>AND(K_Vieux_Fort_South!K19,"AAAAAH/avwo=")</f>
        <v>1</v>
      </c>
      <c r="L36" s="1" t="b">
        <f>AND(K_Vieux_Fort_South!L19,"AAAAAH/avws=")</f>
        <v>1</v>
      </c>
      <c r="M36" s="1">
        <f>IF(K_Vieux_Fort_South!20:20,"AAAAAH/avww=",0)</f>
        <v>0</v>
      </c>
      <c r="N36" s="1" t="e">
        <f>AND(K_Vieux_Fort_South!A20,"AAAAAH/avw0=")</f>
        <v>#VALUE!</v>
      </c>
      <c r="O36" s="1" t="b">
        <f>AND(K_Vieux_Fort_South!B20,"AAAAAH/avw4=")</f>
        <v>1</v>
      </c>
      <c r="P36" s="1" t="b">
        <f>AND(K_Vieux_Fort_South!C20,"AAAAAH/avw8=")</f>
        <v>1</v>
      </c>
      <c r="Q36" s="1" t="b">
        <f>AND(K_Vieux_Fort_South!D20,"AAAAAH/avxA=")</f>
        <v>1</v>
      </c>
      <c r="R36" s="1" t="b">
        <f>AND(K_Vieux_Fort_South!E20,"AAAAAH/avxE=")</f>
        <v>1</v>
      </c>
      <c r="S36" s="1" t="b">
        <f>AND(K_Vieux_Fort_South!F20,"AAAAAH/avxI=")</f>
        <v>1</v>
      </c>
      <c r="T36" s="1" t="e">
        <f>AND(K_Vieux_Fort_South!#REF!,"AAAAAH/avxM=")</f>
        <v>#REF!</v>
      </c>
      <c r="U36" s="1" t="e">
        <f>AND(K_Vieux_Fort_South!#REF!,"AAAAAH/avxQ=")</f>
        <v>#REF!</v>
      </c>
      <c r="V36" s="1" t="b">
        <f>AND(K_Vieux_Fort_South!G20,"AAAAAH/avxU=")</f>
        <v>1</v>
      </c>
      <c r="W36" s="1" t="b">
        <f>AND(K_Vieux_Fort_South!H20,"AAAAAH/avxY=")</f>
        <v>1</v>
      </c>
      <c r="X36" s="1" t="b">
        <f>AND(K_Vieux_Fort_South!I20,"AAAAAH/avxc=")</f>
        <v>1</v>
      </c>
      <c r="Y36" s="1" t="b">
        <f>AND(K_Vieux_Fort_South!J20,"AAAAAH/avxg=")</f>
        <v>1</v>
      </c>
      <c r="Z36" s="1" t="b">
        <f>AND(K_Vieux_Fort_South!K20,"AAAAAH/avxk=")</f>
        <v>1</v>
      </c>
      <c r="AA36" s="1" t="b">
        <f>AND(K_Vieux_Fort_South!L20,"AAAAAH/avxo=")</f>
        <v>1</v>
      </c>
      <c r="AB36" s="1">
        <f>IF(K_Vieux_Fort_South!22:22,"AAAAAH/avxs=",0)</f>
        <v>0</v>
      </c>
      <c r="AC36" s="1" t="e">
        <f>AND(K_Vieux_Fort_South!A22,"AAAAAH/avxw=")</f>
        <v>#VALUE!</v>
      </c>
      <c r="AD36" s="1" t="e">
        <f>AND(K_Vieux_Fort_South!B22,"AAAAAH/avx0=")</f>
        <v>#VALUE!</v>
      </c>
      <c r="AE36" s="1" t="e">
        <f>AND(K_Vieux_Fort_South!C22,"AAAAAH/avx4=")</f>
        <v>#VALUE!</v>
      </c>
      <c r="AF36" s="1" t="e">
        <f>AND(K_Vieux_Fort_South!D22,"AAAAAH/avx8=")</f>
        <v>#VALUE!</v>
      </c>
      <c r="AG36" s="1" t="e">
        <f>AND(K_Vieux_Fort_South!E22,"AAAAAH/avyA=")</f>
        <v>#VALUE!</v>
      </c>
      <c r="AH36" s="1" t="e">
        <f>AND(K_Vieux_Fort_South!F22,"AAAAAH/avyE=")</f>
        <v>#VALUE!</v>
      </c>
      <c r="AI36" s="1" t="e">
        <f>AND(K_Vieux_Fort_South!#REF!,"AAAAAH/avyI=")</f>
        <v>#REF!</v>
      </c>
      <c r="AJ36" s="1" t="e">
        <f>AND(K_Vieux_Fort_South!#REF!,"AAAAAH/avyM=")</f>
        <v>#REF!</v>
      </c>
      <c r="AK36" s="1" t="e">
        <f>AND(K_Vieux_Fort_South!G22,"AAAAAH/avyQ=")</f>
        <v>#VALUE!</v>
      </c>
      <c r="AL36" s="1" t="e">
        <f>AND(K_Vieux_Fort_South!H22,"AAAAAH/avyU=")</f>
        <v>#VALUE!</v>
      </c>
      <c r="AM36" s="1" t="e">
        <f>AND(K_Vieux_Fort_South!I22,"AAAAAH/avyY=")</f>
        <v>#VALUE!</v>
      </c>
      <c r="AN36" s="1" t="e">
        <f>AND(K_Vieux_Fort_South!J22,"AAAAAH/avyc=")</f>
        <v>#VALUE!</v>
      </c>
      <c r="AO36" s="1" t="e">
        <f>AND(K_Vieux_Fort_South!K22,"AAAAAH/avyg=")</f>
        <v>#VALUE!</v>
      </c>
      <c r="AP36" s="1" t="e">
        <f>AND(K_Vieux_Fort_South!L22,"AAAAAH/avyk=")</f>
        <v>#VALUE!</v>
      </c>
      <c r="AQ36" s="1">
        <f>IF(K_Vieux_Fort_South!23:23,"AAAAAH/avyo=",0)</f>
        <v>0</v>
      </c>
      <c r="AR36" s="1" t="e">
        <f>AND(K_Vieux_Fort_South!A23,"AAAAAH/avys=")</f>
        <v>#VALUE!</v>
      </c>
      <c r="AS36" s="1" t="b">
        <f>AND(K_Vieux_Fort_South!B23,"AAAAAH/avyw=")</f>
        <v>1</v>
      </c>
      <c r="AT36" s="1" t="b">
        <f>AND(K_Vieux_Fort_South!C23,"AAAAAH/avy0=")</f>
        <v>1</v>
      </c>
      <c r="AU36" s="1" t="b">
        <f>AND(K_Vieux_Fort_South!D23,"AAAAAH/avy4=")</f>
        <v>1</v>
      </c>
      <c r="AV36" s="1" t="b">
        <f>AND(K_Vieux_Fort_South!E23,"AAAAAH/avy8=")</f>
        <v>1</v>
      </c>
      <c r="AW36" s="1" t="b">
        <f>AND(K_Vieux_Fort_South!F23,"AAAAAH/avzA=")</f>
        <v>1</v>
      </c>
      <c r="AX36" s="1" t="e">
        <f>AND(K_Vieux_Fort_South!#REF!,"AAAAAH/avzE=")</f>
        <v>#REF!</v>
      </c>
      <c r="AY36" s="1" t="e">
        <f>AND(K_Vieux_Fort_South!#REF!,"AAAAAH/avzI=")</f>
        <v>#REF!</v>
      </c>
      <c r="AZ36" s="1" t="b">
        <f>AND(K_Vieux_Fort_South!G23,"AAAAAH/avzM=")</f>
        <v>1</v>
      </c>
      <c r="BA36" s="1" t="b">
        <f>AND(K_Vieux_Fort_South!H23,"AAAAAH/avzQ=")</f>
        <v>1</v>
      </c>
      <c r="BB36" s="1" t="b">
        <f>AND(K_Vieux_Fort_South!I23,"AAAAAH/avzU=")</f>
        <v>1</v>
      </c>
      <c r="BC36" s="1" t="b">
        <f>AND(K_Vieux_Fort_South!J23,"AAAAAH/avzY=")</f>
        <v>1</v>
      </c>
      <c r="BD36" s="1" t="b">
        <f>AND(K_Vieux_Fort_South!K23,"AAAAAH/avzc=")</f>
        <v>1</v>
      </c>
      <c r="BE36" s="1" t="b">
        <f>AND(K_Vieux_Fort_South!L23,"AAAAAH/avzg=")</f>
        <v>1</v>
      </c>
      <c r="BF36" s="1">
        <f>IF(K_Vieux_Fort_South!24:24,"AAAAAH/avzk=",0)</f>
        <v>0</v>
      </c>
      <c r="BG36" s="1" t="e">
        <f>AND(K_Vieux_Fort_South!A24,"AAAAAH/avzo=")</f>
        <v>#VALUE!</v>
      </c>
      <c r="BH36" s="1" t="b">
        <f>AND(K_Vieux_Fort_South!B24,"AAAAAH/avzs=")</f>
        <v>1</v>
      </c>
      <c r="BI36" s="1" t="b">
        <f>AND(K_Vieux_Fort_South!C24,"AAAAAH/avzw=")</f>
        <v>1</v>
      </c>
      <c r="BJ36" s="1" t="b">
        <f>AND(K_Vieux_Fort_South!D24,"AAAAAH/avz0=")</f>
        <v>1</v>
      </c>
      <c r="BK36" s="1" t="b">
        <f>AND(K_Vieux_Fort_South!E24,"AAAAAH/avz4=")</f>
        <v>1</v>
      </c>
      <c r="BL36" s="1" t="b">
        <f>AND(K_Vieux_Fort_South!F24,"AAAAAH/avz8=")</f>
        <v>1</v>
      </c>
      <c r="BM36" s="1" t="e">
        <f>AND(K_Vieux_Fort_South!#REF!,"AAAAAH/av0A=")</f>
        <v>#REF!</v>
      </c>
      <c r="BN36" s="1" t="e">
        <f>AND(K_Vieux_Fort_South!#REF!,"AAAAAH/av0E=")</f>
        <v>#REF!</v>
      </c>
      <c r="BO36" s="1" t="b">
        <f>AND(K_Vieux_Fort_South!G24,"AAAAAH/av0I=")</f>
        <v>1</v>
      </c>
      <c r="BP36" s="1" t="b">
        <f>AND(K_Vieux_Fort_South!H24,"AAAAAH/av0M=")</f>
        <v>1</v>
      </c>
      <c r="BQ36" s="1" t="b">
        <f>AND(K_Vieux_Fort_South!I24,"AAAAAH/av0Q=")</f>
        <v>1</v>
      </c>
      <c r="BR36" s="1" t="b">
        <f>AND(K_Vieux_Fort_South!J24,"AAAAAH/av0U=")</f>
        <v>1</v>
      </c>
      <c r="BS36" s="1" t="b">
        <f>AND(K_Vieux_Fort_South!K24,"AAAAAH/av0Y=")</f>
        <v>1</v>
      </c>
      <c r="BT36" s="1" t="b">
        <f>AND(K_Vieux_Fort_South!L24,"AAAAAH/av0c=")</f>
        <v>1</v>
      </c>
      <c r="BU36" s="1">
        <f>IF(K_Vieux_Fort_South!25:25,"AAAAAH/av0g=",0)</f>
        <v>0</v>
      </c>
      <c r="BV36" s="1" t="e">
        <f>AND(K_Vieux_Fort_South!A25,"AAAAAH/av0k=")</f>
        <v>#VALUE!</v>
      </c>
      <c r="BW36" s="1" t="b">
        <f>AND(K_Vieux_Fort_South!B25,"AAAAAH/av0o=")</f>
        <v>1</v>
      </c>
      <c r="BX36" s="1" t="b">
        <f>AND(K_Vieux_Fort_South!C25,"AAAAAH/av0s=")</f>
        <v>1</v>
      </c>
      <c r="BY36" s="1" t="b">
        <f>AND(K_Vieux_Fort_South!D25,"AAAAAH/av0w=")</f>
        <v>1</v>
      </c>
      <c r="BZ36" s="1" t="b">
        <f>AND(K_Vieux_Fort_South!E25,"AAAAAH/av00=")</f>
        <v>1</v>
      </c>
      <c r="CA36" s="1" t="b">
        <f>AND(K_Vieux_Fort_South!F25,"AAAAAH/av04=")</f>
        <v>1</v>
      </c>
      <c r="CB36" s="1" t="e">
        <f>AND(K_Vieux_Fort_South!#REF!,"AAAAAH/av08=")</f>
        <v>#REF!</v>
      </c>
      <c r="CC36" s="1" t="e">
        <f>AND(K_Vieux_Fort_South!#REF!,"AAAAAH/av1A=")</f>
        <v>#REF!</v>
      </c>
      <c r="CD36" s="1" t="b">
        <f>AND(K_Vieux_Fort_South!G25,"AAAAAH/av1E=")</f>
        <v>1</v>
      </c>
      <c r="CE36" s="1" t="b">
        <f>AND(K_Vieux_Fort_South!H25,"AAAAAH/av1I=")</f>
        <v>1</v>
      </c>
      <c r="CF36" s="1" t="b">
        <f>AND(K_Vieux_Fort_South!I25,"AAAAAH/av1M=")</f>
        <v>1</v>
      </c>
      <c r="CG36" s="1" t="b">
        <f>AND(K_Vieux_Fort_South!J25,"AAAAAH/av1Q=")</f>
        <v>1</v>
      </c>
      <c r="CH36" s="1" t="b">
        <f>AND(K_Vieux_Fort_South!K25,"AAAAAH/av1U=")</f>
        <v>1</v>
      </c>
      <c r="CI36" s="1" t="b">
        <f>AND(K_Vieux_Fort_South!L25,"AAAAAH/av1Y=")</f>
        <v>1</v>
      </c>
      <c r="CJ36" s="1">
        <f>IF(K_Vieux_Fort_South!26:26,"AAAAAH/av1c=",0)</f>
        <v>0</v>
      </c>
      <c r="CK36" s="1" t="e">
        <f>AND(K_Vieux_Fort_South!A26,"AAAAAH/av1g=")</f>
        <v>#VALUE!</v>
      </c>
      <c r="CL36" s="1" t="b">
        <f>AND(K_Vieux_Fort_South!B26,"AAAAAH/av1k=")</f>
        <v>1</v>
      </c>
      <c r="CM36" s="1" t="b">
        <f>AND(K_Vieux_Fort_South!C26,"AAAAAH/av1o=")</f>
        <v>1</v>
      </c>
      <c r="CN36" s="1" t="b">
        <f>AND(K_Vieux_Fort_South!D26,"AAAAAH/av1s=")</f>
        <v>1</v>
      </c>
      <c r="CO36" s="1" t="b">
        <f>AND(K_Vieux_Fort_South!E26,"AAAAAH/av1w=")</f>
        <v>1</v>
      </c>
      <c r="CP36" s="1" t="b">
        <f>AND(K_Vieux_Fort_South!F26,"AAAAAH/av10=")</f>
        <v>1</v>
      </c>
      <c r="CQ36" s="1" t="e">
        <f>AND(K_Vieux_Fort_South!#REF!,"AAAAAH/av14=")</f>
        <v>#REF!</v>
      </c>
      <c r="CR36" s="1" t="e">
        <f>AND(K_Vieux_Fort_South!#REF!,"AAAAAH/av18=")</f>
        <v>#REF!</v>
      </c>
      <c r="CS36" s="1" t="b">
        <f>AND(K_Vieux_Fort_South!G26,"AAAAAH/av2A=")</f>
        <v>1</v>
      </c>
      <c r="CT36" s="1" t="b">
        <f>AND(K_Vieux_Fort_South!H26,"AAAAAH/av2E=")</f>
        <v>1</v>
      </c>
      <c r="CU36" s="1" t="b">
        <f>AND(K_Vieux_Fort_South!I26,"AAAAAH/av2I=")</f>
        <v>1</v>
      </c>
      <c r="CV36" s="1" t="b">
        <f>AND(K_Vieux_Fort_South!J26,"AAAAAH/av2M=")</f>
        <v>1</v>
      </c>
      <c r="CW36" s="1" t="b">
        <f>AND(K_Vieux_Fort_South!K26,"AAAAAH/av2Q=")</f>
        <v>1</v>
      </c>
      <c r="CX36" s="1" t="b">
        <f>AND(K_Vieux_Fort_South!L26,"AAAAAH/av2U=")</f>
        <v>1</v>
      </c>
      <c r="CY36" s="1">
        <f>IF(K_Vieux_Fort_South!27:27,"AAAAAH/av2Y=",0)</f>
        <v>0</v>
      </c>
      <c r="CZ36" s="1" t="e">
        <f>AND(K_Vieux_Fort_South!A27,"AAAAAH/av2c=")</f>
        <v>#VALUE!</v>
      </c>
      <c r="DA36" s="1" t="b">
        <f>AND(K_Vieux_Fort_South!B27,"AAAAAH/av2g=")</f>
        <v>1</v>
      </c>
      <c r="DB36" s="1" t="b">
        <f>AND(K_Vieux_Fort_South!C27,"AAAAAH/av2k=")</f>
        <v>1</v>
      </c>
      <c r="DC36" s="1" t="b">
        <f>AND(K_Vieux_Fort_South!D27,"AAAAAH/av2o=")</f>
        <v>1</v>
      </c>
      <c r="DD36" s="1" t="b">
        <f>AND(K_Vieux_Fort_South!E27,"AAAAAH/av2s=")</f>
        <v>1</v>
      </c>
      <c r="DE36" s="1" t="b">
        <f>AND(K_Vieux_Fort_South!F27,"AAAAAH/av2w=")</f>
        <v>1</v>
      </c>
      <c r="DF36" s="1" t="e">
        <f>AND(K_Vieux_Fort_South!#REF!,"AAAAAH/av20=")</f>
        <v>#REF!</v>
      </c>
      <c r="DG36" s="1" t="e">
        <f>AND(K_Vieux_Fort_South!#REF!,"AAAAAH/av24=")</f>
        <v>#REF!</v>
      </c>
      <c r="DH36" s="1" t="b">
        <f>AND(K_Vieux_Fort_South!G27,"AAAAAH/av28=")</f>
        <v>1</v>
      </c>
      <c r="DI36" s="1" t="b">
        <f>AND(K_Vieux_Fort_South!H27,"AAAAAH/av3A=")</f>
        <v>1</v>
      </c>
      <c r="DJ36" s="1" t="b">
        <f>AND(K_Vieux_Fort_South!I27,"AAAAAH/av3E=")</f>
        <v>1</v>
      </c>
      <c r="DK36" s="1" t="b">
        <f>AND(K_Vieux_Fort_South!J27,"AAAAAH/av3I=")</f>
        <v>1</v>
      </c>
      <c r="DL36" s="1" t="b">
        <f>AND(K_Vieux_Fort_South!K27,"AAAAAH/av3M=")</f>
        <v>1</v>
      </c>
      <c r="DM36" s="1" t="b">
        <f>AND(K_Vieux_Fort_South!L27,"AAAAAH/av3Q=")</f>
        <v>1</v>
      </c>
      <c r="DN36" s="1">
        <f>IF(K_Vieux_Fort_South!28:28,"AAAAAH/av3U=",0)</f>
        <v>0</v>
      </c>
      <c r="DO36" s="1" t="e">
        <f>AND(K_Vieux_Fort_South!A28,"AAAAAH/av3Y=")</f>
        <v>#VALUE!</v>
      </c>
      <c r="DP36" s="1" t="b">
        <f>AND(K_Vieux_Fort_South!B28,"AAAAAH/av3c=")</f>
        <v>1</v>
      </c>
      <c r="DQ36" s="1" t="b">
        <f>AND(K_Vieux_Fort_South!C28,"AAAAAH/av3g=")</f>
        <v>1</v>
      </c>
      <c r="DR36" s="1" t="b">
        <f>AND(K_Vieux_Fort_South!D28,"AAAAAH/av3k=")</f>
        <v>1</v>
      </c>
      <c r="DS36" s="1" t="b">
        <f>AND(K_Vieux_Fort_South!E28,"AAAAAH/av3o=")</f>
        <v>1</v>
      </c>
      <c r="DT36" s="1" t="b">
        <f>AND(K_Vieux_Fort_South!F28,"AAAAAH/av3s=")</f>
        <v>1</v>
      </c>
      <c r="DU36" s="1" t="e">
        <f>AND(K_Vieux_Fort_South!#REF!,"AAAAAH/av3w=")</f>
        <v>#REF!</v>
      </c>
      <c r="DV36" s="1" t="e">
        <f>AND(K_Vieux_Fort_South!#REF!,"AAAAAH/av30=")</f>
        <v>#REF!</v>
      </c>
      <c r="DW36" s="1" t="b">
        <f>AND(K_Vieux_Fort_South!G28,"AAAAAH/av34=")</f>
        <v>1</v>
      </c>
      <c r="DX36" s="1" t="b">
        <f>AND(K_Vieux_Fort_South!H28,"AAAAAH/av38=")</f>
        <v>1</v>
      </c>
      <c r="DY36" s="1" t="b">
        <f>AND(K_Vieux_Fort_South!I28,"AAAAAH/av4A=")</f>
        <v>1</v>
      </c>
      <c r="DZ36" s="1" t="b">
        <f>AND(K_Vieux_Fort_South!J28,"AAAAAH/av4E=")</f>
        <v>1</v>
      </c>
      <c r="EA36" s="1" t="b">
        <f>AND(K_Vieux_Fort_South!K28,"AAAAAH/av4I=")</f>
        <v>1</v>
      </c>
      <c r="EB36" s="1" t="b">
        <f>AND(K_Vieux_Fort_South!L28,"AAAAAH/av4M=")</f>
        <v>1</v>
      </c>
      <c r="EC36" s="1">
        <f>IF(K_Vieux_Fort_South!29:29,"AAAAAH/av4Q=",0)</f>
        <v>0</v>
      </c>
      <c r="ED36" s="1" t="e">
        <f>AND(K_Vieux_Fort_South!A29,"AAAAAH/av4U=")</f>
        <v>#VALUE!</v>
      </c>
      <c r="EE36" s="1" t="b">
        <f>AND(K_Vieux_Fort_South!B29,"AAAAAH/av4Y=")</f>
        <v>1</v>
      </c>
      <c r="EF36" s="1" t="b">
        <f>AND(K_Vieux_Fort_South!C29,"AAAAAH/av4c=")</f>
        <v>1</v>
      </c>
      <c r="EG36" s="1" t="b">
        <f>AND(K_Vieux_Fort_South!D29,"AAAAAH/av4g=")</f>
        <v>1</v>
      </c>
      <c r="EH36" s="1" t="b">
        <f>AND(K_Vieux_Fort_South!E29,"AAAAAH/av4k=")</f>
        <v>1</v>
      </c>
      <c r="EI36" s="1" t="b">
        <f>AND(K_Vieux_Fort_South!F29,"AAAAAH/av4o=")</f>
        <v>1</v>
      </c>
      <c r="EJ36" s="1" t="e">
        <f>AND(K_Vieux_Fort_South!#REF!,"AAAAAH/av4s=")</f>
        <v>#REF!</v>
      </c>
      <c r="EK36" s="1" t="e">
        <f>AND(K_Vieux_Fort_South!#REF!,"AAAAAH/av4w=")</f>
        <v>#REF!</v>
      </c>
      <c r="EL36" s="1" t="b">
        <f>AND(K_Vieux_Fort_South!G29,"AAAAAH/av40=")</f>
        <v>1</v>
      </c>
      <c r="EM36" s="1" t="b">
        <f>AND(K_Vieux_Fort_South!H29,"AAAAAH/av44=")</f>
        <v>1</v>
      </c>
      <c r="EN36" s="1" t="b">
        <f>AND(K_Vieux_Fort_South!I29,"AAAAAH/av48=")</f>
        <v>1</v>
      </c>
      <c r="EO36" s="1" t="b">
        <f>AND(K_Vieux_Fort_South!J29,"AAAAAH/av5A=")</f>
        <v>1</v>
      </c>
      <c r="EP36" s="1" t="b">
        <f>AND(K_Vieux_Fort_South!K29,"AAAAAH/av5E=")</f>
        <v>1</v>
      </c>
      <c r="EQ36" s="1" t="b">
        <f>AND(K_Vieux_Fort_South!L29,"AAAAAH/av5I=")</f>
        <v>1</v>
      </c>
      <c r="ER36" s="1">
        <f>IF(K_Vieux_Fort_South!30:30,"AAAAAH/av5M=",0)</f>
        <v>0</v>
      </c>
      <c r="ES36" s="1" t="e">
        <f>AND(K_Vieux_Fort_South!A30,"AAAAAH/av5Q=")</f>
        <v>#VALUE!</v>
      </c>
      <c r="ET36" s="1" t="b">
        <f>AND(K_Vieux_Fort_South!B30,"AAAAAH/av5U=")</f>
        <v>1</v>
      </c>
      <c r="EU36" s="1" t="b">
        <f>AND(K_Vieux_Fort_South!C30,"AAAAAH/av5Y=")</f>
        <v>1</v>
      </c>
      <c r="EV36" s="1" t="b">
        <f>AND(K_Vieux_Fort_South!D30,"AAAAAH/av5c=")</f>
        <v>1</v>
      </c>
      <c r="EW36" s="1" t="b">
        <f>AND(K_Vieux_Fort_South!E30,"AAAAAH/av5g=")</f>
        <v>1</v>
      </c>
      <c r="EX36" s="1" t="b">
        <f>AND(K_Vieux_Fort_South!F30,"AAAAAH/av5k=")</f>
        <v>1</v>
      </c>
      <c r="EY36" s="1" t="e">
        <f>AND(K_Vieux_Fort_South!#REF!,"AAAAAH/av5o=")</f>
        <v>#REF!</v>
      </c>
      <c r="EZ36" s="1" t="e">
        <f>AND(K_Vieux_Fort_South!#REF!,"AAAAAH/av5s=")</f>
        <v>#REF!</v>
      </c>
      <c r="FA36" s="1" t="b">
        <f>AND(K_Vieux_Fort_South!G30,"AAAAAH/av5w=")</f>
        <v>0</v>
      </c>
      <c r="FB36" s="1" t="b">
        <f>AND(K_Vieux_Fort_South!H30,"AAAAAH/av50=")</f>
        <v>0</v>
      </c>
      <c r="FC36" s="1" t="b">
        <f>AND(K_Vieux_Fort_South!I30,"AAAAAH/av54=")</f>
        <v>1</v>
      </c>
      <c r="FD36" s="1" t="b">
        <f>AND(K_Vieux_Fort_South!J30,"AAAAAH/av58=")</f>
        <v>1</v>
      </c>
      <c r="FE36" s="1" t="b">
        <f>AND(K_Vieux_Fort_South!K30,"AAAAAH/av6A=")</f>
        <v>1</v>
      </c>
      <c r="FF36" s="1" t="b">
        <f>AND(K_Vieux_Fort_South!L30,"AAAAAH/av6E=")</f>
        <v>1</v>
      </c>
      <c r="FG36" s="1">
        <f>IF(K_Vieux_Fort_South!31:31,"AAAAAH/av6I=",0)</f>
        <v>0</v>
      </c>
      <c r="FH36" s="1" t="e">
        <f>AND(K_Vieux_Fort_South!A31,"AAAAAH/av6M=")</f>
        <v>#VALUE!</v>
      </c>
      <c r="FI36" s="1" t="b">
        <f>AND(K_Vieux_Fort_South!B31,"AAAAAH/av6Q=")</f>
        <v>1</v>
      </c>
      <c r="FJ36" s="1" t="b">
        <f>AND(K_Vieux_Fort_South!C31,"AAAAAH/av6U=")</f>
        <v>1</v>
      </c>
      <c r="FK36" s="1" t="b">
        <f>AND(K_Vieux_Fort_South!D31,"AAAAAH/av6Y=")</f>
        <v>1</v>
      </c>
      <c r="FL36" s="1" t="b">
        <f>AND(K_Vieux_Fort_South!E31,"AAAAAH/av6c=")</f>
        <v>1</v>
      </c>
      <c r="FM36" s="1" t="b">
        <f>AND(K_Vieux_Fort_South!F31,"AAAAAH/av6g=")</f>
        <v>1</v>
      </c>
      <c r="FN36" s="1" t="e">
        <f>AND(K_Vieux_Fort_South!#REF!,"AAAAAH/av6k=")</f>
        <v>#REF!</v>
      </c>
      <c r="FO36" s="1" t="e">
        <f>AND(K_Vieux_Fort_South!#REF!,"AAAAAH/av6o=")</f>
        <v>#REF!</v>
      </c>
      <c r="FP36" s="1" t="b">
        <f>AND(K_Vieux_Fort_South!G31,"AAAAAH/av6s=")</f>
        <v>1</v>
      </c>
      <c r="FQ36" s="1" t="b">
        <f>AND(K_Vieux_Fort_South!H31,"AAAAAH/av6w=")</f>
        <v>1</v>
      </c>
      <c r="FR36" s="1" t="b">
        <f>AND(K_Vieux_Fort_South!I31,"AAAAAH/av60=")</f>
        <v>1</v>
      </c>
      <c r="FS36" s="1" t="b">
        <f>AND(K_Vieux_Fort_South!J31,"AAAAAH/av64=")</f>
        <v>1</v>
      </c>
      <c r="FT36" s="1" t="b">
        <f>AND(K_Vieux_Fort_South!K31,"AAAAAH/av68=")</f>
        <v>1</v>
      </c>
      <c r="FU36" s="1" t="b">
        <f>AND(K_Vieux_Fort_South!L31,"AAAAAH/av7A=")</f>
        <v>1</v>
      </c>
      <c r="FV36" s="1">
        <f>IF(K_Vieux_Fort_South!33:33,"AAAAAH/av7E=",0)</f>
        <v>0</v>
      </c>
      <c r="FW36" s="1" t="e">
        <f>AND(K_Vieux_Fort_South!A33,"AAAAAH/av7I=")</f>
        <v>#VALUE!</v>
      </c>
      <c r="FX36" s="1" t="e">
        <f>AND(K_Vieux_Fort_South!B33,"AAAAAH/av7M=")</f>
        <v>#VALUE!</v>
      </c>
      <c r="FY36" s="1" t="e">
        <f>AND(K_Vieux_Fort_South!C33,"AAAAAH/av7Q=")</f>
        <v>#VALUE!</v>
      </c>
      <c r="FZ36" s="1" t="e">
        <f>AND(K_Vieux_Fort_South!D33,"AAAAAH/av7U=")</f>
        <v>#VALUE!</v>
      </c>
      <c r="GA36" s="1" t="e">
        <f>AND(K_Vieux_Fort_South!E33,"AAAAAH/av7Y=")</f>
        <v>#VALUE!</v>
      </c>
      <c r="GB36" s="1" t="e">
        <f>AND(K_Vieux_Fort_South!F33,"AAAAAH/av7c=")</f>
        <v>#VALUE!</v>
      </c>
      <c r="GC36" s="1" t="e">
        <f>AND(K_Vieux_Fort_South!#REF!,"AAAAAH/av7g=")</f>
        <v>#REF!</v>
      </c>
      <c r="GD36" s="1" t="e">
        <f>AND(K_Vieux_Fort_South!#REF!,"AAAAAH/av7k=")</f>
        <v>#REF!</v>
      </c>
      <c r="GE36" s="1" t="e">
        <f>AND(K_Vieux_Fort_South!G33,"AAAAAH/av7o=")</f>
        <v>#VALUE!</v>
      </c>
      <c r="GF36" s="1" t="e">
        <f>AND(K_Vieux_Fort_South!H33,"AAAAAH/av7s=")</f>
        <v>#VALUE!</v>
      </c>
      <c r="GG36" s="1" t="e">
        <f>AND(K_Vieux_Fort_South!I33,"AAAAAH/av7w=")</f>
        <v>#VALUE!</v>
      </c>
      <c r="GH36" s="1" t="e">
        <f>AND(K_Vieux_Fort_South!J33,"AAAAAH/av70=")</f>
        <v>#VALUE!</v>
      </c>
      <c r="GI36" s="1" t="e">
        <f>AND(K_Vieux_Fort_South!K33,"AAAAAH/av74=")</f>
        <v>#VALUE!</v>
      </c>
      <c r="GJ36" s="1" t="e">
        <f>AND(K_Vieux_Fort_South!L33,"AAAAAH/av78=")</f>
        <v>#VALUE!</v>
      </c>
      <c r="GK36" s="1" t="e">
        <f t="shared" ref="GK36:GY36" si="17">IF(K_Vieux_Fort_South!#REF!,"AAAAAH/av8A=",0)</f>
        <v>#REF!</v>
      </c>
      <c r="GL36" s="1" t="e">
        <f t="shared" si="17"/>
        <v>#REF!</v>
      </c>
      <c r="GM36" s="1" t="e">
        <f t="shared" si="17"/>
        <v>#REF!</v>
      </c>
      <c r="GN36" s="1" t="e">
        <f t="shared" si="17"/>
        <v>#REF!</v>
      </c>
      <c r="GO36" s="1" t="e">
        <f t="shared" si="17"/>
        <v>#REF!</v>
      </c>
      <c r="GP36" s="1" t="e">
        <f t="shared" si="17"/>
        <v>#REF!</v>
      </c>
      <c r="GQ36" s="1" t="e">
        <f t="shared" si="17"/>
        <v>#REF!</v>
      </c>
      <c r="GR36" s="1" t="e">
        <f t="shared" si="17"/>
        <v>#REF!</v>
      </c>
      <c r="GS36" s="1" t="e">
        <f t="shared" si="17"/>
        <v>#REF!</v>
      </c>
      <c r="GT36" s="1" t="e">
        <f t="shared" si="17"/>
        <v>#REF!</v>
      </c>
      <c r="GU36" s="1" t="e">
        <f t="shared" si="17"/>
        <v>#REF!</v>
      </c>
      <c r="GV36" s="1" t="e">
        <f t="shared" si="17"/>
        <v>#REF!</v>
      </c>
      <c r="GW36" s="1" t="e">
        <f t="shared" si="17"/>
        <v>#REF!</v>
      </c>
      <c r="GX36" s="1" t="e">
        <f t="shared" si="17"/>
        <v>#REF!</v>
      </c>
      <c r="GY36" s="1" t="e">
        <f t="shared" si="17"/>
        <v>#REF!</v>
      </c>
      <c r="GZ36" s="1">
        <f>IF(K_Vieux_Fort_South!34:34,"AAAAAH/av88=",0)</f>
        <v>0</v>
      </c>
      <c r="HA36" s="1" t="e">
        <f>AND(K_Vieux_Fort_South!A34,"AAAAAH/av9A=")</f>
        <v>#VALUE!</v>
      </c>
      <c r="HB36" s="1" t="b">
        <f>AND(K_Vieux_Fort_South!B34,"AAAAAH/av9E=")</f>
        <v>1</v>
      </c>
      <c r="HC36" s="1" t="b">
        <f>AND(K_Vieux_Fort_South!C34,"AAAAAH/av9I=")</f>
        <v>1</v>
      </c>
      <c r="HD36" s="1" t="b">
        <f>AND(K_Vieux_Fort_South!D34,"AAAAAH/av9M=")</f>
        <v>1</v>
      </c>
      <c r="HE36" s="1" t="b">
        <f>AND(K_Vieux_Fort_South!E34,"AAAAAH/av9Q=")</f>
        <v>1</v>
      </c>
      <c r="HF36" s="1" t="b">
        <f>AND(K_Vieux_Fort_South!F34,"AAAAAH/av9U=")</f>
        <v>1</v>
      </c>
      <c r="HG36" s="1" t="e">
        <f>AND(K_Vieux_Fort_South!#REF!,"AAAAAH/av9Y=")</f>
        <v>#REF!</v>
      </c>
      <c r="HH36" s="1" t="e">
        <f>AND(K_Vieux_Fort_South!#REF!,"AAAAAH/av9c=")</f>
        <v>#REF!</v>
      </c>
      <c r="HI36" s="1" t="b">
        <f>AND(K_Vieux_Fort_South!G34,"AAAAAH/av9g=")</f>
        <v>0</v>
      </c>
      <c r="HJ36" s="1" t="b">
        <f>AND(K_Vieux_Fort_South!H34,"AAAAAH/av9k=")</f>
        <v>0</v>
      </c>
      <c r="HK36" s="1" t="b">
        <f>AND(K_Vieux_Fort_South!I34,"AAAAAH/av9o=")</f>
        <v>1</v>
      </c>
      <c r="HL36" s="1" t="b">
        <f>AND(K_Vieux_Fort_South!J34,"AAAAAH/av9s=")</f>
        <v>1</v>
      </c>
      <c r="HM36" s="1" t="b">
        <f>AND(K_Vieux_Fort_South!K34,"AAAAAH/av9w=")</f>
        <v>1</v>
      </c>
      <c r="HN36" s="1" t="b">
        <f>AND(K_Vieux_Fort_South!L34,"AAAAAH/av90=")</f>
        <v>1</v>
      </c>
      <c r="HO36" s="1">
        <f>IF(K_Vieux_Fort_South!35:35,"AAAAAH/av94=",0)</f>
        <v>0</v>
      </c>
      <c r="HP36" s="1" t="e">
        <f>AND(K_Vieux_Fort_South!A35,"AAAAAH/av98=")</f>
        <v>#VALUE!</v>
      </c>
      <c r="HQ36" s="1" t="b">
        <f>AND(K_Vieux_Fort_South!B35,"AAAAAH/av+A=")</f>
        <v>1</v>
      </c>
      <c r="HR36" s="1" t="b">
        <f>AND(K_Vieux_Fort_South!C35,"AAAAAH/av+E=")</f>
        <v>1</v>
      </c>
      <c r="HS36" s="1" t="b">
        <f>AND(K_Vieux_Fort_South!D35,"AAAAAH/av+I=")</f>
        <v>1</v>
      </c>
      <c r="HT36" s="1" t="b">
        <f>AND(K_Vieux_Fort_South!E35,"AAAAAH/av+M=")</f>
        <v>1</v>
      </c>
      <c r="HU36" s="1" t="b">
        <f>AND(K_Vieux_Fort_South!F35,"AAAAAH/av+Q=")</f>
        <v>1</v>
      </c>
      <c r="HV36" s="1" t="e">
        <f>AND(K_Vieux_Fort_South!#REF!,"AAAAAH/av+U=")</f>
        <v>#REF!</v>
      </c>
      <c r="HW36" s="1" t="e">
        <f>AND(K_Vieux_Fort_South!#REF!,"AAAAAH/av+Y=")</f>
        <v>#REF!</v>
      </c>
      <c r="HX36" s="1" t="b">
        <f>AND(K_Vieux_Fort_South!G35,"AAAAAH/av+c=")</f>
        <v>1</v>
      </c>
      <c r="HY36" s="1" t="b">
        <f>AND(K_Vieux_Fort_South!H35,"AAAAAH/av+g=")</f>
        <v>1</v>
      </c>
      <c r="HZ36" s="1" t="b">
        <f>AND(K_Vieux_Fort_South!I35,"AAAAAH/av+k=")</f>
        <v>1</v>
      </c>
      <c r="IA36" s="1" t="b">
        <f>AND(K_Vieux_Fort_South!J35,"AAAAAH/av+o=")</f>
        <v>1</v>
      </c>
      <c r="IB36" s="1" t="b">
        <f>AND(K_Vieux_Fort_South!K35,"AAAAAH/av+s=")</f>
        <v>1</v>
      </c>
      <c r="IC36" s="1" t="b">
        <f>AND(K_Vieux_Fort_South!L35,"AAAAAH/av+w=")</f>
        <v>1</v>
      </c>
      <c r="ID36" s="1">
        <f>IF(K_Vieux_Fort_South!36:36,"AAAAAH/av+0=",0)</f>
        <v>0</v>
      </c>
      <c r="IE36" s="1" t="e">
        <f>AND(K_Vieux_Fort_South!A36,"AAAAAH/av+4=")</f>
        <v>#VALUE!</v>
      </c>
      <c r="IF36" s="1" t="b">
        <f>AND(K_Vieux_Fort_South!B36,"AAAAAH/av+8=")</f>
        <v>1</v>
      </c>
      <c r="IG36" s="1" t="b">
        <f>AND(K_Vieux_Fort_South!C36,"AAAAAH/av/A=")</f>
        <v>1</v>
      </c>
      <c r="IH36" s="1" t="b">
        <f>AND(K_Vieux_Fort_South!D36,"AAAAAH/av/E=")</f>
        <v>1</v>
      </c>
      <c r="II36" s="1" t="b">
        <f>AND(K_Vieux_Fort_South!E36,"AAAAAH/av/I=")</f>
        <v>1</v>
      </c>
      <c r="IJ36" s="1" t="b">
        <f>AND(K_Vieux_Fort_South!F36,"AAAAAH/av/M=")</f>
        <v>1</v>
      </c>
      <c r="IK36" s="1" t="e">
        <f>AND(K_Vieux_Fort_South!#REF!,"AAAAAH/av/Q=")</f>
        <v>#REF!</v>
      </c>
      <c r="IL36" s="1" t="e">
        <f>AND(K_Vieux_Fort_South!#REF!,"AAAAAH/av/U=")</f>
        <v>#REF!</v>
      </c>
      <c r="IM36" s="1" t="b">
        <f>AND(K_Vieux_Fort_South!G36,"AAAAAH/av/Y=")</f>
        <v>1</v>
      </c>
      <c r="IN36" s="1" t="b">
        <f>AND(K_Vieux_Fort_South!H36,"AAAAAH/av/c=")</f>
        <v>1</v>
      </c>
      <c r="IO36" s="1" t="b">
        <f>AND(K_Vieux_Fort_South!I36,"AAAAAH/av/g=")</f>
        <v>1</v>
      </c>
      <c r="IP36" s="1" t="b">
        <f>AND(K_Vieux_Fort_South!J36,"AAAAAH/av/k=")</f>
        <v>1</v>
      </c>
      <c r="IQ36" s="1" t="b">
        <f>AND(K_Vieux_Fort_South!K36,"AAAAAH/av/o=")</f>
        <v>1</v>
      </c>
      <c r="IR36" s="1" t="b">
        <f>AND(K_Vieux_Fort_South!L36,"AAAAAH/av/s=")</f>
        <v>1</v>
      </c>
      <c r="IS36" s="1">
        <f>IF(K_Vieux_Fort_South!37:37,"AAAAAH/av/w=",0)</f>
        <v>0</v>
      </c>
      <c r="IT36" s="1" t="e">
        <f>AND(K_Vieux_Fort_South!A37,"AAAAAH/av/0=")</f>
        <v>#VALUE!</v>
      </c>
      <c r="IU36" s="1" t="b">
        <f>AND(K_Vieux_Fort_South!B37,"AAAAAH/av/4=")</f>
        <v>1</v>
      </c>
      <c r="IV36" s="1" t="b">
        <f>AND(K_Vieux_Fort_South!C37,"AAAAAH/av/8=")</f>
        <v>1</v>
      </c>
    </row>
    <row r="37" spans="1:256" ht="12" customHeight="1" x14ac:dyDescent="0.2">
      <c r="A37" s="1" t="b">
        <f>AND(K_Vieux_Fort_South!D37,"AAAAAH8+fwA=")</f>
        <v>1</v>
      </c>
      <c r="B37" s="1" t="b">
        <f>AND(K_Vieux_Fort_South!E37,"AAAAAH8+fwE=")</f>
        <v>1</v>
      </c>
      <c r="C37" s="1" t="b">
        <f>AND(K_Vieux_Fort_South!F37,"AAAAAH8+fwI=")</f>
        <v>1</v>
      </c>
      <c r="D37" s="1" t="e">
        <f>AND(K_Vieux_Fort_South!#REF!,"AAAAAH8+fwM=")</f>
        <v>#REF!</v>
      </c>
      <c r="E37" s="1" t="e">
        <f>AND(K_Vieux_Fort_South!#REF!,"AAAAAH8+fwQ=")</f>
        <v>#REF!</v>
      </c>
      <c r="F37" s="1" t="b">
        <f>AND(K_Vieux_Fort_South!G37,"AAAAAH8+fwU=")</f>
        <v>1</v>
      </c>
      <c r="G37" s="1" t="b">
        <f>AND(K_Vieux_Fort_South!H37,"AAAAAH8+fwY=")</f>
        <v>1</v>
      </c>
      <c r="H37" s="1" t="b">
        <f>AND(K_Vieux_Fort_South!I37,"AAAAAH8+fwc=")</f>
        <v>1</v>
      </c>
      <c r="I37" s="1" t="b">
        <f>AND(K_Vieux_Fort_South!J37,"AAAAAH8+fwg=")</f>
        <v>1</v>
      </c>
      <c r="J37" s="1" t="b">
        <f>AND(K_Vieux_Fort_South!K37,"AAAAAH8+fwk=")</f>
        <v>1</v>
      </c>
      <c r="K37" s="1" t="b">
        <f>AND(K_Vieux_Fort_South!L37,"AAAAAH8+fwo=")</f>
        <v>1</v>
      </c>
      <c r="L37" s="1" t="e">
        <f>IF(K_Vieux_Fort_South!#REF!,"AAAAAH8+fws=",0)</f>
        <v>#REF!</v>
      </c>
      <c r="M37" s="1" t="e">
        <f>AND(K_Vieux_Fort_South!#REF!,"AAAAAH8+fww=")</f>
        <v>#REF!</v>
      </c>
      <c r="N37" s="1" t="e">
        <f>AND(K_Vieux_Fort_South!#REF!,"AAAAAH8+fw0=")</f>
        <v>#REF!</v>
      </c>
      <c r="O37" s="1" t="e">
        <f>AND(K_Vieux_Fort_South!#REF!,"AAAAAH8+fw4=")</f>
        <v>#REF!</v>
      </c>
      <c r="P37" s="1" t="e">
        <f>AND(K_Vieux_Fort_South!#REF!,"AAAAAH8+fw8=")</f>
        <v>#REF!</v>
      </c>
      <c r="Q37" s="1" t="e">
        <f>AND(K_Vieux_Fort_South!#REF!,"AAAAAH8+fxA=")</f>
        <v>#REF!</v>
      </c>
      <c r="R37" s="1" t="e">
        <f>AND(K_Vieux_Fort_South!#REF!,"AAAAAH8+fxE=")</f>
        <v>#REF!</v>
      </c>
      <c r="S37" s="1" t="e">
        <f>AND(K_Vieux_Fort_South!#REF!,"AAAAAH8+fxI=")</f>
        <v>#REF!</v>
      </c>
      <c r="T37" s="1" t="e">
        <f>AND(K_Vieux_Fort_South!#REF!,"AAAAAH8+fxM=")</f>
        <v>#REF!</v>
      </c>
      <c r="U37" s="1" t="e">
        <f>AND(K_Vieux_Fort_South!#REF!,"AAAAAH8+fxQ=")</f>
        <v>#REF!</v>
      </c>
      <c r="V37" s="1" t="e">
        <f>AND(K_Vieux_Fort_South!#REF!,"AAAAAH8+fxU=")</f>
        <v>#REF!</v>
      </c>
      <c r="W37" s="1" t="e">
        <f>AND(K_Vieux_Fort_South!#REF!,"AAAAAH8+fxY=")</f>
        <v>#REF!</v>
      </c>
      <c r="X37" s="1" t="e">
        <f>AND(K_Vieux_Fort_South!#REF!,"AAAAAH8+fxc=")</f>
        <v>#REF!</v>
      </c>
      <c r="Y37" s="1" t="e">
        <f>AND(K_Vieux_Fort_South!#REF!,"AAAAAH8+fxg=")</f>
        <v>#REF!</v>
      </c>
      <c r="Z37" s="1" t="e">
        <f>AND(K_Vieux_Fort_South!#REF!,"AAAAAH8+fxk=")</f>
        <v>#REF!</v>
      </c>
      <c r="AA37" s="1">
        <f>IF(K_Vieux_Fort_South!38:38,"AAAAAH8+fxo=",0)</f>
        <v>0</v>
      </c>
      <c r="AB37" s="1" t="e">
        <f>AND(K_Vieux_Fort_South!A38,"AAAAAH8+fxs=")</f>
        <v>#VALUE!</v>
      </c>
      <c r="AC37" s="1" t="b">
        <f>AND(K_Vieux_Fort_South!B38,"AAAAAH8+fxw=")</f>
        <v>1</v>
      </c>
      <c r="AD37" s="1" t="b">
        <f>AND(K_Vieux_Fort_South!C38,"AAAAAH8+fx0=")</f>
        <v>1</v>
      </c>
      <c r="AE37" s="1" t="b">
        <f>AND(K_Vieux_Fort_South!D38,"AAAAAH8+fx4=")</f>
        <v>1</v>
      </c>
      <c r="AF37" s="1" t="b">
        <f>AND(K_Vieux_Fort_South!E38,"AAAAAH8+fx8=")</f>
        <v>1</v>
      </c>
      <c r="AG37" s="1" t="b">
        <f>AND(K_Vieux_Fort_South!F38,"AAAAAH8+fyA=")</f>
        <v>1</v>
      </c>
      <c r="AH37" s="1" t="e">
        <f>AND(K_Vieux_Fort_South!#REF!,"AAAAAH8+fyE=")</f>
        <v>#REF!</v>
      </c>
      <c r="AI37" s="1" t="e">
        <f>AND(K_Vieux_Fort_South!#REF!,"AAAAAH8+fyI=")</f>
        <v>#REF!</v>
      </c>
      <c r="AJ37" s="1" t="b">
        <f>AND(K_Vieux_Fort_South!G38,"AAAAAH8+fyM=")</f>
        <v>1</v>
      </c>
      <c r="AK37" s="1" t="b">
        <f>AND(K_Vieux_Fort_South!H38,"AAAAAH8+fyQ=")</f>
        <v>1</v>
      </c>
      <c r="AL37" s="1" t="b">
        <f>AND(K_Vieux_Fort_South!I38,"AAAAAH8+fyU=")</f>
        <v>1</v>
      </c>
      <c r="AM37" s="1" t="b">
        <f>AND(K_Vieux_Fort_South!J38,"AAAAAH8+fyY=")</f>
        <v>1</v>
      </c>
      <c r="AN37" s="1" t="b">
        <f>AND(K_Vieux_Fort_South!K38,"AAAAAH8+fyc=")</f>
        <v>1</v>
      </c>
      <c r="AO37" s="1" t="b">
        <f>AND(K_Vieux_Fort_South!L38,"AAAAAH8+fyg=")</f>
        <v>1</v>
      </c>
      <c r="AP37" s="1" t="e">
        <f>IF(K_Vieux_Fort_South!A:A,"AAAAAH8+fyk=",0)</f>
        <v>#VALUE!</v>
      </c>
      <c r="AQ37" s="1" t="str">
        <f>IF(K_Vieux_Fort_South!B:B,"AAAAAH8+fyo=",0)</f>
        <v>AAAAAH8+fyo=</v>
      </c>
      <c r="AR37" s="1" t="str">
        <f>IF(K_Vieux_Fort_South!C:C,"AAAAAH8+fys=",0)</f>
        <v>AAAAAH8+fys=</v>
      </c>
      <c r="AS37" s="1" t="str">
        <f>IF(K_Vieux_Fort_South!D:D,"AAAAAH8+fyw=",0)</f>
        <v>AAAAAH8+fyw=</v>
      </c>
      <c r="AT37" s="1" t="str">
        <f>IF(K_Vieux_Fort_South!E:E,"AAAAAH8+fy0=",0)</f>
        <v>AAAAAH8+fy0=</v>
      </c>
      <c r="AU37" s="1" t="str">
        <f>IF(K_Vieux_Fort_South!F:F,"AAAAAH8+fy4=",0)</f>
        <v>AAAAAH8+fy4=</v>
      </c>
      <c r="AV37" s="1" t="e">
        <f>IF(K_Vieux_Fort_South!#REF!,"AAAAAH8+fy8=",0)</f>
        <v>#REF!</v>
      </c>
      <c r="AW37" s="1" t="e">
        <f>IF(K_Vieux_Fort_South!#REF!,"AAAAAH8+fzA=",0)</f>
        <v>#REF!</v>
      </c>
      <c r="AX37" s="1" t="str">
        <f>IF(K_Vieux_Fort_South!G:G,"AAAAAH8+fzE=",0)</f>
        <v>AAAAAH8+fzE=</v>
      </c>
      <c r="AY37" s="1" t="str">
        <f>IF(K_Vieux_Fort_South!H:H,"AAAAAH8+fzI=",0)</f>
        <v>AAAAAH8+fzI=</v>
      </c>
      <c r="AZ37" s="1" t="str">
        <f>IF(K_Vieux_Fort_South!I:I,"AAAAAH8+fzM=",0)</f>
        <v>AAAAAH8+fzM=</v>
      </c>
      <c r="BA37" s="1" t="str">
        <f>IF(K_Vieux_Fort_South!J:J,"AAAAAH8+fzQ=",0)</f>
        <v>AAAAAH8+fzQ=</v>
      </c>
      <c r="BB37" s="1" t="str">
        <f>IF(K_Vieux_Fort_South!K:K,"AAAAAH8+fzU=",0)</f>
        <v>AAAAAH8+fzU=</v>
      </c>
      <c r="BC37" s="1" t="str">
        <f>IF(K_Vieux_Fort_South!L:L,"AAAAAH8+fzY=",0)</f>
        <v>AAAAAH8+fzY=</v>
      </c>
      <c r="BD37" s="1">
        <f>IF(L_Vieux_Fort_North!2:2,"AAAAAH8+fzc=",0)</f>
        <v>0</v>
      </c>
      <c r="BE37" s="1" t="e">
        <f>AND(L_Vieux_Fort_North!A2,"AAAAAH8+fzg=")</f>
        <v>#VALUE!</v>
      </c>
      <c r="BF37" s="1" t="e">
        <f>AND(L_Vieux_Fort_North!B2,"AAAAAH8+fzk=")</f>
        <v>#VALUE!</v>
      </c>
      <c r="BG37" s="1" t="e">
        <f>AND(L_Vieux_Fort_North!C2,"AAAAAH8+fzo=")</f>
        <v>#VALUE!</v>
      </c>
      <c r="BH37" s="1" t="e">
        <f>AND(L_Vieux_Fort_North!D2,"AAAAAH8+fzs=")</f>
        <v>#VALUE!</v>
      </c>
      <c r="BI37" s="1" t="e">
        <f>AND(L_Vieux_Fort_North!E2,"AAAAAH8+fzw=")</f>
        <v>#VALUE!</v>
      </c>
      <c r="BJ37" s="1" t="e">
        <f>AND(L_Vieux_Fort_North!F2,"AAAAAH8+fz0=")</f>
        <v>#VALUE!</v>
      </c>
      <c r="BK37" s="1" t="e">
        <f>AND(L_Vieux_Fort_North!G2,"AAAAAH8+fz4=")</f>
        <v>#VALUE!</v>
      </c>
      <c r="BL37" s="1" t="e">
        <f>AND(L_Vieux_Fort_North!H2,"AAAAAH8+fz8=")</f>
        <v>#VALUE!</v>
      </c>
      <c r="BM37" s="1" t="e">
        <f>AND(L_Vieux_Fort_North!I2,"AAAAAH8+f0A=")</f>
        <v>#VALUE!</v>
      </c>
      <c r="BN37" s="1" t="e">
        <f>AND(L_Vieux_Fort_North!J2,"AAAAAH8+f0E=")</f>
        <v>#VALUE!</v>
      </c>
      <c r="BO37" s="1" t="e">
        <f>AND(L_Vieux_Fort_North!K2,"AAAAAH8+f0I=")</f>
        <v>#VALUE!</v>
      </c>
      <c r="BP37" s="1" t="e">
        <f>AND(L_Vieux_Fort_North!L2,"AAAAAH8+f0M=")</f>
        <v>#VALUE!</v>
      </c>
      <c r="BQ37" s="1">
        <f>IF(L_Vieux_Fort_North!3:3,"AAAAAH8+f0Q=",0)</f>
        <v>0</v>
      </c>
      <c r="BR37" s="1" t="e">
        <f>AND(L_Vieux_Fort_North!#REF!,"AAAAAH8+f0U=")</f>
        <v>#REF!</v>
      </c>
      <c r="BS37" s="1" t="e">
        <f>AND(L_Vieux_Fort_North!A3,"AAAAAH8+f0Y=")</f>
        <v>#VALUE!</v>
      </c>
      <c r="BT37" s="1" t="e">
        <f>AND(L_Vieux_Fort_North!C3,"AAAAAH8+f0c=")</f>
        <v>#VALUE!</v>
      </c>
      <c r="BU37" s="1" t="e">
        <f>AND(L_Vieux_Fort_North!D3,"AAAAAH8+f0g=")</f>
        <v>#VALUE!</v>
      </c>
      <c r="BV37" s="1" t="e">
        <f>AND(L_Vieux_Fort_North!E3,"AAAAAH8+f0k=")</f>
        <v>#VALUE!</v>
      </c>
      <c r="BW37" s="1" t="e">
        <f>AND(L_Vieux_Fort_North!F3,"AAAAAH8+f0o=")</f>
        <v>#VALUE!</v>
      </c>
      <c r="BX37" s="1" t="e">
        <f>AND(L_Vieux_Fort_North!G3,"AAAAAH8+f0s=")</f>
        <v>#VALUE!</v>
      </c>
      <c r="BY37" s="1" t="e">
        <f>AND(L_Vieux_Fort_North!H3,"AAAAAH8+f0w=")</f>
        <v>#VALUE!</v>
      </c>
      <c r="BZ37" s="1" t="e">
        <f>AND(L_Vieux_Fort_North!I3,"AAAAAH8+f00=")</f>
        <v>#VALUE!</v>
      </c>
      <c r="CA37" s="1" t="e">
        <f>AND(L_Vieux_Fort_North!J3,"AAAAAH8+f04=")</f>
        <v>#VALUE!</v>
      </c>
      <c r="CB37" s="1" t="e">
        <f>AND(L_Vieux_Fort_North!K3,"AAAAAH8+f08=")</f>
        <v>#VALUE!</v>
      </c>
      <c r="CC37" s="1" t="e">
        <f>AND(L_Vieux_Fort_North!L3,"AAAAAH8+f1A=")</f>
        <v>#VALUE!</v>
      </c>
      <c r="CD37" s="1">
        <f>IF(L_Vieux_Fort_North!4:4,"AAAAAH8+f1E=",0)</f>
        <v>0</v>
      </c>
      <c r="CE37" s="1" t="e">
        <f>AND(L_Vieux_Fort_North!A4,"AAAAAH8+f1I=")</f>
        <v>#VALUE!</v>
      </c>
      <c r="CF37" s="1" t="b">
        <f>AND(L_Vieux_Fort_North!B4,"AAAAAH8+f1M=")</f>
        <v>1</v>
      </c>
      <c r="CG37" s="1" t="b">
        <f>AND(L_Vieux_Fort_North!C4,"AAAAAH8+f1Q=")</f>
        <v>1</v>
      </c>
      <c r="CH37" s="1" t="b">
        <f>AND(L_Vieux_Fort_North!D4,"AAAAAH8+f1U=")</f>
        <v>1</v>
      </c>
      <c r="CI37" s="1" t="b">
        <f>AND(L_Vieux_Fort_North!E4,"AAAAAH8+f1Y=")</f>
        <v>1</v>
      </c>
      <c r="CJ37" s="1" t="b">
        <f>AND(L_Vieux_Fort_North!F4,"AAAAAH8+f1c=")</f>
        <v>1</v>
      </c>
      <c r="CK37" s="1" t="b">
        <f>AND(L_Vieux_Fort_North!G4,"AAAAAH8+f1g=")</f>
        <v>1</v>
      </c>
      <c r="CL37" s="1" t="b">
        <f>AND(L_Vieux_Fort_North!H4,"AAAAAH8+f1k=")</f>
        <v>1</v>
      </c>
      <c r="CM37" s="1" t="b">
        <f>AND(L_Vieux_Fort_North!I4,"AAAAAH8+f1o=")</f>
        <v>1</v>
      </c>
      <c r="CN37" s="1" t="b">
        <f>AND(L_Vieux_Fort_North!J4,"AAAAAH8+f1s=")</f>
        <v>1</v>
      </c>
      <c r="CO37" s="1" t="b">
        <f>AND(L_Vieux_Fort_North!K4,"AAAAAH8+f1w=")</f>
        <v>1</v>
      </c>
      <c r="CP37" s="1" t="b">
        <f>AND(L_Vieux_Fort_North!L4,"AAAAAH8+f10=")</f>
        <v>1</v>
      </c>
      <c r="CQ37" s="1">
        <f>IF(L_Vieux_Fort_North!5:5,"AAAAAH8+f14=",0)</f>
        <v>0</v>
      </c>
      <c r="CR37" s="1" t="e">
        <f>AND(L_Vieux_Fort_North!A5,"AAAAAH8+f18=")</f>
        <v>#VALUE!</v>
      </c>
      <c r="CS37" s="1" t="e">
        <f>AND(L_Vieux_Fort_North!B5,"AAAAAH8+f2A=")</f>
        <v>#VALUE!</v>
      </c>
      <c r="CT37" s="1" t="e">
        <f>AND(L_Vieux_Fort_North!C5,"AAAAAH8+f2E=")</f>
        <v>#VALUE!</v>
      </c>
      <c r="CU37" s="1" t="e">
        <f>AND(L_Vieux_Fort_North!D5,"AAAAAH8+f2I=")</f>
        <v>#VALUE!</v>
      </c>
      <c r="CV37" s="1" t="e">
        <f>AND(L_Vieux_Fort_North!E5,"AAAAAH8+f2M=")</f>
        <v>#VALUE!</v>
      </c>
      <c r="CW37" s="1" t="e">
        <f>AND(L_Vieux_Fort_North!F5,"AAAAAH8+f2Q=")</f>
        <v>#VALUE!</v>
      </c>
      <c r="CX37" s="1" t="e">
        <f>AND(L_Vieux_Fort_North!G5,"AAAAAH8+f2U=")</f>
        <v>#VALUE!</v>
      </c>
      <c r="CY37" s="1" t="e">
        <f>AND(L_Vieux_Fort_North!H5,"AAAAAH8+f2Y=")</f>
        <v>#VALUE!</v>
      </c>
      <c r="CZ37" s="1" t="e">
        <f>AND(L_Vieux_Fort_North!I5,"AAAAAH8+f2c=")</f>
        <v>#VALUE!</v>
      </c>
      <c r="DA37" s="1" t="e">
        <f>AND(L_Vieux_Fort_North!J5,"AAAAAH8+f2g=")</f>
        <v>#VALUE!</v>
      </c>
      <c r="DB37" s="1" t="e">
        <f>AND(L_Vieux_Fort_North!K5,"AAAAAH8+f2k=")</f>
        <v>#VALUE!</v>
      </c>
      <c r="DC37" s="1" t="e">
        <f>AND(L_Vieux_Fort_North!L5,"AAAAAH8+f2o=")</f>
        <v>#VALUE!</v>
      </c>
      <c r="DD37" s="1">
        <f>IF(L_Vieux_Fort_North!6:6,"AAAAAH8+f2s=",0)</f>
        <v>0</v>
      </c>
      <c r="DE37" s="1" t="e">
        <f>AND(L_Vieux_Fort_North!A6,"AAAAAH8+f2w=")</f>
        <v>#VALUE!</v>
      </c>
      <c r="DF37" s="1" t="b">
        <f>AND(L_Vieux_Fort_North!B6,"AAAAAH8+f20=")</f>
        <v>1</v>
      </c>
      <c r="DG37" s="1" t="b">
        <f>AND(L_Vieux_Fort_North!C6,"AAAAAH8+f24=")</f>
        <v>1</v>
      </c>
      <c r="DH37" s="1" t="b">
        <f>AND(L_Vieux_Fort_North!D6,"AAAAAH8+f28=")</f>
        <v>1</v>
      </c>
      <c r="DI37" s="1" t="b">
        <f>AND(L_Vieux_Fort_North!E6,"AAAAAH8+f3A=")</f>
        <v>1</v>
      </c>
      <c r="DJ37" s="1" t="b">
        <f>AND(L_Vieux_Fort_North!F6,"AAAAAH8+f3E=")</f>
        <v>1</v>
      </c>
      <c r="DK37" s="1" t="b">
        <f>AND(L_Vieux_Fort_North!G6,"AAAAAH8+f3I=")</f>
        <v>1</v>
      </c>
      <c r="DL37" s="1" t="b">
        <f>AND(L_Vieux_Fort_North!H6,"AAAAAH8+f3M=")</f>
        <v>1</v>
      </c>
      <c r="DM37" s="1" t="b">
        <f>AND(L_Vieux_Fort_North!I6,"AAAAAH8+f3Q=")</f>
        <v>1</v>
      </c>
      <c r="DN37" s="1" t="b">
        <f>AND(L_Vieux_Fort_North!J6,"AAAAAH8+f3U=")</f>
        <v>1</v>
      </c>
      <c r="DO37" s="1" t="b">
        <f>AND(L_Vieux_Fort_North!K6,"AAAAAH8+f3Y=")</f>
        <v>1</v>
      </c>
      <c r="DP37" s="1" t="b">
        <f>AND(L_Vieux_Fort_North!L6,"AAAAAH8+f3c=")</f>
        <v>1</v>
      </c>
      <c r="DQ37" s="1">
        <f>IF(L_Vieux_Fort_North!8:8,"AAAAAH8+f3g=",0)</f>
        <v>0</v>
      </c>
      <c r="DR37" s="1" t="e">
        <f>AND(L_Vieux_Fort_North!A8,"AAAAAH8+f3k=")</f>
        <v>#VALUE!</v>
      </c>
      <c r="DS37" s="1" t="e">
        <f>AND(L_Vieux_Fort_North!B8,"AAAAAH8+f3o=")</f>
        <v>#VALUE!</v>
      </c>
      <c r="DT37" s="1" t="e">
        <f>AND(L_Vieux_Fort_North!C8,"AAAAAH8+f3s=")</f>
        <v>#VALUE!</v>
      </c>
      <c r="DU37" s="1" t="e">
        <f>AND(L_Vieux_Fort_North!D8,"AAAAAH8+f3w=")</f>
        <v>#VALUE!</v>
      </c>
      <c r="DV37" s="1" t="e">
        <f>AND(L_Vieux_Fort_North!E8,"AAAAAH8+f30=")</f>
        <v>#VALUE!</v>
      </c>
      <c r="DW37" s="1" t="e">
        <f>AND(L_Vieux_Fort_North!F8,"AAAAAH8+f34=")</f>
        <v>#VALUE!</v>
      </c>
      <c r="DX37" s="1" t="e">
        <f>AND(L_Vieux_Fort_North!G8,"AAAAAH8+f38=")</f>
        <v>#VALUE!</v>
      </c>
      <c r="DY37" s="1" t="e">
        <f>AND(L_Vieux_Fort_North!H8,"AAAAAH8+f4A=")</f>
        <v>#VALUE!</v>
      </c>
      <c r="DZ37" s="1" t="e">
        <f>AND(L_Vieux_Fort_North!I8,"AAAAAH8+f4E=")</f>
        <v>#VALUE!</v>
      </c>
      <c r="EA37" s="1" t="e">
        <f>AND(L_Vieux_Fort_North!J8,"AAAAAH8+f4I=")</f>
        <v>#VALUE!</v>
      </c>
      <c r="EB37" s="1" t="e">
        <f>AND(L_Vieux_Fort_North!K8,"AAAAAH8+f4M=")</f>
        <v>#VALUE!</v>
      </c>
      <c r="EC37" s="1" t="e">
        <f>AND(L_Vieux_Fort_North!L8,"AAAAAH8+f4Q=")</f>
        <v>#VALUE!</v>
      </c>
      <c r="ED37" s="1">
        <f>IF(L_Vieux_Fort_North!9:9,"AAAAAH8+f4U=",0)</f>
        <v>0</v>
      </c>
      <c r="EE37" s="1" t="e">
        <f>AND(L_Vieux_Fort_North!A9,"AAAAAH8+f4Y=")</f>
        <v>#VALUE!</v>
      </c>
      <c r="EF37" s="1" t="b">
        <f>AND(L_Vieux_Fort_North!B9,"AAAAAH8+f4c=")</f>
        <v>1</v>
      </c>
      <c r="EG37" s="1" t="b">
        <f>AND(L_Vieux_Fort_North!C9,"AAAAAH8+f4g=")</f>
        <v>1</v>
      </c>
      <c r="EH37" s="1" t="b">
        <f>AND(L_Vieux_Fort_North!D9,"AAAAAH8+f4k=")</f>
        <v>1</v>
      </c>
      <c r="EI37" s="1" t="b">
        <f>AND(L_Vieux_Fort_North!E9,"AAAAAH8+f4o=")</f>
        <v>1</v>
      </c>
      <c r="EJ37" s="1" t="b">
        <f>AND(L_Vieux_Fort_North!F9,"AAAAAH8+f4s=")</f>
        <v>1</v>
      </c>
      <c r="EK37" s="1" t="b">
        <f>AND(L_Vieux_Fort_North!G9,"AAAAAH8+f4w=")</f>
        <v>0</v>
      </c>
      <c r="EL37" s="1" t="b">
        <f>AND(L_Vieux_Fort_North!H9,"AAAAAH8+f40=")</f>
        <v>0</v>
      </c>
      <c r="EM37" s="1" t="b">
        <f>AND(L_Vieux_Fort_North!I9,"AAAAAH8+f44=")</f>
        <v>1</v>
      </c>
      <c r="EN37" s="1" t="b">
        <f>AND(L_Vieux_Fort_North!J9,"AAAAAH8+f48=")</f>
        <v>1</v>
      </c>
      <c r="EO37" s="1" t="b">
        <f>AND(L_Vieux_Fort_North!K9,"AAAAAH8+f5A=")</f>
        <v>1</v>
      </c>
      <c r="EP37" s="1" t="b">
        <f>AND(L_Vieux_Fort_North!L9,"AAAAAH8+f5E=")</f>
        <v>1</v>
      </c>
      <c r="EQ37" s="1">
        <f>IF(L_Vieux_Fort_North!10:10,"AAAAAH8+f5I=",0)</f>
        <v>0</v>
      </c>
      <c r="ER37" s="1" t="e">
        <f>AND(L_Vieux_Fort_North!A10,"AAAAAH8+f5M=")</f>
        <v>#VALUE!</v>
      </c>
      <c r="ES37" s="1" t="b">
        <f>AND(L_Vieux_Fort_North!B10,"AAAAAH8+f5Q=")</f>
        <v>1</v>
      </c>
      <c r="ET37" s="1" t="b">
        <f>AND(L_Vieux_Fort_North!C10,"AAAAAH8+f5U=")</f>
        <v>1</v>
      </c>
      <c r="EU37" s="1" t="b">
        <f>AND(L_Vieux_Fort_North!D10,"AAAAAH8+f5Y=")</f>
        <v>1</v>
      </c>
      <c r="EV37" s="1" t="b">
        <f>AND(L_Vieux_Fort_North!E10,"AAAAAH8+f5c=")</f>
        <v>1</v>
      </c>
      <c r="EW37" s="1" t="b">
        <f>AND(L_Vieux_Fort_North!F10,"AAAAAH8+f5g=")</f>
        <v>1</v>
      </c>
      <c r="EX37" s="1" t="b">
        <f>AND(L_Vieux_Fort_North!G10,"AAAAAH8+f5k=")</f>
        <v>1</v>
      </c>
      <c r="EY37" s="1" t="b">
        <f>AND(L_Vieux_Fort_North!H10,"AAAAAH8+f5o=")</f>
        <v>1</v>
      </c>
      <c r="EZ37" s="1" t="b">
        <f>AND(L_Vieux_Fort_North!I10,"AAAAAH8+f5s=")</f>
        <v>1</v>
      </c>
      <c r="FA37" s="1" t="b">
        <f>AND(L_Vieux_Fort_North!J10,"AAAAAH8+f5w=")</f>
        <v>1</v>
      </c>
      <c r="FB37" s="1" t="b">
        <f>AND(L_Vieux_Fort_North!K10,"AAAAAH8+f50=")</f>
        <v>1</v>
      </c>
      <c r="FC37" s="1" t="b">
        <f>AND(L_Vieux_Fort_North!L10,"AAAAAH8+f54=")</f>
        <v>1</v>
      </c>
      <c r="FD37" s="1">
        <f>IF(L_Vieux_Fort_North!11:11,"AAAAAH8+f58=",0)</f>
        <v>0</v>
      </c>
      <c r="FE37" s="1" t="e">
        <f>AND(L_Vieux_Fort_North!A11,"AAAAAH8+f6A=")</f>
        <v>#VALUE!</v>
      </c>
      <c r="FF37" s="1" t="b">
        <f>AND(L_Vieux_Fort_North!B11,"AAAAAH8+f6E=")</f>
        <v>1</v>
      </c>
      <c r="FG37" s="1" t="b">
        <f>AND(L_Vieux_Fort_North!C11,"AAAAAH8+f6I=")</f>
        <v>1</v>
      </c>
      <c r="FH37" s="1" t="b">
        <f>AND(L_Vieux_Fort_North!D11,"AAAAAH8+f6M=")</f>
        <v>1</v>
      </c>
      <c r="FI37" s="1" t="b">
        <f>AND(L_Vieux_Fort_North!E11,"AAAAAH8+f6Q=")</f>
        <v>1</v>
      </c>
      <c r="FJ37" s="1" t="b">
        <f>AND(L_Vieux_Fort_North!F11,"AAAAAH8+f6U=")</f>
        <v>1</v>
      </c>
      <c r="FK37" s="1" t="b">
        <f>AND(L_Vieux_Fort_North!G11,"AAAAAH8+f6Y=")</f>
        <v>1</v>
      </c>
      <c r="FL37" s="1" t="b">
        <f>AND(L_Vieux_Fort_North!H11,"AAAAAH8+f6c=")</f>
        <v>1</v>
      </c>
      <c r="FM37" s="1" t="b">
        <f>AND(L_Vieux_Fort_North!I11,"AAAAAH8+f6g=")</f>
        <v>1</v>
      </c>
      <c r="FN37" s="1" t="b">
        <f>AND(L_Vieux_Fort_North!J11,"AAAAAH8+f6k=")</f>
        <v>1</v>
      </c>
      <c r="FO37" s="1" t="b">
        <f>AND(L_Vieux_Fort_North!K11,"AAAAAH8+f6o=")</f>
        <v>1</v>
      </c>
      <c r="FP37" s="1" t="b">
        <f>AND(L_Vieux_Fort_North!L11,"AAAAAH8+f6s=")</f>
        <v>1</v>
      </c>
      <c r="FQ37" s="1">
        <f>IF(L_Vieux_Fort_North!12:12,"AAAAAH8+f6w=",0)</f>
        <v>0</v>
      </c>
      <c r="FR37" s="1" t="e">
        <f>AND(L_Vieux_Fort_North!A12,"AAAAAH8+f60=")</f>
        <v>#VALUE!</v>
      </c>
      <c r="FS37" s="1" t="b">
        <f>AND(L_Vieux_Fort_North!B12,"AAAAAH8+f64=")</f>
        <v>1</v>
      </c>
      <c r="FT37" s="1" t="b">
        <f>AND(L_Vieux_Fort_North!C12,"AAAAAH8+f68=")</f>
        <v>1</v>
      </c>
      <c r="FU37" s="1" t="b">
        <f>AND(L_Vieux_Fort_North!D12,"AAAAAH8+f7A=")</f>
        <v>1</v>
      </c>
      <c r="FV37" s="1" t="b">
        <f>AND(L_Vieux_Fort_North!E12,"AAAAAH8+f7E=")</f>
        <v>1</v>
      </c>
      <c r="FW37" s="1" t="b">
        <f>AND(L_Vieux_Fort_North!F12,"AAAAAH8+f7I=")</f>
        <v>1</v>
      </c>
      <c r="FX37" s="1" t="b">
        <f>AND(L_Vieux_Fort_North!G12,"AAAAAH8+f7M=")</f>
        <v>1</v>
      </c>
      <c r="FY37" s="1" t="b">
        <f>AND(L_Vieux_Fort_North!H12,"AAAAAH8+f7Q=")</f>
        <v>1</v>
      </c>
      <c r="FZ37" s="1" t="b">
        <f>AND(L_Vieux_Fort_North!I12,"AAAAAH8+f7U=")</f>
        <v>1</v>
      </c>
      <c r="GA37" s="1" t="b">
        <f>AND(L_Vieux_Fort_North!J12,"AAAAAH8+f7Y=")</f>
        <v>1</v>
      </c>
      <c r="GB37" s="1" t="b">
        <f>AND(L_Vieux_Fort_North!K12,"AAAAAH8+f7c=")</f>
        <v>1</v>
      </c>
      <c r="GC37" s="1" t="b">
        <f>AND(L_Vieux_Fort_North!L12,"AAAAAH8+f7g=")</f>
        <v>1</v>
      </c>
      <c r="GD37" s="1">
        <f>IF(L_Vieux_Fort_North!13:13,"AAAAAH8+f7k=",0)</f>
        <v>0</v>
      </c>
      <c r="GE37" s="1" t="e">
        <f>AND(L_Vieux_Fort_North!A13,"AAAAAH8+f7o=")</f>
        <v>#VALUE!</v>
      </c>
      <c r="GF37" s="1" t="b">
        <f>AND(L_Vieux_Fort_North!B13,"AAAAAH8+f7s=")</f>
        <v>1</v>
      </c>
      <c r="GG37" s="1" t="b">
        <f>AND(L_Vieux_Fort_North!C13,"AAAAAH8+f7w=")</f>
        <v>1</v>
      </c>
      <c r="GH37" s="1" t="b">
        <f>AND(L_Vieux_Fort_North!D13,"AAAAAH8+f70=")</f>
        <v>1</v>
      </c>
      <c r="GI37" s="1" t="b">
        <f>AND(L_Vieux_Fort_North!E13,"AAAAAH8+f74=")</f>
        <v>1</v>
      </c>
      <c r="GJ37" s="1" t="b">
        <f>AND(L_Vieux_Fort_North!F13,"AAAAAH8+f78=")</f>
        <v>1</v>
      </c>
      <c r="GK37" s="1" t="b">
        <f>AND(L_Vieux_Fort_North!G13,"AAAAAH8+f8A=")</f>
        <v>1</v>
      </c>
      <c r="GL37" s="1" t="b">
        <f>AND(L_Vieux_Fort_North!H13,"AAAAAH8+f8E=")</f>
        <v>1</v>
      </c>
      <c r="GM37" s="1" t="b">
        <f>AND(L_Vieux_Fort_North!I13,"AAAAAH8+f8I=")</f>
        <v>1</v>
      </c>
      <c r="GN37" s="1" t="b">
        <f>AND(L_Vieux_Fort_North!J13,"AAAAAH8+f8M=")</f>
        <v>1</v>
      </c>
      <c r="GO37" s="1" t="b">
        <f>AND(L_Vieux_Fort_North!K13,"AAAAAH8+f8Q=")</f>
        <v>1</v>
      </c>
      <c r="GP37" s="1" t="b">
        <f>AND(L_Vieux_Fort_North!L13,"AAAAAH8+f8U=")</f>
        <v>1</v>
      </c>
      <c r="GQ37" s="1">
        <f>IF(L_Vieux_Fort_North!14:14,"AAAAAH8+f8Y=",0)</f>
        <v>0</v>
      </c>
      <c r="GR37" s="1" t="e">
        <f>AND(L_Vieux_Fort_North!A14,"AAAAAH8+f8c=")</f>
        <v>#VALUE!</v>
      </c>
      <c r="GS37" s="1" t="b">
        <f>AND(L_Vieux_Fort_North!B14,"AAAAAH8+f8g=")</f>
        <v>1</v>
      </c>
      <c r="GT37" s="1" t="b">
        <f>AND(L_Vieux_Fort_North!C14,"AAAAAH8+f8k=")</f>
        <v>1</v>
      </c>
      <c r="GU37" s="1" t="b">
        <f>AND(L_Vieux_Fort_North!D14,"AAAAAH8+f8o=")</f>
        <v>1</v>
      </c>
      <c r="GV37" s="1" t="b">
        <f>AND(L_Vieux_Fort_North!E14,"AAAAAH8+f8s=")</f>
        <v>1</v>
      </c>
      <c r="GW37" s="1" t="b">
        <f>AND(L_Vieux_Fort_North!F14,"AAAAAH8+f8w=")</f>
        <v>1</v>
      </c>
      <c r="GX37" s="1" t="b">
        <f>AND(L_Vieux_Fort_North!G14,"AAAAAH8+f80=")</f>
        <v>1</v>
      </c>
      <c r="GY37" s="1" t="b">
        <f>AND(L_Vieux_Fort_North!H14,"AAAAAH8+f84=")</f>
        <v>1</v>
      </c>
      <c r="GZ37" s="1" t="b">
        <f>AND(L_Vieux_Fort_North!I14,"AAAAAH8+f88=")</f>
        <v>1</v>
      </c>
      <c r="HA37" s="1" t="b">
        <f>AND(L_Vieux_Fort_North!J14,"AAAAAH8+f9A=")</f>
        <v>1</v>
      </c>
      <c r="HB37" s="1" t="b">
        <f>AND(L_Vieux_Fort_North!K14,"AAAAAH8+f9E=")</f>
        <v>1</v>
      </c>
      <c r="HC37" s="1" t="b">
        <f>AND(L_Vieux_Fort_North!L14,"AAAAAH8+f9I=")</f>
        <v>1</v>
      </c>
      <c r="HD37" s="1">
        <f>IF(L_Vieux_Fort_North!15:15,"AAAAAH8+f9M=",0)</f>
        <v>0</v>
      </c>
      <c r="HE37" s="1" t="e">
        <f>AND(L_Vieux_Fort_North!A15,"AAAAAH8+f9Q=")</f>
        <v>#VALUE!</v>
      </c>
      <c r="HF37" s="1" t="b">
        <f>AND(L_Vieux_Fort_North!B15,"AAAAAH8+f9U=")</f>
        <v>1</v>
      </c>
      <c r="HG37" s="1" t="b">
        <f>AND(L_Vieux_Fort_North!C15,"AAAAAH8+f9Y=")</f>
        <v>1</v>
      </c>
      <c r="HH37" s="1" t="b">
        <f>AND(L_Vieux_Fort_North!D15,"AAAAAH8+f9c=")</f>
        <v>1</v>
      </c>
      <c r="HI37" s="1" t="b">
        <f>AND(L_Vieux_Fort_North!E15,"AAAAAH8+f9g=")</f>
        <v>1</v>
      </c>
      <c r="HJ37" s="1" t="b">
        <f>AND(L_Vieux_Fort_North!F15,"AAAAAH8+f9k=")</f>
        <v>1</v>
      </c>
      <c r="HK37" s="1" t="b">
        <f>AND(L_Vieux_Fort_North!G15,"AAAAAH8+f9o=")</f>
        <v>1</v>
      </c>
      <c r="HL37" s="1" t="b">
        <f>AND(L_Vieux_Fort_North!H15,"AAAAAH8+f9s=")</f>
        <v>1</v>
      </c>
      <c r="HM37" s="1" t="b">
        <f>AND(L_Vieux_Fort_North!I15,"AAAAAH8+f9w=")</f>
        <v>1</v>
      </c>
      <c r="HN37" s="1" t="b">
        <f>AND(L_Vieux_Fort_North!J15,"AAAAAH8+f90=")</f>
        <v>1</v>
      </c>
      <c r="HO37" s="1" t="b">
        <f>AND(L_Vieux_Fort_North!K15,"AAAAAH8+f94=")</f>
        <v>1</v>
      </c>
      <c r="HP37" s="1" t="b">
        <f>AND(L_Vieux_Fort_North!L15,"AAAAAH8+f98=")</f>
        <v>1</v>
      </c>
      <c r="HQ37" s="1">
        <f>IF(L_Vieux_Fort_North!16:16,"AAAAAH8+f+A=",0)</f>
        <v>0</v>
      </c>
      <c r="HR37" s="1" t="e">
        <f>AND(L_Vieux_Fort_North!A16,"AAAAAH8+f+E=")</f>
        <v>#VALUE!</v>
      </c>
      <c r="HS37" s="1" t="b">
        <f>AND(L_Vieux_Fort_North!B16,"AAAAAH8+f+I=")</f>
        <v>1</v>
      </c>
      <c r="HT37" s="1" t="b">
        <f>AND(L_Vieux_Fort_North!C16,"AAAAAH8+f+M=")</f>
        <v>1</v>
      </c>
      <c r="HU37" s="1" t="b">
        <f>AND(L_Vieux_Fort_North!D16,"AAAAAH8+f+Q=")</f>
        <v>1</v>
      </c>
      <c r="HV37" s="1" t="b">
        <f>AND(L_Vieux_Fort_North!E16,"AAAAAH8+f+U=")</f>
        <v>1</v>
      </c>
      <c r="HW37" s="1" t="b">
        <f>AND(L_Vieux_Fort_North!F16,"AAAAAH8+f+Y=")</f>
        <v>1</v>
      </c>
      <c r="HX37" s="1" t="b">
        <f>AND(L_Vieux_Fort_North!G16,"AAAAAH8+f+c=")</f>
        <v>1</v>
      </c>
      <c r="HY37" s="1" t="b">
        <f>AND(L_Vieux_Fort_North!H16,"AAAAAH8+f+g=")</f>
        <v>1</v>
      </c>
      <c r="HZ37" s="1" t="b">
        <f>AND(L_Vieux_Fort_North!I16,"AAAAAH8+f+k=")</f>
        <v>1</v>
      </c>
      <c r="IA37" s="1" t="b">
        <f>AND(L_Vieux_Fort_North!J16,"AAAAAH8+f+o=")</f>
        <v>1</v>
      </c>
      <c r="IB37" s="1" t="b">
        <f>AND(L_Vieux_Fort_North!K16,"AAAAAH8+f+s=")</f>
        <v>1</v>
      </c>
      <c r="IC37" s="1" t="b">
        <f>AND(L_Vieux_Fort_North!L16,"AAAAAH8+f+w=")</f>
        <v>1</v>
      </c>
      <c r="ID37" s="1">
        <f>IF(L_Vieux_Fort_North!17:17,"AAAAAH8+f+0=",0)</f>
        <v>0</v>
      </c>
      <c r="IE37" s="1" t="e">
        <f>AND(L_Vieux_Fort_North!A17,"AAAAAH8+f+4=")</f>
        <v>#VALUE!</v>
      </c>
      <c r="IF37" s="1" t="b">
        <f>AND(L_Vieux_Fort_North!B17,"AAAAAH8+f+8=")</f>
        <v>1</v>
      </c>
      <c r="IG37" s="1" t="b">
        <f>AND(L_Vieux_Fort_North!C17,"AAAAAH8+f/A=")</f>
        <v>1</v>
      </c>
      <c r="IH37" s="1" t="b">
        <f>AND(L_Vieux_Fort_North!D17,"AAAAAH8+f/E=")</f>
        <v>1</v>
      </c>
      <c r="II37" s="1" t="b">
        <f>AND(L_Vieux_Fort_North!E17,"AAAAAH8+f/I=")</f>
        <v>1</v>
      </c>
      <c r="IJ37" s="1" t="b">
        <f>AND(L_Vieux_Fort_North!F17,"AAAAAH8+f/M=")</f>
        <v>1</v>
      </c>
      <c r="IK37" s="1" t="b">
        <f>AND(L_Vieux_Fort_North!G17,"AAAAAH8+f/Q=")</f>
        <v>1</v>
      </c>
      <c r="IL37" s="1" t="b">
        <f>AND(L_Vieux_Fort_North!H17,"AAAAAH8+f/U=")</f>
        <v>1</v>
      </c>
      <c r="IM37" s="1" t="b">
        <f>AND(L_Vieux_Fort_North!I17,"AAAAAH8+f/Y=")</f>
        <v>1</v>
      </c>
      <c r="IN37" s="1" t="b">
        <f>AND(L_Vieux_Fort_North!J17,"AAAAAH8+f/c=")</f>
        <v>1</v>
      </c>
      <c r="IO37" s="1" t="b">
        <f>AND(L_Vieux_Fort_North!K17,"AAAAAH8+f/g=")</f>
        <v>1</v>
      </c>
      <c r="IP37" s="1" t="b">
        <f>AND(L_Vieux_Fort_North!L17,"AAAAAH8+f/k=")</f>
        <v>1</v>
      </c>
      <c r="IQ37" s="1">
        <f>IF(L_Vieux_Fort_North!19:19,"AAAAAH8+f/o=",0)</f>
        <v>0</v>
      </c>
      <c r="IR37" s="1" t="e">
        <f>AND(L_Vieux_Fort_North!A19,"AAAAAH8+f/s=")</f>
        <v>#VALUE!</v>
      </c>
      <c r="IS37" s="1" t="e">
        <f>AND(L_Vieux_Fort_North!B19,"AAAAAH8+f/w=")</f>
        <v>#VALUE!</v>
      </c>
      <c r="IT37" s="1" t="e">
        <f>AND(L_Vieux_Fort_North!C19,"AAAAAH8+f/0=")</f>
        <v>#VALUE!</v>
      </c>
      <c r="IU37" s="1" t="e">
        <f>AND(L_Vieux_Fort_North!D19,"AAAAAH8+f/4=")</f>
        <v>#VALUE!</v>
      </c>
      <c r="IV37" s="1" t="e">
        <f>AND(L_Vieux_Fort_North!E19,"AAAAAH8+f/8=")</f>
        <v>#VALUE!</v>
      </c>
    </row>
    <row r="38" spans="1:256" ht="12" customHeight="1" x14ac:dyDescent="0.2">
      <c r="A38" s="1" t="e">
        <f>AND(L_Vieux_Fort_North!F19,"AAAAAGXdvQA=")</f>
        <v>#VALUE!</v>
      </c>
      <c r="B38" s="1" t="e">
        <f>AND(L_Vieux_Fort_North!G19,"AAAAAGXdvQE=")</f>
        <v>#VALUE!</v>
      </c>
      <c r="C38" s="1" t="e">
        <f>AND(L_Vieux_Fort_North!H19,"AAAAAGXdvQI=")</f>
        <v>#VALUE!</v>
      </c>
      <c r="D38" s="1" t="e">
        <f>AND(L_Vieux_Fort_North!I19,"AAAAAGXdvQM=")</f>
        <v>#VALUE!</v>
      </c>
      <c r="E38" s="1" t="e">
        <f>AND(L_Vieux_Fort_North!J19,"AAAAAGXdvQQ=")</f>
        <v>#VALUE!</v>
      </c>
      <c r="F38" s="1" t="e">
        <f>AND(L_Vieux_Fort_North!K19,"AAAAAGXdvQU=")</f>
        <v>#VALUE!</v>
      </c>
      <c r="G38" s="1" t="e">
        <f>AND(L_Vieux_Fort_North!L19,"AAAAAGXdvQY=")</f>
        <v>#VALUE!</v>
      </c>
      <c r="H38" s="1" t="str">
        <f>IF(L_Vieux_Fort_North!20:20,"AAAAAGXdvQc=",0)</f>
        <v>AAAAAGXdvQc=</v>
      </c>
      <c r="I38" s="1" t="e">
        <f>AND(L_Vieux_Fort_North!A20,"AAAAAGXdvQg=")</f>
        <v>#VALUE!</v>
      </c>
      <c r="J38" s="1" t="b">
        <f>AND(L_Vieux_Fort_North!B20,"AAAAAGXdvQk=")</f>
        <v>1</v>
      </c>
      <c r="K38" s="1" t="b">
        <f>AND(L_Vieux_Fort_North!C20,"AAAAAGXdvQo=")</f>
        <v>1</v>
      </c>
      <c r="L38" s="1" t="b">
        <f>AND(L_Vieux_Fort_North!D20,"AAAAAGXdvQs=")</f>
        <v>1</v>
      </c>
      <c r="M38" s="1" t="b">
        <f>AND(L_Vieux_Fort_North!E20,"AAAAAGXdvQw=")</f>
        <v>1</v>
      </c>
      <c r="N38" s="1" t="b">
        <f>AND(L_Vieux_Fort_North!F20,"AAAAAGXdvQ0=")</f>
        <v>1</v>
      </c>
      <c r="O38" s="1" t="b">
        <f>AND(L_Vieux_Fort_North!G20,"AAAAAGXdvQ4=")</f>
        <v>1</v>
      </c>
      <c r="P38" s="1" t="b">
        <f>AND(L_Vieux_Fort_North!H20,"AAAAAGXdvQ8=")</f>
        <v>1</v>
      </c>
      <c r="Q38" s="1" t="b">
        <f>AND(L_Vieux_Fort_North!I20,"AAAAAGXdvRA=")</f>
        <v>1</v>
      </c>
      <c r="R38" s="1" t="b">
        <f>AND(L_Vieux_Fort_North!J20,"AAAAAGXdvRE=")</f>
        <v>1</v>
      </c>
      <c r="S38" s="1" t="b">
        <f>AND(L_Vieux_Fort_North!K20,"AAAAAGXdvRI=")</f>
        <v>1</v>
      </c>
      <c r="T38" s="1" t="b">
        <f>AND(L_Vieux_Fort_North!L20,"AAAAAGXdvRM=")</f>
        <v>1</v>
      </c>
      <c r="U38" s="1">
        <f>IF(L_Vieux_Fort_North!21:21,"AAAAAGXdvRQ=",0)</f>
        <v>0</v>
      </c>
      <c r="V38" s="1" t="e">
        <f>AND(L_Vieux_Fort_North!A21,"AAAAAGXdvRU=")</f>
        <v>#VALUE!</v>
      </c>
      <c r="W38" s="1" t="b">
        <f>AND(L_Vieux_Fort_North!B21,"AAAAAGXdvRY=")</f>
        <v>1</v>
      </c>
      <c r="X38" s="1" t="b">
        <f>AND(L_Vieux_Fort_North!C21,"AAAAAGXdvRc=")</f>
        <v>1</v>
      </c>
      <c r="Y38" s="1" t="b">
        <f>AND(L_Vieux_Fort_North!D21,"AAAAAGXdvRg=")</f>
        <v>1</v>
      </c>
      <c r="Z38" s="1" t="b">
        <f>AND(L_Vieux_Fort_North!E21,"AAAAAGXdvRk=")</f>
        <v>1</v>
      </c>
      <c r="AA38" s="1" t="b">
        <f>AND(L_Vieux_Fort_North!F21,"AAAAAGXdvRo=")</f>
        <v>1</v>
      </c>
      <c r="AB38" s="1" t="b">
        <f>AND(L_Vieux_Fort_North!G21,"AAAAAGXdvRs=")</f>
        <v>1</v>
      </c>
      <c r="AC38" s="1" t="b">
        <f>AND(L_Vieux_Fort_North!H21,"AAAAAGXdvRw=")</f>
        <v>1</v>
      </c>
      <c r="AD38" s="1" t="b">
        <f>AND(L_Vieux_Fort_North!I21,"AAAAAGXdvR0=")</f>
        <v>1</v>
      </c>
      <c r="AE38" s="1" t="b">
        <f>AND(L_Vieux_Fort_North!J21,"AAAAAGXdvR4=")</f>
        <v>1</v>
      </c>
      <c r="AF38" s="1" t="b">
        <f>AND(L_Vieux_Fort_North!K21,"AAAAAGXdvR8=")</f>
        <v>1</v>
      </c>
      <c r="AG38" s="1" t="b">
        <f>AND(L_Vieux_Fort_North!L21,"AAAAAGXdvSA=")</f>
        <v>1</v>
      </c>
      <c r="AH38" s="1">
        <f>IF(L_Vieux_Fort_North!22:22,"AAAAAGXdvSE=",0)</f>
        <v>0</v>
      </c>
      <c r="AI38" s="1" t="e">
        <f>AND(L_Vieux_Fort_North!A22,"AAAAAGXdvSI=")</f>
        <v>#VALUE!</v>
      </c>
      <c r="AJ38" s="1" t="b">
        <f>AND(L_Vieux_Fort_North!B22,"AAAAAGXdvSM=")</f>
        <v>1</v>
      </c>
      <c r="AK38" s="1" t="b">
        <f>AND(L_Vieux_Fort_North!C22,"AAAAAGXdvSQ=")</f>
        <v>1</v>
      </c>
      <c r="AL38" s="1" t="b">
        <f>AND(L_Vieux_Fort_North!D22,"AAAAAGXdvSU=")</f>
        <v>1</v>
      </c>
      <c r="AM38" s="1" t="b">
        <f>AND(L_Vieux_Fort_North!E22,"AAAAAGXdvSY=")</f>
        <v>1</v>
      </c>
      <c r="AN38" s="1" t="b">
        <f>AND(L_Vieux_Fort_North!F22,"AAAAAGXdvSc=")</f>
        <v>1</v>
      </c>
      <c r="AO38" s="1" t="b">
        <f>AND(L_Vieux_Fort_North!G22,"AAAAAGXdvSg=")</f>
        <v>1</v>
      </c>
      <c r="AP38" s="1" t="b">
        <f>AND(L_Vieux_Fort_North!H22,"AAAAAGXdvSk=")</f>
        <v>1</v>
      </c>
      <c r="AQ38" s="1" t="b">
        <f>AND(L_Vieux_Fort_North!I22,"AAAAAGXdvSo=")</f>
        <v>1</v>
      </c>
      <c r="AR38" s="1" t="b">
        <f>AND(L_Vieux_Fort_North!J22,"AAAAAGXdvSs=")</f>
        <v>1</v>
      </c>
      <c r="AS38" s="1" t="b">
        <f>AND(L_Vieux_Fort_North!K22,"AAAAAGXdvSw=")</f>
        <v>1</v>
      </c>
      <c r="AT38" s="1" t="b">
        <f>AND(L_Vieux_Fort_North!L22,"AAAAAGXdvS0=")</f>
        <v>1</v>
      </c>
      <c r="AU38" s="1">
        <f>IF(L_Vieux_Fort_North!23:23,"AAAAAGXdvS4=",0)</f>
        <v>0</v>
      </c>
      <c r="AV38" s="1" t="e">
        <f>AND(L_Vieux_Fort_North!A23,"AAAAAGXdvS8=")</f>
        <v>#VALUE!</v>
      </c>
      <c r="AW38" s="1" t="b">
        <f>AND(L_Vieux_Fort_North!B23,"AAAAAGXdvTA=")</f>
        <v>1</v>
      </c>
      <c r="AX38" s="1" t="b">
        <f>AND(L_Vieux_Fort_North!C23,"AAAAAGXdvTE=")</f>
        <v>1</v>
      </c>
      <c r="AY38" s="1" t="b">
        <f>AND(L_Vieux_Fort_North!D23,"AAAAAGXdvTI=")</f>
        <v>1</v>
      </c>
      <c r="AZ38" s="1" t="b">
        <f>AND(L_Vieux_Fort_North!E23,"AAAAAGXdvTM=")</f>
        <v>1</v>
      </c>
      <c r="BA38" s="1" t="b">
        <f>AND(L_Vieux_Fort_North!F23,"AAAAAGXdvTQ=")</f>
        <v>1</v>
      </c>
      <c r="BB38" s="1" t="b">
        <f>AND(L_Vieux_Fort_North!G23,"AAAAAGXdvTU=")</f>
        <v>1</v>
      </c>
      <c r="BC38" s="1" t="b">
        <f>AND(L_Vieux_Fort_North!H23,"AAAAAGXdvTY=")</f>
        <v>1</v>
      </c>
      <c r="BD38" s="1" t="b">
        <f>AND(L_Vieux_Fort_North!I23,"AAAAAGXdvTc=")</f>
        <v>1</v>
      </c>
      <c r="BE38" s="1" t="b">
        <f>AND(L_Vieux_Fort_North!J23,"AAAAAGXdvTg=")</f>
        <v>1</v>
      </c>
      <c r="BF38" s="1" t="b">
        <f>AND(L_Vieux_Fort_North!K23,"AAAAAGXdvTk=")</f>
        <v>1</v>
      </c>
      <c r="BG38" s="1" t="b">
        <f>AND(L_Vieux_Fort_North!L23,"AAAAAGXdvTo=")</f>
        <v>1</v>
      </c>
      <c r="BH38" s="1">
        <f>IF(L_Vieux_Fort_North!24:24,"AAAAAGXdvTs=",0)</f>
        <v>0</v>
      </c>
      <c r="BI38" s="1" t="e">
        <f>AND(L_Vieux_Fort_North!A24,"AAAAAGXdvTw=")</f>
        <v>#VALUE!</v>
      </c>
      <c r="BJ38" s="1" t="b">
        <f>AND(L_Vieux_Fort_North!B24,"AAAAAGXdvT0=")</f>
        <v>1</v>
      </c>
      <c r="BK38" s="1" t="b">
        <f>AND(L_Vieux_Fort_North!C24,"AAAAAGXdvT4=")</f>
        <v>1</v>
      </c>
      <c r="BL38" s="1" t="b">
        <f>AND(L_Vieux_Fort_North!D24,"AAAAAGXdvT8=")</f>
        <v>1</v>
      </c>
      <c r="BM38" s="1" t="b">
        <f>AND(L_Vieux_Fort_North!E24,"AAAAAGXdvUA=")</f>
        <v>1</v>
      </c>
      <c r="BN38" s="1" t="b">
        <f>AND(L_Vieux_Fort_North!F24,"AAAAAGXdvUE=")</f>
        <v>1</v>
      </c>
      <c r="BO38" s="1" t="b">
        <f>AND(L_Vieux_Fort_North!G24,"AAAAAGXdvUI=")</f>
        <v>1</v>
      </c>
      <c r="BP38" s="1" t="b">
        <f>AND(L_Vieux_Fort_North!H24,"AAAAAGXdvUM=")</f>
        <v>1</v>
      </c>
      <c r="BQ38" s="1" t="b">
        <f>AND(L_Vieux_Fort_North!I24,"AAAAAGXdvUQ=")</f>
        <v>1</v>
      </c>
      <c r="BR38" s="1" t="b">
        <f>AND(L_Vieux_Fort_North!J24,"AAAAAGXdvUU=")</f>
        <v>1</v>
      </c>
      <c r="BS38" s="1" t="b">
        <f>AND(L_Vieux_Fort_North!K24,"AAAAAGXdvUY=")</f>
        <v>1</v>
      </c>
      <c r="BT38" s="1" t="b">
        <f>AND(L_Vieux_Fort_North!L24,"AAAAAGXdvUc=")</f>
        <v>1</v>
      </c>
      <c r="BU38" s="1">
        <f>IF(L_Vieux_Fort_North!26:26,"AAAAAGXdvUg=",0)</f>
        <v>0</v>
      </c>
      <c r="BV38" s="1" t="e">
        <f>AND(L_Vieux_Fort_North!A26,"AAAAAGXdvUk=")</f>
        <v>#VALUE!</v>
      </c>
      <c r="BW38" s="1" t="e">
        <f>AND(L_Vieux_Fort_North!B26,"AAAAAGXdvUo=")</f>
        <v>#VALUE!</v>
      </c>
      <c r="BX38" s="1" t="e">
        <f>AND(L_Vieux_Fort_North!C26,"AAAAAGXdvUs=")</f>
        <v>#VALUE!</v>
      </c>
      <c r="BY38" s="1" t="e">
        <f>AND(L_Vieux_Fort_North!D26,"AAAAAGXdvUw=")</f>
        <v>#VALUE!</v>
      </c>
      <c r="BZ38" s="1" t="e">
        <f>AND(L_Vieux_Fort_North!E26,"AAAAAGXdvU0=")</f>
        <v>#VALUE!</v>
      </c>
      <c r="CA38" s="1" t="e">
        <f>AND(L_Vieux_Fort_North!F26,"AAAAAGXdvU4=")</f>
        <v>#VALUE!</v>
      </c>
      <c r="CB38" s="1" t="e">
        <f>AND(L_Vieux_Fort_North!G26,"AAAAAGXdvU8=")</f>
        <v>#VALUE!</v>
      </c>
      <c r="CC38" s="1" t="e">
        <f>AND(L_Vieux_Fort_North!H26,"AAAAAGXdvVA=")</f>
        <v>#VALUE!</v>
      </c>
      <c r="CD38" s="1" t="e">
        <f>AND(L_Vieux_Fort_North!I26,"AAAAAGXdvVE=")</f>
        <v>#VALUE!</v>
      </c>
      <c r="CE38" s="1" t="e">
        <f>AND(L_Vieux_Fort_North!J26,"AAAAAGXdvVI=")</f>
        <v>#VALUE!</v>
      </c>
      <c r="CF38" s="1" t="e">
        <f>AND(L_Vieux_Fort_North!K26,"AAAAAGXdvVM=")</f>
        <v>#VALUE!</v>
      </c>
      <c r="CG38" s="1" t="e">
        <f>AND(L_Vieux_Fort_North!L26,"AAAAAGXdvVQ=")</f>
        <v>#VALUE!</v>
      </c>
      <c r="CH38" s="1">
        <f>IF(L_Vieux_Fort_North!27:27,"AAAAAGXdvVU=",0)</f>
        <v>0</v>
      </c>
      <c r="CI38" s="1" t="e">
        <f>AND(L_Vieux_Fort_North!A27,"AAAAAGXdvVY=")</f>
        <v>#VALUE!</v>
      </c>
      <c r="CJ38" s="1" t="b">
        <f>AND(L_Vieux_Fort_North!B27,"AAAAAGXdvVc=")</f>
        <v>1</v>
      </c>
      <c r="CK38" s="1" t="b">
        <f>AND(L_Vieux_Fort_North!C27,"AAAAAGXdvVg=")</f>
        <v>1</v>
      </c>
      <c r="CL38" s="1" t="b">
        <f>AND(L_Vieux_Fort_North!D27,"AAAAAGXdvVk=")</f>
        <v>1</v>
      </c>
      <c r="CM38" s="1" t="b">
        <f>AND(L_Vieux_Fort_North!E27,"AAAAAGXdvVo=")</f>
        <v>1</v>
      </c>
      <c r="CN38" s="1" t="b">
        <f>AND(L_Vieux_Fort_North!F27,"AAAAAGXdvVs=")</f>
        <v>1</v>
      </c>
      <c r="CO38" s="1" t="b">
        <f>AND(L_Vieux_Fort_North!G27,"AAAAAGXdvVw=")</f>
        <v>1</v>
      </c>
      <c r="CP38" s="1" t="b">
        <f>AND(L_Vieux_Fort_North!H27,"AAAAAGXdvV0=")</f>
        <v>1</v>
      </c>
      <c r="CQ38" s="1" t="b">
        <f>AND(L_Vieux_Fort_North!I27,"AAAAAGXdvV4=")</f>
        <v>1</v>
      </c>
      <c r="CR38" s="1" t="b">
        <f>AND(L_Vieux_Fort_North!J27,"AAAAAGXdvV8=")</f>
        <v>1</v>
      </c>
      <c r="CS38" s="1" t="b">
        <f>AND(L_Vieux_Fort_North!K27,"AAAAAGXdvWA=")</f>
        <v>1</v>
      </c>
      <c r="CT38" s="1" t="b">
        <f>AND(L_Vieux_Fort_North!L27,"AAAAAGXdvWE=")</f>
        <v>1</v>
      </c>
      <c r="CU38" s="1">
        <f>IF(L_Vieux_Fort_North!28:28,"AAAAAGXdvWI=",0)</f>
        <v>0</v>
      </c>
      <c r="CV38" s="1" t="e">
        <f>AND(L_Vieux_Fort_North!A28,"AAAAAGXdvWM=")</f>
        <v>#VALUE!</v>
      </c>
      <c r="CW38" s="1" t="b">
        <f>AND(L_Vieux_Fort_North!B28,"AAAAAGXdvWQ=")</f>
        <v>1</v>
      </c>
      <c r="CX38" s="1" t="b">
        <f>AND(L_Vieux_Fort_North!C28,"AAAAAGXdvWU=")</f>
        <v>1</v>
      </c>
      <c r="CY38" s="1" t="b">
        <f>AND(L_Vieux_Fort_North!D28,"AAAAAGXdvWY=")</f>
        <v>1</v>
      </c>
      <c r="CZ38" s="1" t="b">
        <f>AND(L_Vieux_Fort_North!E28,"AAAAAGXdvWc=")</f>
        <v>1</v>
      </c>
      <c r="DA38" s="1" t="b">
        <f>AND(L_Vieux_Fort_North!F28,"AAAAAGXdvWg=")</f>
        <v>1</v>
      </c>
      <c r="DB38" s="1" t="b">
        <f>AND(L_Vieux_Fort_North!G28,"AAAAAGXdvWk=")</f>
        <v>1</v>
      </c>
      <c r="DC38" s="1" t="b">
        <f>AND(L_Vieux_Fort_North!H28,"AAAAAGXdvWo=")</f>
        <v>1</v>
      </c>
      <c r="DD38" s="1" t="b">
        <f>AND(L_Vieux_Fort_North!I28,"AAAAAGXdvWs=")</f>
        <v>1</v>
      </c>
      <c r="DE38" s="1" t="b">
        <f>AND(L_Vieux_Fort_North!J28,"AAAAAGXdvWw=")</f>
        <v>1</v>
      </c>
      <c r="DF38" s="1" t="b">
        <f>AND(L_Vieux_Fort_North!K28,"AAAAAGXdvW0=")</f>
        <v>1</v>
      </c>
      <c r="DG38" s="1" t="b">
        <f>AND(L_Vieux_Fort_North!L28,"AAAAAGXdvW4=")</f>
        <v>1</v>
      </c>
      <c r="DH38" s="1">
        <f>IF(L_Vieux_Fort_North!29:29,"AAAAAGXdvW8=",0)</f>
        <v>0</v>
      </c>
      <c r="DI38" s="1" t="e">
        <f>AND(L_Vieux_Fort_North!A29,"AAAAAGXdvXA=")</f>
        <v>#VALUE!</v>
      </c>
      <c r="DJ38" s="1" t="b">
        <f>AND(L_Vieux_Fort_North!B29,"AAAAAGXdvXE=")</f>
        <v>1</v>
      </c>
      <c r="DK38" s="1" t="b">
        <f>AND(L_Vieux_Fort_North!C29,"AAAAAGXdvXI=")</f>
        <v>1</v>
      </c>
      <c r="DL38" s="1" t="b">
        <f>AND(L_Vieux_Fort_North!D29,"AAAAAGXdvXM=")</f>
        <v>1</v>
      </c>
      <c r="DM38" s="1" t="b">
        <f>AND(L_Vieux_Fort_North!E29,"AAAAAGXdvXQ=")</f>
        <v>1</v>
      </c>
      <c r="DN38" s="1" t="b">
        <f>AND(L_Vieux_Fort_North!F29,"AAAAAGXdvXU=")</f>
        <v>1</v>
      </c>
      <c r="DO38" s="1" t="b">
        <f>AND(L_Vieux_Fort_North!G29,"AAAAAGXdvXY=")</f>
        <v>1</v>
      </c>
      <c r="DP38" s="1" t="b">
        <f>AND(L_Vieux_Fort_North!H29,"AAAAAGXdvXc=")</f>
        <v>1</v>
      </c>
      <c r="DQ38" s="1" t="b">
        <f>AND(L_Vieux_Fort_North!I29,"AAAAAGXdvXg=")</f>
        <v>1</v>
      </c>
      <c r="DR38" s="1" t="b">
        <f>AND(L_Vieux_Fort_North!J29,"AAAAAGXdvXk=")</f>
        <v>1</v>
      </c>
      <c r="DS38" s="1" t="b">
        <f>AND(L_Vieux_Fort_North!K29,"AAAAAGXdvXo=")</f>
        <v>1</v>
      </c>
      <c r="DT38" s="1" t="b">
        <f>AND(L_Vieux_Fort_North!L29,"AAAAAGXdvXs=")</f>
        <v>1</v>
      </c>
      <c r="DU38" s="1" t="e">
        <f>IF(L_Vieux_Fort_North!#REF!,"AAAAAGXdvXw=",0)</f>
        <v>#REF!</v>
      </c>
      <c r="DV38" s="1" t="e">
        <f>AND(L_Vieux_Fort_North!#REF!,"AAAAAGXdvX0=")</f>
        <v>#REF!</v>
      </c>
      <c r="DW38" s="1" t="e">
        <f>AND(L_Vieux_Fort_North!#REF!,"AAAAAGXdvX4=")</f>
        <v>#REF!</v>
      </c>
      <c r="DX38" s="1" t="e">
        <f>AND(L_Vieux_Fort_North!#REF!,"AAAAAGXdvX8=")</f>
        <v>#REF!</v>
      </c>
      <c r="DY38" s="1" t="e">
        <f>AND(L_Vieux_Fort_North!#REF!,"AAAAAGXdvYA=")</f>
        <v>#REF!</v>
      </c>
      <c r="DZ38" s="1" t="e">
        <f>AND(L_Vieux_Fort_North!#REF!,"AAAAAGXdvYE=")</f>
        <v>#REF!</v>
      </c>
      <c r="EA38" s="1" t="e">
        <f>AND(L_Vieux_Fort_North!#REF!,"AAAAAGXdvYI=")</f>
        <v>#REF!</v>
      </c>
      <c r="EB38" s="1" t="e">
        <f>AND(L_Vieux_Fort_North!#REF!,"AAAAAGXdvYM=")</f>
        <v>#REF!</v>
      </c>
      <c r="EC38" s="1" t="e">
        <f>AND(L_Vieux_Fort_North!#REF!,"AAAAAGXdvYQ=")</f>
        <v>#REF!</v>
      </c>
      <c r="ED38" s="1" t="e">
        <f>AND(L_Vieux_Fort_North!#REF!,"AAAAAGXdvYU=")</f>
        <v>#REF!</v>
      </c>
      <c r="EE38" s="1" t="e">
        <f>AND(L_Vieux_Fort_North!#REF!,"AAAAAGXdvYY=")</f>
        <v>#REF!</v>
      </c>
      <c r="EF38" s="1" t="e">
        <f>AND(L_Vieux_Fort_North!#REF!,"AAAAAGXdvYc=")</f>
        <v>#REF!</v>
      </c>
      <c r="EG38" s="1" t="e">
        <f>AND(L_Vieux_Fort_North!#REF!,"AAAAAGXdvYg=")</f>
        <v>#REF!</v>
      </c>
      <c r="EH38" s="1">
        <f>IF(L_Vieux_Fort_North!30:30,"AAAAAGXdvYk=",0)</f>
        <v>0</v>
      </c>
      <c r="EI38" s="1" t="e">
        <f>AND(L_Vieux_Fort_North!A30,"AAAAAGXdvYo=")</f>
        <v>#VALUE!</v>
      </c>
      <c r="EJ38" s="1" t="b">
        <f>AND(L_Vieux_Fort_North!B30,"AAAAAGXdvYs=")</f>
        <v>1</v>
      </c>
      <c r="EK38" s="1" t="b">
        <f>AND(L_Vieux_Fort_North!C30,"AAAAAGXdvYw=")</f>
        <v>1</v>
      </c>
      <c r="EL38" s="1" t="b">
        <f>AND(L_Vieux_Fort_North!D30,"AAAAAGXdvY0=")</f>
        <v>1</v>
      </c>
      <c r="EM38" s="1" t="b">
        <f>AND(L_Vieux_Fort_North!E30,"AAAAAGXdvY4=")</f>
        <v>1</v>
      </c>
      <c r="EN38" s="1" t="b">
        <f>AND(L_Vieux_Fort_North!F30,"AAAAAGXdvY8=")</f>
        <v>1</v>
      </c>
      <c r="EO38" s="1" t="b">
        <f>AND(L_Vieux_Fort_North!G30,"AAAAAGXdvZA=")</f>
        <v>1</v>
      </c>
      <c r="EP38" s="1" t="b">
        <f>AND(L_Vieux_Fort_North!H30,"AAAAAGXdvZE=")</f>
        <v>1</v>
      </c>
      <c r="EQ38" s="1" t="b">
        <f>AND(L_Vieux_Fort_North!I30,"AAAAAGXdvZI=")</f>
        <v>1</v>
      </c>
      <c r="ER38" s="1" t="b">
        <f>AND(L_Vieux_Fort_North!J30,"AAAAAGXdvZM=")</f>
        <v>1</v>
      </c>
      <c r="ES38" s="1" t="b">
        <f>AND(L_Vieux_Fort_North!K30,"AAAAAGXdvZQ=")</f>
        <v>1</v>
      </c>
      <c r="ET38" s="1" t="b">
        <f>AND(L_Vieux_Fort_North!L30,"AAAAAGXdvZU=")</f>
        <v>1</v>
      </c>
      <c r="EU38" s="1">
        <f>IF(L_Vieux_Fort_North!31:31,"AAAAAGXdvZY=",0)</f>
        <v>0</v>
      </c>
      <c r="EV38" s="1" t="e">
        <f>AND(L_Vieux_Fort_North!A31,"AAAAAGXdvZc=")</f>
        <v>#VALUE!</v>
      </c>
      <c r="EW38" s="1" t="b">
        <f>AND(L_Vieux_Fort_North!B31,"AAAAAGXdvZg=")</f>
        <v>1</v>
      </c>
      <c r="EX38" s="1" t="b">
        <f>AND(L_Vieux_Fort_North!C31,"AAAAAGXdvZk=")</f>
        <v>1</v>
      </c>
      <c r="EY38" s="1" t="b">
        <f>AND(L_Vieux_Fort_North!D31,"AAAAAGXdvZo=")</f>
        <v>1</v>
      </c>
      <c r="EZ38" s="1" t="b">
        <f>AND(L_Vieux_Fort_North!E31,"AAAAAGXdvZs=")</f>
        <v>1</v>
      </c>
      <c r="FA38" s="1" t="b">
        <f>AND(L_Vieux_Fort_North!F31,"AAAAAGXdvZw=")</f>
        <v>1</v>
      </c>
      <c r="FB38" s="1" t="b">
        <f>AND(L_Vieux_Fort_North!G31,"AAAAAGXdvZ0=")</f>
        <v>1</v>
      </c>
      <c r="FC38" s="1" t="b">
        <f>AND(L_Vieux_Fort_North!H31,"AAAAAGXdvZ4=")</f>
        <v>1</v>
      </c>
      <c r="FD38" s="1" t="b">
        <f>AND(L_Vieux_Fort_North!I31,"AAAAAGXdvZ8=")</f>
        <v>1</v>
      </c>
      <c r="FE38" s="1" t="b">
        <f>AND(L_Vieux_Fort_North!J31,"AAAAAGXdvaA=")</f>
        <v>1</v>
      </c>
      <c r="FF38" s="1" t="b">
        <f>AND(L_Vieux_Fort_North!K31,"AAAAAGXdvaE=")</f>
        <v>1</v>
      </c>
      <c r="FG38" s="1" t="b">
        <f>AND(L_Vieux_Fort_North!L31,"AAAAAGXdvaI=")</f>
        <v>1</v>
      </c>
      <c r="FH38" s="1">
        <f>IF(L_Vieux_Fort_North!A:A,"AAAAAGXdvaM=",0)</f>
        <v>0</v>
      </c>
      <c r="FI38" s="1">
        <f>IF(L_Vieux_Fort_North!B:B,"AAAAAGXdvaQ=",0)</f>
        <v>0</v>
      </c>
      <c r="FJ38" s="1">
        <f>IF(L_Vieux_Fort_North!C:C,"AAAAAGXdvaU=",0)</f>
        <v>0</v>
      </c>
      <c r="FK38" s="1">
        <f>IF(L_Vieux_Fort_North!D:D,"AAAAAGXdvaY=",0)</f>
        <v>0</v>
      </c>
      <c r="FL38" s="1">
        <f>IF(L_Vieux_Fort_North!E:E,"AAAAAGXdvac=",0)</f>
        <v>0</v>
      </c>
      <c r="FM38" s="1">
        <f>IF(L_Vieux_Fort_North!F:F,"AAAAAGXdvag=",0)</f>
        <v>0</v>
      </c>
      <c r="FN38" s="1">
        <f>IF(L_Vieux_Fort_North!G:G,"AAAAAGXdvak=",0)</f>
        <v>0</v>
      </c>
      <c r="FO38" s="1">
        <f>IF(L_Vieux_Fort_North!H:H,"AAAAAGXdvao=",0)</f>
        <v>0</v>
      </c>
      <c r="FP38" s="1">
        <f>IF(L_Vieux_Fort_North!I:I,"AAAAAGXdvas=",0)</f>
        <v>0</v>
      </c>
      <c r="FQ38" s="1">
        <f>IF(L_Vieux_Fort_North!J:J,"AAAAAGXdvaw=",0)</f>
        <v>0</v>
      </c>
      <c r="FR38" s="1">
        <f>IF(L_Vieux_Fort_North!K:K,"AAAAAGXdva0=",0)</f>
        <v>0</v>
      </c>
      <c r="FS38" s="1">
        <f>IF(L_Vieux_Fort_North!L:L,"AAAAAGXdva4=",0)</f>
        <v>0</v>
      </c>
      <c r="FT38" s="1">
        <f>IF(M_Micoud_South!2:2,"AAAAAGXdva8=",0)</f>
        <v>0</v>
      </c>
      <c r="FU38" s="1" t="e">
        <f>AND(M_Micoud_South!A2,"AAAAAGXdvbA=")</f>
        <v>#VALUE!</v>
      </c>
      <c r="FV38" s="1" t="e">
        <f>AND(M_Micoud_South!B2,"AAAAAGXdvbE=")</f>
        <v>#VALUE!</v>
      </c>
      <c r="FW38" s="1" t="e">
        <f>AND(M_Micoud_South!C2,"AAAAAGXdvbI=")</f>
        <v>#VALUE!</v>
      </c>
      <c r="FX38" s="1" t="e">
        <f>AND(M_Micoud_South!D2,"AAAAAGXdvbM=")</f>
        <v>#VALUE!</v>
      </c>
      <c r="FY38" s="1" t="e">
        <f>AND(M_Micoud_South!E2,"AAAAAGXdvbQ=")</f>
        <v>#VALUE!</v>
      </c>
      <c r="FZ38" s="1" t="e">
        <f>AND(M_Micoud_South!F2,"AAAAAGXdvbU=")</f>
        <v>#VALUE!</v>
      </c>
      <c r="GA38" s="1" t="e">
        <f>AND(M_Micoud_South!#REF!,"AAAAAGXdvbY=")</f>
        <v>#REF!</v>
      </c>
      <c r="GB38" s="1" t="e">
        <f>AND(M_Micoud_South!#REF!,"AAAAAGXdvbc=")</f>
        <v>#REF!</v>
      </c>
      <c r="GC38" s="1" t="e">
        <f>AND(M_Micoud_South!G2,"AAAAAGXdvbg=")</f>
        <v>#VALUE!</v>
      </c>
      <c r="GD38" s="1" t="e">
        <f>AND(M_Micoud_South!H2,"AAAAAGXdvbk=")</f>
        <v>#VALUE!</v>
      </c>
      <c r="GE38" s="1" t="e">
        <f>AND(M_Micoud_South!I2,"AAAAAGXdvbo=")</f>
        <v>#VALUE!</v>
      </c>
      <c r="GF38" s="1" t="e">
        <f>AND(M_Micoud_South!J2,"AAAAAGXdvbs=")</f>
        <v>#VALUE!</v>
      </c>
      <c r="GG38" s="1" t="e">
        <f>AND(M_Micoud_South!K2,"AAAAAGXdvbw=")</f>
        <v>#VALUE!</v>
      </c>
      <c r="GH38" s="1" t="e">
        <f>AND(M_Micoud_South!L2,"AAAAAGXdvb0=")</f>
        <v>#VALUE!</v>
      </c>
      <c r="GI38" s="1">
        <f>IF(M_Micoud_South!3:3,"AAAAAGXdvb4=",0)</f>
        <v>0</v>
      </c>
      <c r="GJ38" s="1" t="e">
        <f>AND(M_Micoud_South!#REF!,"AAAAAGXdvb8=")</f>
        <v>#REF!</v>
      </c>
      <c r="GK38" s="1" t="e">
        <f>AND(M_Micoud_South!A3,"AAAAAGXdvcA=")</f>
        <v>#VALUE!</v>
      </c>
      <c r="GL38" s="1" t="e">
        <f>AND(M_Micoud_South!C3,"AAAAAGXdvcE=")</f>
        <v>#VALUE!</v>
      </c>
      <c r="GM38" s="1" t="e">
        <f>AND(M_Micoud_South!D3,"AAAAAGXdvcI=")</f>
        <v>#VALUE!</v>
      </c>
      <c r="GN38" s="1" t="e">
        <f>AND(M_Micoud_South!E3,"AAAAAGXdvcM=")</f>
        <v>#VALUE!</v>
      </c>
      <c r="GO38" s="1" t="e">
        <f>AND(M_Micoud_South!F3,"AAAAAGXdvcQ=")</f>
        <v>#VALUE!</v>
      </c>
      <c r="GP38" s="1" t="e">
        <f>AND(M_Micoud_South!#REF!,"AAAAAGXdvcU=")</f>
        <v>#REF!</v>
      </c>
      <c r="GQ38" s="1" t="e">
        <f>AND(M_Micoud_South!#REF!,"AAAAAGXdvcY=")</f>
        <v>#REF!</v>
      </c>
      <c r="GR38" s="1" t="e">
        <f>AND(M_Micoud_South!G3,"AAAAAGXdvcc=")</f>
        <v>#VALUE!</v>
      </c>
      <c r="GS38" s="1" t="e">
        <f>AND(M_Micoud_South!H3,"AAAAAGXdvcg=")</f>
        <v>#VALUE!</v>
      </c>
      <c r="GT38" s="1" t="e">
        <f>AND(M_Micoud_South!I3,"AAAAAGXdvck=")</f>
        <v>#VALUE!</v>
      </c>
      <c r="GU38" s="1" t="e">
        <f>AND(M_Micoud_South!J3,"AAAAAGXdvco=")</f>
        <v>#VALUE!</v>
      </c>
      <c r="GV38" s="1" t="e">
        <f>AND(M_Micoud_South!K3,"AAAAAGXdvcs=")</f>
        <v>#VALUE!</v>
      </c>
      <c r="GW38" s="1" t="e">
        <f>AND(M_Micoud_South!L3,"AAAAAGXdvcw=")</f>
        <v>#VALUE!</v>
      </c>
      <c r="GX38" s="1">
        <f>IF(M_Micoud_South!4:4,"AAAAAGXdvc0=",0)</f>
        <v>0</v>
      </c>
      <c r="GY38" s="1" t="e">
        <f>AND(M_Micoud_South!A4,"AAAAAGXdvc4=")</f>
        <v>#VALUE!</v>
      </c>
      <c r="GZ38" s="1" t="b">
        <f>AND(M_Micoud_South!B4,"AAAAAGXdvc8=")</f>
        <v>1</v>
      </c>
      <c r="HA38" s="1" t="b">
        <f>AND(M_Micoud_South!C4,"AAAAAGXdvdA=")</f>
        <v>1</v>
      </c>
      <c r="HB38" s="1" t="b">
        <f>AND(M_Micoud_South!D4,"AAAAAGXdvdE=")</f>
        <v>1</v>
      </c>
      <c r="HC38" s="1" t="b">
        <f>AND(M_Micoud_South!E4,"AAAAAGXdvdI=")</f>
        <v>1</v>
      </c>
      <c r="HD38" s="1" t="b">
        <f>AND(M_Micoud_South!F4,"AAAAAGXdvdM=")</f>
        <v>1</v>
      </c>
      <c r="HE38" s="1" t="e">
        <f>AND(M_Micoud_South!#REF!,"AAAAAGXdvdQ=")</f>
        <v>#REF!</v>
      </c>
      <c r="HF38" s="1" t="e">
        <f>AND(M_Micoud_South!#REF!,"AAAAAGXdvdU=")</f>
        <v>#REF!</v>
      </c>
      <c r="HG38" s="1" t="b">
        <f>AND(M_Micoud_South!G4,"AAAAAGXdvdY=")</f>
        <v>1</v>
      </c>
      <c r="HH38" s="1" t="b">
        <f>AND(M_Micoud_South!H4,"AAAAAGXdvdc=")</f>
        <v>1</v>
      </c>
      <c r="HI38" s="1" t="b">
        <f>AND(M_Micoud_South!I4,"AAAAAGXdvdg=")</f>
        <v>1</v>
      </c>
      <c r="HJ38" s="1" t="b">
        <f>AND(M_Micoud_South!J4,"AAAAAGXdvdk=")</f>
        <v>1</v>
      </c>
      <c r="HK38" s="1" t="b">
        <f>AND(M_Micoud_South!K4,"AAAAAGXdvdo=")</f>
        <v>1</v>
      </c>
      <c r="HL38" s="1" t="b">
        <f>AND(M_Micoud_South!L4,"AAAAAGXdvds=")</f>
        <v>1</v>
      </c>
      <c r="HM38" s="1">
        <f>IF(M_Micoud_South!5:5,"AAAAAGXdvdw=",0)</f>
        <v>0</v>
      </c>
      <c r="HN38" s="1" t="e">
        <f>AND(M_Micoud_South!A5,"AAAAAGXdvd0=")</f>
        <v>#VALUE!</v>
      </c>
      <c r="HO38" s="1" t="e">
        <f>AND(M_Micoud_South!B5,"AAAAAGXdvd4=")</f>
        <v>#VALUE!</v>
      </c>
      <c r="HP38" s="1" t="e">
        <f>AND(M_Micoud_South!C5,"AAAAAGXdvd8=")</f>
        <v>#VALUE!</v>
      </c>
      <c r="HQ38" s="1" t="e">
        <f>AND(M_Micoud_South!D5,"AAAAAGXdveA=")</f>
        <v>#VALUE!</v>
      </c>
      <c r="HR38" s="1" t="e">
        <f>AND(M_Micoud_South!E5,"AAAAAGXdveE=")</f>
        <v>#VALUE!</v>
      </c>
      <c r="HS38" s="1" t="e">
        <f>AND(M_Micoud_South!F5,"AAAAAGXdveI=")</f>
        <v>#VALUE!</v>
      </c>
      <c r="HT38" s="1" t="e">
        <f>AND(M_Micoud_South!#REF!,"AAAAAGXdveM=")</f>
        <v>#REF!</v>
      </c>
      <c r="HU38" s="1" t="e">
        <f>AND(M_Micoud_South!#REF!,"AAAAAGXdveQ=")</f>
        <v>#REF!</v>
      </c>
      <c r="HV38" s="1" t="e">
        <f>AND(M_Micoud_South!G5,"AAAAAGXdveU=")</f>
        <v>#VALUE!</v>
      </c>
      <c r="HW38" s="1" t="e">
        <f>AND(M_Micoud_South!H5,"AAAAAGXdveY=")</f>
        <v>#VALUE!</v>
      </c>
      <c r="HX38" s="1" t="e">
        <f>AND(M_Micoud_South!I5,"AAAAAGXdvec=")</f>
        <v>#VALUE!</v>
      </c>
      <c r="HY38" s="1" t="e">
        <f>AND(M_Micoud_South!J5,"AAAAAGXdveg=")</f>
        <v>#VALUE!</v>
      </c>
      <c r="HZ38" s="1" t="e">
        <f>AND(M_Micoud_South!K5,"AAAAAGXdvek=")</f>
        <v>#VALUE!</v>
      </c>
      <c r="IA38" s="1" t="e">
        <f>AND(M_Micoud_South!L5,"AAAAAGXdveo=")</f>
        <v>#VALUE!</v>
      </c>
      <c r="IB38" s="1">
        <f>IF(M_Micoud_South!6:6,"AAAAAGXdves=",0)</f>
        <v>0</v>
      </c>
      <c r="IC38" s="1" t="e">
        <f>AND(M_Micoud_South!A6,"AAAAAGXdvew=")</f>
        <v>#VALUE!</v>
      </c>
      <c r="ID38" s="1" t="b">
        <f>AND(M_Micoud_South!B6,"AAAAAGXdve0=")</f>
        <v>1</v>
      </c>
      <c r="IE38" s="1" t="b">
        <f>AND(M_Micoud_South!C6,"AAAAAGXdve4=")</f>
        <v>1</v>
      </c>
      <c r="IF38" s="1" t="b">
        <f>AND(M_Micoud_South!D6,"AAAAAGXdve8=")</f>
        <v>1</v>
      </c>
      <c r="IG38" s="1" t="b">
        <f>AND(M_Micoud_South!E6,"AAAAAGXdvfA=")</f>
        <v>1</v>
      </c>
      <c r="IH38" s="1" t="b">
        <f>AND(M_Micoud_South!F6,"AAAAAGXdvfE=")</f>
        <v>1</v>
      </c>
      <c r="II38" s="1" t="e">
        <f>AND(M_Micoud_South!#REF!,"AAAAAGXdvfI=")</f>
        <v>#REF!</v>
      </c>
      <c r="IJ38" s="1" t="e">
        <f>AND(M_Micoud_South!#REF!,"AAAAAGXdvfM=")</f>
        <v>#REF!</v>
      </c>
      <c r="IK38" s="1" t="b">
        <f>AND(M_Micoud_South!G6,"AAAAAGXdvfQ=")</f>
        <v>1</v>
      </c>
      <c r="IL38" s="1" t="b">
        <f>AND(M_Micoud_South!H6,"AAAAAGXdvfU=")</f>
        <v>1</v>
      </c>
      <c r="IM38" s="1" t="b">
        <f>AND(M_Micoud_South!I6,"AAAAAGXdvfY=")</f>
        <v>1</v>
      </c>
      <c r="IN38" s="1" t="b">
        <f>AND(M_Micoud_South!J6,"AAAAAGXdvfc=")</f>
        <v>1</v>
      </c>
      <c r="IO38" s="1" t="b">
        <f>AND(M_Micoud_South!K6,"AAAAAGXdvfg=")</f>
        <v>1</v>
      </c>
      <c r="IP38" s="1" t="b">
        <f>AND(M_Micoud_South!L6,"AAAAAGXdvfk=")</f>
        <v>1</v>
      </c>
      <c r="IQ38" s="1">
        <f>IF(M_Micoud_South!7:7,"AAAAAGXdvfo=",0)</f>
        <v>0</v>
      </c>
      <c r="IR38" s="1" t="e">
        <f>AND(M_Micoud_South!A7,"AAAAAGXdvfs=")</f>
        <v>#VALUE!</v>
      </c>
      <c r="IS38" s="1" t="b">
        <f>AND(M_Micoud_South!B7,"AAAAAGXdvfw=")</f>
        <v>1</v>
      </c>
      <c r="IT38" s="1" t="b">
        <f>AND(M_Micoud_South!C7,"AAAAAGXdvf0=")</f>
        <v>1</v>
      </c>
      <c r="IU38" s="1" t="b">
        <f>AND(M_Micoud_South!D7,"AAAAAGXdvf4=")</f>
        <v>1</v>
      </c>
      <c r="IV38" s="1" t="b">
        <f>AND(M_Micoud_South!E7,"AAAAAGXdvf8=")</f>
        <v>1</v>
      </c>
    </row>
    <row r="39" spans="1:256" ht="12" customHeight="1" x14ac:dyDescent="0.2">
      <c r="A39" s="1" t="b">
        <f>AND(M_Micoud_South!F7,"AAAAAH7J1gA=")</f>
        <v>1</v>
      </c>
      <c r="B39" s="1" t="e">
        <f>AND(M_Micoud_South!#REF!,"AAAAAH7J1gE=")</f>
        <v>#REF!</v>
      </c>
      <c r="C39" s="1" t="e">
        <f>AND(M_Micoud_South!#REF!,"AAAAAH7J1gI=")</f>
        <v>#REF!</v>
      </c>
      <c r="D39" s="1" t="b">
        <f>AND(M_Micoud_South!G7,"AAAAAH7J1gM=")</f>
        <v>0</v>
      </c>
      <c r="E39" s="1" t="b">
        <f>AND(M_Micoud_South!H7,"AAAAAH7J1gQ=")</f>
        <v>0</v>
      </c>
      <c r="F39" s="1" t="b">
        <f>AND(M_Micoud_South!I7,"AAAAAH7J1gU=")</f>
        <v>1</v>
      </c>
      <c r="G39" s="1" t="b">
        <f>AND(M_Micoud_South!J7,"AAAAAH7J1gY=")</f>
        <v>1</v>
      </c>
      <c r="H39" s="1" t="b">
        <f>AND(M_Micoud_South!K7,"AAAAAH7J1gc=")</f>
        <v>1</v>
      </c>
      <c r="I39" s="1" t="b">
        <f>AND(M_Micoud_South!L7,"AAAAAH7J1gg=")</f>
        <v>1</v>
      </c>
      <c r="J39" s="1" t="str">
        <f>IF(M_Micoud_South!8:8,"AAAAAH7J1gk=",0)</f>
        <v>AAAAAH7J1gk=</v>
      </c>
      <c r="K39" s="1" t="e">
        <f>AND(M_Micoud_South!A8,"AAAAAH7J1go=")</f>
        <v>#VALUE!</v>
      </c>
      <c r="L39" s="1" t="b">
        <f>AND(M_Micoud_South!B8,"AAAAAH7J1gs=")</f>
        <v>1</v>
      </c>
      <c r="M39" s="1" t="b">
        <f>AND(M_Micoud_South!C8,"AAAAAH7J1gw=")</f>
        <v>1</v>
      </c>
      <c r="N39" s="1" t="b">
        <f>AND(M_Micoud_South!D8,"AAAAAH7J1g0=")</f>
        <v>1</v>
      </c>
      <c r="O39" s="1" t="b">
        <f>AND(M_Micoud_South!E8,"AAAAAH7J1g4=")</f>
        <v>1</v>
      </c>
      <c r="P39" s="1" t="b">
        <f>AND(M_Micoud_South!F8,"AAAAAH7J1g8=")</f>
        <v>1</v>
      </c>
      <c r="Q39" s="1" t="e">
        <f>AND(M_Micoud_South!#REF!,"AAAAAH7J1hA=")</f>
        <v>#REF!</v>
      </c>
      <c r="R39" s="1" t="e">
        <f>AND(M_Micoud_South!#REF!,"AAAAAH7J1hE=")</f>
        <v>#REF!</v>
      </c>
      <c r="S39" s="1" t="b">
        <f>AND(M_Micoud_South!G8,"AAAAAH7J1hI=")</f>
        <v>1</v>
      </c>
      <c r="T39" s="1" t="b">
        <f>AND(M_Micoud_South!H8,"AAAAAH7J1hM=")</f>
        <v>1</v>
      </c>
      <c r="U39" s="1" t="b">
        <f>AND(M_Micoud_South!I8,"AAAAAH7J1hQ=")</f>
        <v>1</v>
      </c>
      <c r="V39" s="1" t="b">
        <f>AND(M_Micoud_South!J8,"AAAAAH7J1hU=")</f>
        <v>1</v>
      </c>
      <c r="W39" s="1" t="b">
        <f>AND(M_Micoud_South!K8,"AAAAAH7J1hY=")</f>
        <v>1</v>
      </c>
      <c r="X39" s="1" t="b">
        <f>AND(M_Micoud_South!L8,"AAAAAH7J1hc=")</f>
        <v>1</v>
      </c>
      <c r="Y39" s="1">
        <f>IF(M_Micoud_South!10:10,"AAAAAH7J1hg=",0)</f>
        <v>0</v>
      </c>
      <c r="Z39" s="1" t="e">
        <f>AND(M_Micoud_South!A10,"AAAAAH7J1hk=")</f>
        <v>#VALUE!</v>
      </c>
      <c r="AA39" s="1" t="e">
        <f>AND(M_Micoud_South!B10,"AAAAAH7J1ho=")</f>
        <v>#VALUE!</v>
      </c>
      <c r="AB39" s="1" t="e">
        <f>AND(M_Micoud_South!C10,"AAAAAH7J1hs=")</f>
        <v>#VALUE!</v>
      </c>
      <c r="AC39" s="1" t="e">
        <f>AND(M_Micoud_South!D10,"AAAAAH7J1hw=")</f>
        <v>#VALUE!</v>
      </c>
      <c r="AD39" s="1" t="e">
        <f>AND(M_Micoud_South!E10,"AAAAAH7J1h0=")</f>
        <v>#VALUE!</v>
      </c>
      <c r="AE39" s="1" t="e">
        <f>AND(M_Micoud_South!F10,"AAAAAH7J1h4=")</f>
        <v>#VALUE!</v>
      </c>
      <c r="AF39" s="1" t="e">
        <f>AND(M_Micoud_South!#REF!,"AAAAAH7J1h8=")</f>
        <v>#REF!</v>
      </c>
      <c r="AG39" s="1" t="e">
        <f>AND(M_Micoud_South!#REF!,"AAAAAH7J1iA=")</f>
        <v>#REF!</v>
      </c>
      <c r="AH39" s="1" t="e">
        <f>AND(M_Micoud_South!G10,"AAAAAH7J1iE=")</f>
        <v>#VALUE!</v>
      </c>
      <c r="AI39" s="1" t="e">
        <f>AND(M_Micoud_South!H10,"AAAAAH7J1iI=")</f>
        <v>#VALUE!</v>
      </c>
      <c r="AJ39" s="1" t="e">
        <f>AND(M_Micoud_South!I10,"AAAAAH7J1iM=")</f>
        <v>#VALUE!</v>
      </c>
      <c r="AK39" s="1" t="e">
        <f>AND(M_Micoud_South!J10,"AAAAAH7J1iQ=")</f>
        <v>#VALUE!</v>
      </c>
      <c r="AL39" s="1" t="e">
        <f>AND(M_Micoud_South!K10,"AAAAAH7J1iU=")</f>
        <v>#VALUE!</v>
      </c>
      <c r="AM39" s="1" t="e">
        <f>AND(M_Micoud_South!L10,"AAAAAH7J1iY=")</f>
        <v>#VALUE!</v>
      </c>
      <c r="AN39" s="1">
        <f>IF(M_Micoud_South!11:11,"AAAAAH7J1ic=",0)</f>
        <v>0</v>
      </c>
      <c r="AO39" s="1" t="e">
        <f>AND(M_Micoud_South!A11,"AAAAAH7J1ig=")</f>
        <v>#VALUE!</v>
      </c>
      <c r="AP39" s="1" t="b">
        <f>AND(M_Micoud_South!B11,"AAAAAH7J1ik=")</f>
        <v>1</v>
      </c>
      <c r="AQ39" s="1" t="b">
        <f>AND(M_Micoud_South!C11,"AAAAAH7J1io=")</f>
        <v>1</v>
      </c>
      <c r="AR39" s="1" t="b">
        <f>AND(M_Micoud_South!D11,"AAAAAH7J1is=")</f>
        <v>1</v>
      </c>
      <c r="AS39" s="1" t="b">
        <f>AND(M_Micoud_South!E11,"AAAAAH7J1iw=")</f>
        <v>1</v>
      </c>
      <c r="AT39" s="1" t="b">
        <f>AND(M_Micoud_South!F11,"AAAAAH7J1i0=")</f>
        <v>1</v>
      </c>
      <c r="AU39" s="1" t="e">
        <f>AND(M_Micoud_South!#REF!,"AAAAAH7J1i4=")</f>
        <v>#REF!</v>
      </c>
      <c r="AV39" s="1" t="e">
        <f>AND(M_Micoud_South!#REF!,"AAAAAH7J1i8=")</f>
        <v>#REF!</v>
      </c>
      <c r="AW39" s="1" t="b">
        <f>AND(M_Micoud_South!G11,"AAAAAH7J1jA=")</f>
        <v>1</v>
      </c>
      <c r="AX39" s="1" t="b">
        <f>AND(M_Micoud_South!H11,"AAAAAH7J1jE=")</f>
        <v>1</v>
      </c>
      <c r="AY39" s="1" t="b">
        <f>AND(M_Micoud_South!I11,"AAAAAH7J1jI=")</f>
        <v>1</v>
      </c>
      <c r="AZ39" s="1" t="b">
        <f>AND(M_Micoud_South!J11,"AAAAAH7J1jM=")</f>
        <v>1</v>
      </c>
      <c r="BA39" s="1" t="b">
        <f>AND(M_Micoud_South!K11,"AAAAAH7J1jQ=")</f>
        <v>1</v>
      </c>
      <c r="BB39" s="1" t="b">
        <f>AND(M_Micoud_South!L11,"AAAAAH7J1jU=")</f>
        <v>1</v>
      </c>
      <c r="BC39" s="1">
        <f>IF(M_Micoud_South!12:12,"AAAAAH7J1jY=",0)</f>
        <v>0</v>
      </c>
      <c r="BD39" s="1" t="e">
        <f>AND(M_Micoud_South!A12,"AAAAAH7J1jc=")</f>
        <v>#VALUE!</v>
      </c>
      <c r="BE39" s="1" t="b">
        <f>AND(M_Micoud_South!B12,"AAAAAH7J1jg=")</f>
        <v>1</v>
      </c>
      <c r="BF39" s="1" t="b">
        <f>AND(M_Micoud_South!C12,"AAAAAH7J1jk=")</f>
        <v>1</v>
      </c>
      <c r="BG39" s="1" t="b">
        <f>AND(M_Micoud_South!D12,"AAAAAH7J1jo=")</f>
        <v>1</v>
      </c>
      <c r="BH39" s="1" t="b">
        <f>AND(M_Micoud_South!E12,"AAAAAH7J1js=")</f>
        <v>1</v>
      </c>
      <c r="BI39" s="1" t="b">
        <f>AND(M_Micoud_South!F12,"AAAAAH7J1jw=")</f>
        <v>1</v>
      </c>
      <c r="BJ39" s="1" t="e">
        <f>AND(M_Micoud_South!#REF!,"AAAAAH7J1j0=")</f>
        <v>#REF!</v>
      </c>
      <c r="BK39" s="1" t="e">
        <f>AND(M_Micoud_South!#REF!,"AAAAAH7J1j4=")</f>
        <v>#REF!</v>
      </c>
      <c r="BL39" s="1" t="b">
        <f>AND(M_Micoud_South!G12,"AAAAAH7J1j8=")</f>
        <v>1</v>
      </c>
      <c r="BM39" s="1" t="b">
        <f>AND(M_Micoud_South!H12,"AAAAAH7J1kA=")</f>
        <v>1</v>
      </c>
      <c r="BN39" s="1" t="b">
        <f>AND(M_Micoud_South!I12,"AAAAAH7J1kE=")</f>
        <v>1</v>
      </c>
      <c r="BO39" s="1" t="b">
        <f>AND(M_Micoud_South!J12,"AAAAAH7J1kI=")</f>
        <v>1</v>
      </c>
      <c r="BP39" s="1" t="b">
        <f>AND(M_Micoud_South!K12,"AAAAAH7J1kM=")</f>
        <v>1</v>
      </c>
      <c r="BQ39" s="1" t="b">
        <f>AND(M_Micoud_South!L12,"AAAAAH7J1kQ=")</f>
        <v>1</v>
      </c>
      <c r="BR39" s="1">
        <f>IF(M_Micoud_South!13:13,"AAAAAH7J1kU=",0)</f>
        <v>0</v>
      </c>
      <c r="BS39" s="1" t="e">
        <f>AND(M_Micoud_South!A13,"AAAAAH7J1kY=")</f>
        <v>#VALUE!</v>
      </c>
      <c r="BT39" s="1" t="b">
        <f>AND(M_Micoud_South!B13,"AAAAAH7J1kc=")</f>
        <v>1</v>
      </c>
      <c r="BU39" s="1" t="b">
        <f>AND(M_Micoud_South!C13,"AAAAAH7J1kg=")</f>
        <v>1</v>
      </c>
      <c r="BV39" s="1" t="b">
        <f>AND(M_Micoud_South!D13,"AAAAAH7J1kk=")</f>
        <v>1</v>
      </c>
      <c r="BW39" s="1" t="b">
        <f>AND(M_Micoud_South!E13,"AAAAAH7J1ko=")</f>
        <v>1</v>
      </c>
      <c r="BX39" s="1" t="b">
        <f>AND(M_Micoud_South!F13,"AAAAAH7J1ks=")</f>
        <v>1</v>
      </c>
      <c r="BY39" s="1" t="e">
        <f>AND(M_Micoud_South!#REF!,"AAAAAH7J1kw=")</f>
        <v>#REF!</v>
      </c>
      <c r="BZ39" s="1" t="e">
        <f>AND(M_Micoud_South!#REF!,"AAAAAH7J1k0=")</f>
        <v>#REF!</v>
      </c>
      <c r="CA39" s="1" t="b">
        <f>AND(M_Micoud_South!G13,"AAAAAH7J1k4=")</f>
        <v>1</v>
      </c>
      <c r="CB39" s="1" t="b">
        <f>AND(M_Micoud_South!H13,"AAAAAH7J1k8=")</f>
        <v>1</v>
      </c>
      <c r="CC39" s="1" t="b">
        <f>AND(M_Micoud_South!I13,"AAAAAH7J1lA=")</f>
        <v>1</v>
      </c>
      <c r="CD39" s="1" t="b">
        <f>AND(M_Micoud_South!J13,"AAAAAH7J1lE=")</f>
        <v>1</v>
      </c>
      <c r="CE39" s="1" t="b">
        <f>AND(M_Micoud_South!K13,"AAAAAH7J1lI=")</f>
        <v>1</v>
      </c>
      <c r="CF39" s="1" t="b">
        <f>AND(M_Micoud_South!L13,"AAAAAH7J1lM=")</f>
        <v>1</v>
      </c>
      <c r="CG39" s="1">
        <f>IF(M_Micoud_South!14:14,"AAAAAH7J1lQ=",0)</f>
        <v>0</v>
      </c>
      <c r="CH39" s="1" t="e">
        <f>AND(M_Micoud_South!A14,"AAAAAH7J1lU=")</f>
        <v>#VALUE!</v>
      </c>
      <c r="CI39" s="1" t="b">
        <f>AND(M_Micoud_South!B14,"AAAAAH7J1lY=")</f>
        <v>1</v>
      </c>
      <c r="CJ39" s="1" t="b">
        <f>AND(M_Micoud_South!C14,"AAAAAH7J1lc=")</f>
        <v>1</v>
      </c>
      <c r="CK39" s="1" t="b">
        <f>AND(M_Micoud_South!D14,"AAAAAH7J1lg=")</f>
        <v>1</v>
      </c>
      <c r="CL39" s="1" t="b">
        <f>AND(M_Micoud_South!E14,"AAAAAH7J1lk=")</f>
        <v>1</v>
      </c>
      <c r="CM39" s="1" t="b">
        <f>AND(M_Micoud_South!F14,"AAAAAH7J1lo=")</f>
        <v>1</v>
      </c>
      <c r="CN39" s="1" t="e">
        <f>AND(M_Micoud_South!#REF!,"AAAAAH7J1ls=")</f>
        <v>#REF!</v>
      </c>
      <c r="CO39" s="1" t="e">
        <f>AND(M_Micoud_South!#REF!,"AAAAAH7J1lw=")</f>
        <v>#REF!</v>
      </c>
      <c r="CP39" s="1" t="b">
        <f>AND(M_Micoud_South!G14,"AAAAAH7J1l0=")</f>
        <v>1</v>
      </c>
      <c r="CQ39" s="1" t="b">
        <f>AND(M_Micoud_South!H14,"AAAAAH7J1l4=")</f>
        <v>1</v>
      </c>
      <c r="CR39" s="1" t="b">
        <f>AND(M_Micoud_South!I14,"AAAAAH7J1l8=")</f>
        <v>1</v>
      </c>
      <c r="CS39" s="1" t="b">
        <f>AND(M_Micoud_South!J14,"AAAAAH7J1mA=")</f>
        <v>1</v>
      </c>
      <c r="CT39" s="1" t="b">
        <f>AND(M_Micoud_South!K14,"AAAAAH7J1mE=")</f>
        <v>1</v>
      </c>
      <c r="CU39" s="1" t="b">
        <f>AND(M_Micoud_South!L14,"AAAAAH7J1mI=")</f>
        <v>1</v>
      </c>
      <c r="CV39" s="1" t="e">
        <f>IF(M_Micoud_South!#REF!,"AAAAAH7J1mM=",0)</f>
        <v>#REF!</v>
      </c>
      <c r="CW39" s="1" t="e">
        <f>AND(M_Micoud_South!#REF!,"AAAAAH7J1mQ=")</f>
        <v>#REF!</v>
      </c>
      <c r="CX39" s="1" t="e">
        <f>AND(M_Micoud_South!#REF!,"AAAAAH7J1mU=")</f>
        <v>#REF!</v>
      </c>
      <c r="CY39" s="1" t="e">
        <f>AND(M_Micoud_South!#REF!,"AAAAAH7J1mY=")</f>
        <v>#REF!</v>
      </c>
      <c r="CZ39" s="1" t="e">
        <f>AND(M_Micoud_South!#REF!,"AAAAAH7J1mc=")</f>
        <v>#REF!</v>
      </c>
      <c r="DA39" s="1" t="e">
        <f>AND(M_Micoud_South!#REF!,"AAAAAH7J1mg=")</f>
        <v>#REF!</v>
      </c>
      <c r="DB39" s="1" t="e">
        <f>AND(M_Micoud_South!#REF!,"AAAAAH7J1mk=")</f>
        <v>#REF!</v>
      </c>
      <c r="DC39" s="1" t="e">
        <f>AND(M_Micoud_South!#REF!,"AAAAAH7J1mo=")</f>
        <v>#REF!</v>
      </c>
      <c r="DD39" s="1" t="e">
        <f>AND(M_Micoud_South!#REF!,"AAAAAH7J1ms=")</f>
        <v>#REF!</v>
      </c>
      <c r="DE39" s="1" t="e">
        <f>AND(M_Micoud_South!#REF!,"AAAAAH7J1mw=")</f>
        <v>#REF!</v>
      </c>
      <c r="DF39" s="1" t="e">
        <f>AND(M_Micoud_South!#REF!,"AAAAAH7J1m0=")</f>
        <v>#REF!</v>
      </c>
      <c r="DG39" s="1" t="e">
        <f>AND(M_Micoud_South!#REF!,"AAAAAH7J1m4=")</f>
        <v>#REF!</v>
      </c>
      <c r="DH39" s="1" t="e">
        <f>AND(M_Micoud_South!#REF!,"AAAAAH7J1m8=")</f>
        <v>#REF!</v>
      </c>
      <c r="DI39" s="1" t="e">
        <f>AND(M_Micoud_South!#REF!,"AAAAAH7J1nA=")</f>
        <v>#REF!</v>
      </c>
      <c r="DJ39" s="1" t="e">
        <f>AND(M_Micoud_South!#REF!,"AAAAAH7J1nE=")</f>
        <v>#REF!</v>
      </c>
      <c r="DK39" s="1" t="e">
        <f>IF(M_Micoud_South!#REF!,"AAAAAH7J1nI=",0)</f>
        <v>#REF!</v>
      </c>
      <c r="DL39" s="1" t="e">
        <f>AND(M_Micoud_South!#REF!,"AAAAAH7J1nM=")</f>
        <v>#REF!</v>
      </c>
      <c r="DM39" s="1" t="e">
        <f>AND(M_Micoud_South!#REF!,"AAAAAH7J1nQ=")</f>
        <v>#REF!</v>
      </c>
      <c r="DN39" s="1" t="e">
        <f>AND(M_Micoud_South!#REF!,"AAAAAH7J1nU=")</f>
        <v>#REF!</v>
      </c>
      <c r="DO39" s="1" t="e">
        <f>AND(M_Micoud_South!#REF!,"AAAAAH7J1nY=")</f>
        <v>#REF!</v>
      </c>
      <c r="DP39" s="1" t="e">
        <f>AND(M_Micoud_South!#REF!,"AAAAAH7J1nc=")</f>
        <v>#REF!</v>
      </c>
      <c r="DQ39" s="1" t="e">
        <f>AND(M_Micoud_South!#REF!,"AAAAAH7J1ng=")</f>
        <v>#REF!</v>
      </c>
      <c r="DR39" s="1" t="e">
        <f>AND(M_Micoud_South!#REF!,"AAAAAH7J1nk=")</f>
        <v>#REF!</v>
      </c>
      <c r="DS39" s="1" t="e">
        <f>AND(M_Micoud_South!#REF!,"AAAAAH7J1no=")</f>
        <v>#REF!</v>
      </c>
      <c r="DT39" s="1" t="e">
        <f>AND(M_Micoud_South!#REF!,"AAAAAH7J1ns=")</f>
        <v>#REF!</v>
      </c>
      <c r="DU39" s="1" t="e">
        <f>AND(M_Micoud_South!#REF!,"AAAAAH7J1nw=")</f>
        <v>#REF!</v>
      </c>
      <c r="DV39" s="1" t="e">
        <f>AND(M_Micoud_South!#REF!,"AAAAAH7J1n0=")</f>
        <v>#REF!</v>
      </c>
      <c r="DW39" s="1" t="e">
        <f>AND(M_Micoud_South!#REF!,"AAAAAH7J1n4=")</f>
        <v>#REF!</v>
      </c>
      <c r="DX39" s="1" t="e">
        <f>AND(M_Micoud_South!#REF!,"AAAAAH7J1n8=")</f>
        <v>#REF!</v>
      </c>
      <c r="DY39" s="1" t="e">
        <f>AND(M_Micoud_South!#REF!,"AAAAAH7J1oA=")</f>
        <v>#REF!</v>
      </c>
      <c r="DZ39" s="1">
        <f>IF(M_Micoud_South!15:15,"AAAAAH7J1oE=",0)</f>
        <v>0</v>
      </c>
      <c r="EA39" s="1" t="e">
        <f>AND(M_Micoud_South!A15,"AAAAAH7J1oI=")</f>
        <v>#VALUE!</v>
      </c>
      <c r="EB39" s="1" t="b">
        <f>AND(M_Micoud_South!B15,"AAAAAH7J1oM=")</f>
        <v>1</v>
      </c>
      <c r="EC39" s="1" t="b">
        <f>AND(M_Micoud_South!C15,"AAAAAH7J1oQ=")</f>
        <v>1</v>
      </c>
      <c r="ED39" s="1" t="b">
        <f>AND(M_Micoud_South!D15,"AAAAAH7J1oU=")</f>
        <v>1</v>
      </c>
      <c r="EE39" s="1" t="b">
        <f>AND(M_Micoud_South!E15,"AAAAAH7J1oY=")</f>
        <v>1</v>
      </c>
      <c r="EF39" s="1" t="b">
        <f>AND(M_Micoud_South!F15,"AAAAAH7J1oc=")</f>
        <v>1</v>
      </c>
      <c r="EG39" s="1" t="e">
        <f>AND(M_Micoud_South!#REF!,"AAAAAH7J1og=")</f>
        <v>#REF!</v>
      </c>
      <c r="EH39" s="1" t="e">
        <f>AND(M_Micoud_South!#REF!,"AAAAAH7J1ok=")</f>
        <v>#REF!</v>
      </c>
      <c r="EI39" s="1" t="b">
        <f>AND(M_Micoud_South!G15,"AAAAAH7J1oo=")</f>
        <v>1</v>
      </c>
      <c r="EJ39" s="1" t="b">
        <f>AND(M_Micoud_South!H15,"AAAAAH7J1os=")</f>
        <v>1</v>
      </c>
      <c r="EK39" s="1" t="b">
        <f>AND(M_Micoud_South!I15,"AAAAAH7J1ow=")</f>
        <v>1</v>
      </c>
      <c r="EL39" s="1" t="b">
        <f>AND(M_Micoud_South!J15,"AAAAAH7J1o0=")</f>
        <v>1</v>
      </c>
      <c r="EM39" s="1" t="b">
        <f>AND(M_Micoud_South!K15,"AAAAAH7J1o4=")</f>
        <v>1</v>
      </c>
      <c r="EN39" s="1" t="b">
        <f>AND(M_Micoud_South!L15,"AAAAAH7J1o8=")</f>
        <v>1</v>
      </c>
      <c r="EO39" s="1">
        <f>IF(M_Micoud_South!17:17,"AAAAAH7J1pA=",0)</f>
        <v>0</v>
      </c>
      <c r="EP39" s="1" t="e">
        <f>AND(M_Micoud_South!A17,"AAAAAH7J1pE=")</f>
        <v>#VALUE!</v>
      </c>
      <c r="EQ39" s="1" t="e">
        <f>AND(M_Micoud_South!B17,"AAAAAH7J1pI=")</f>
        <v>#VALUE!</v>
      </c>
      <c r="ER39" s="1" t="e">
        <f>AND(M_Micoud_South!C17,"AAAAAH7J1pM=")</f>
        <v>#VALUE!</v>
      </c>
      <c r="ES39" s="1" t="e">
        <f>AND(M_Micoud_South!D17,"AAAAAH7J1pQ=")</f>
        <v>#VALUE!</v>
      </c>
      <c r="ET39" s="1" t="e">
        <f>AND(M_Micoud_South!E17,"AAAAAH7J1pU=")</f>
        <v>#VALUE!</v>
      </c>
      <c r="EU39" s="1" t="e">
        <f>AND(M_Micoud_South!F17,"AAAAAH7J1pY=")</f>
        <v>#VALUE!</v>
      </c>
      <c r="EV39" s="1" t="e">
        <f>AND(M_Micoud_South!#REF!,"AAAAAH7J1pc=")</f>
        <v>#REF!</v>
      </c>
      <c r="EW39" s="1" t="e">
        <f>AND(M_Micoud_South!#REF!,"AAAAAH7J1pg=")</f>
        <v>#REF!</v>
      </c>
      <c r="EX39" s="1" t="e">
        <f>AND(M_Micoud_South!G17,"AAAAAH7J1pk=")</f>
        <v>#VALUE!</v>
      </c>
      <c r="EY39" s="1" t="e">
        <f>AND(M_Micoud_South!H17,"AAAAAH7J1po=")</f>
        <v>#VALUE!</v>
      </c>
      <c r="EZ39" s="1" t="e">
        <f>AND(M_Micoud_South!I17,"AAAAAH7J1ps=")</f>
        <v>#VALUE!</v>
      </c>
      <c r="FA39" s="1" t="e">
        <f>AND(M_Micoud_South!J17,"AAAAAH7J1pw=")</f>
        <v>#VALUE!</v>
      </c>
      <c r="FB39" s="1" t="e">
        <f>AND(M_Micoud_South!K17,"AAAAAH7J1p0=")</f>
        <v>#VALUE!</v>
      </c>
      <c r="FC39" s="1" t="e">
        <f>AND(M_Micoud_South!L17,"AAAAAH7J1p4=")</f>
        <v>#VALUE!</v>
      </c>
      <c r="FD39" s="1">
        <f>IF(M_Micoud_South!18:18,"AAAAAH7J1p8=",0)</f>
        <v>0</v>
      </c>
      <c r="FE39" s="1" t="e">
        <f>AND(M_Micoud_South!A18,"AAAAAH7J1qA=")</f>
        <v>#VALUE!</v>
      </c>
      <c r="FF39" s="1" t="b">
        <f>AND(M_Micoud_South!B18,"AAAAAH7J1qE=")</f>
        <v>1</v>
      </c>
      <c r="FG39" s="1" t="b">
        <f>AND(M_Micoud_South!C18,"AAAAAH7J1qI=")</f>
        <v>1</v>
      </c>
      <c r="FH39" s="1" t="b">
        <f>AND(M_Micoud_South!D18,"AAAAAH7J1qM=")</f>
        <v>1</v>
      </c>
      <c r="FI39" s="1" t="b">
        <f>AND(M_Micoud_South!E18,"AAAAAH7J1qQ=")</f>
        <v>1</v>
      </c>
      <c r="FJ39" s="1" t="b">
        <f>AND(M_Micoud_South!F18,"AAAAAH7J1qU=")</f>
        <v>1</v>
      </c>
      <c r="FK39" s="1" t="e">
        <f>AND(M_Micoud_South!#REF!,"AAAAAH7J1qY=")</f>
        <v>#REF!</v>
      </c>
      <c r="FL39" s="1" t="e">
        <f>AND(M_Micoud_South!#REF!,"AAAAAH7J1qc=")</f>
        <v>#REF!</v>
      </c>
      <c r="FM39" s="1" t="b">
        <f>AND(M_Micoud_South!G18,"AAAAAH7J1qg=")</f>
        <v>1</v>
      </c>
      <c r="FN39" s="1" t="b">
        <f>AND(M_Micoud_South!H18,"AAAAAH7J1qk=")</f>
        <v>1</v>
      </c>
      <c r="FO39" s="1" t="b">
        <f>AND(M_Micoud_South!I18,"AAAAAH7J1qo=")</f>
        <v>1</v>
      </c>
      <c r="FP39" s="1" t="b">
        <f>AND(M_Micoud_South!J18,"AAAAAH7J1qs=")</f>
        <v>1</v>
      </c>
      <c r="FQ39" s="1" t="b">
        <f>AND(M_Micoud_South!K18,"AAAAAH7J1qw=")</f>
        <v>1</v>
      </c>
      <c r="FR39" s="1" t="b">
        <f>AND(M_Micoud_South!L18,"AAAAAH7J1q0=")</f>
        <v>1</v>
      </c>
      <c r="FS39" s="1">
        <f>IF(M_Micoud_South!20:20,"AAAAAH7J1q4=",0)</f>
        <v>0</v>
      </c>
      <c r="FT39" s="1" t="e">
        <f>AND(M_Micoud_South!A20,"AAAAAH7J1q8=")</f>
        <v>#VALUE!</v>
      </c>
      <c r="FU39" s="1" t="e">
        <f>AND(M_Micoud_South!B20,"AAAAAH7J1rA=")</f>
        <v>#VALUE!</v>
      </c>
      <c r="FV39" s="1" t="e">
        <f>AND(M_Micoud_South!C20,"AAAAAH7J1rE=")</f>
        <v>#VALUE!</v>
      </c>
      <c r="FW39" s="1" t="e">
        <f>AND(M_Micoud_South!D20,"AAAAAH7J1rI=")</f>
        <v>#VALUE!</v>
      </c>
      <c r="FX39" s="1" t="e">
        <f>AND(M_Micoud_South!E20,"AAAAAH7J1rM=")</f>
        <v>#VALUE!</v>
      </c>
      <c r="FY39" s="1" t="e">
        <f>AND(M_Micoud_South!F20,"AAAAAH7J1rQ=")</f>
        <v>#VALUE!</v>
      </c>
      <c r="FZ39" s="1" t="e">
        <f>AND(M_Micoud_South!#REF!,"AAAAAH7J1rU=")</f>
        <v>#REF!</v>
      </c>
      <c r="GA39" s="1" t="e">
        <f>AND(M_Micoud_South!#REF!,"AAAAAH7J1rY=")</f>
        <v>#REF!</v>
      </c>
      <c r="GB39" s="1" t="e">
        <f>AND(M_Micoud_South!G20,"AAAAAH7J1rc=")</f>
        <v>#VALUE!</v>
      </c>
      <c r="GC39" s="1" t="e">
        <f>AND(M_Micoud_South!H20,"AAAAAH7J1rg=")</f>
        <v>#VALUE!</v>
      </c>
      <c r="GD39" s="1" t="e">
        <f>AND(M_Micoud_South!I20,"AAAAAH7J1rk=")</f>
        <v>#VALUE!</v>
      </c>
      <c r="GE39" s="1" t="e">
        <f>AND(M_Micoud_South!J20,"AAAAAH7J1ro=")</f>
        <v>#VALUE!</v>
      </c>
      <c r="GF39" s="1" t="e">
        <f>AND(M_Micoud_South!K20,"AAAAAH7J1rs=")</f>
        <v>#VALUE!</v>
      </c>
      <c r="GG39" s="1" t="e">
        <f>AND(M_Micoud_South!L20,"AAAAAH7J1rw=")</f>
        <v>#VALUE!</v>
      </c>
      <c r="GH39" s="1">
        <f>IF(M_Micoud_South!21:21,"AAAAAH7J1r0=",0)</f>
        <v>0</v>
      </c>
      <c r="GI39" s="1" t="e">
        <f>AND(M_Micoud_South!A21,"AAAAAH7J1r4=")</f>
        <v>#VALUE!</v>
      </c>
      <c r="GJ39" s="1" t="b">
        <f>AND(M_Micoud_South!B21,"AAAAAH7J1r8=")</f>
        <v>1</v>
      </c>
      <c r="GK39" s="1" t="b">
        <f>AND(M_Micoud_South!C21,"AAAAAH7J1sA=")</f>
        <v>1</v>
      </c>
      <c r="GL39" s="1" t="b">
        <f>AND(M_Micoud_South!D21,"AAAAAH7J1sE=")</f>
        <v>1</v>
      </c>
      <c r="GM39" s="1" t="b">
        <f>AND(M_Micoud_South!E21,"AAAAAH7J1sI=")</f>
        <v>1</v>
      </c>
      <c r="GN39" s="1" t="b">
        <f>AND(M_Micoud_South!F21,"AAAAAH7J1sM=")</f>
        <v>1</v>
      </c>
      <c r="GO39" s="1" t="e">
        <f>AND(M_Micoud_South!#REF!,"AAAAAH7J1sQ=")</f>
        <v>#REF!</v>
      </c>
      <c r="GP39" s="1" t="e">
        <f>AND(M_Micoud_South!#REF!,"AAAAAH7J1sU=")</f>
        <v>#REF!</v>
      </c>
      <c r="GQ39" s="1" t="b">
        <f>AND(M_Micoud_South!G21,"AAAAAH7J1sY=")</f>
        <v>1</v>
      </c>
      <c r="GR39" s="1" t="b">
        <f>AND(M_Micoud_South!H21,"AAAAAH7J1sc=")</f>
        <v>1</v>
      </c>
      <c r="GS39" s="1" t="b">
        <f>AND(M_Micoud_South!I21,"AAAAAH7J1sg=")</f>
        <v>1</v>
      </c>
      <c r="GT39" s="1" t="b">
        <f>AND(M_Micoud_South!J21,"AAAAAH7J1sk=")</f>
        <v>1</v>
      </c>
      <c r="GU39" s="1" t="b">
        <f>AND(M_Micoud_South!K21,"AAAAAH7J1so=")</f>
        <v>1</v>
      </c>
      <c r="GV39" s="1" t="b">
        <f>AND(M_Micoud_South!L21,"AAAAAH7J1ss=")</f>
        <v>1</v>
      </c>
      <c r="GW39" s="1">
        <f>IF(M_Micoud_South!22:22,"AAAAAH7J1sw=",0)</f>
        <v>0</v>
      </c>
      <c r="GX39" s="1" t="e">
        <f>AND(M_Micoud_South!A22,"AAAAAH7J1s0=")</f>
        <v>#VALUE!</v>
      </c>
      <c r="GY39" s="1" t="b">
        <f>AND(M_Micoud_South!B22,"AAAAAH7J1s4=")</f>
        <v>1</v>
      </c>
      <c r="GZ39" s="1" t="b">
        <f>AND(M_Micoud_South!C22,"AAAAAH7J1s8=")</f>
        <v>1</v>
      </c>
      <c r="HA39" s="1" t="b">
        <f>AND(M_Micoud_South!D22,"AAAAAH7J1tA=")</f>
        <v>1</v>
      </c>
      <c r="HB39" s="1" t="b">
        <f>AND(M_Micoud_South!E22,"AAAAAH7J1tE=")</f>
        <v>1</v>
      </c>
      <c r="HC39" s="1" t="b">
        <f>AND(M_Micoud_South!F22,"AAAAAH7J1tI=")</f>
        <v>1</v>
      </c>
      <c r="HD39" s="1" t="e">
        <f>AND(M_Micoud_South!#REF!,"AAAAAH7J1tM=")</f>
        <v>#REF!</v>
      </c>
      <c r="HE39" s="1" t="e">
        <f>AND(M_Micoud_South!#REF!,"AAAAAH7J1tQ=")</f>
        <v>#REF!</v>
      </c>
      <c r="HF39" s="1" t="b">
        <f>AND(M_Micoud_South!G22,"AAAAAH7J1tU=")</f>
        <v>1</v>
      </c>
      <c r="HG39" s="1" t="b">
        <f>AND(M_Micoud_South!H22,"AAAAAH7J1tY=")</f>
        <v>1</v>
      </c>
      <c r="HH39" s="1" t="b">
        <f>AND(M_Micoud_South!I22,"AAAAAH7J1tc=")</f>
        <v>1</v>
      </c>
      <c r="HI39" s="1" t="b">
        <f>AND(M_Micoud_South!J22,"AAAAAH7J1tg=")</f>
        <v>1</v>
      </c>
      <c r="HJ39" s="1" t="b">
        <f>AND(M_Micoud_South!K22,"AAAAAH7J1tk=")</f>
        <v>1</v>
      </c>
      <c r="HK39" s="1" t="b">
        <f>AND(M_Micoud_South!L22,"AAAAAH7J1to=")</f>
        <v>1</v>
      </c>
      <c r="HL39" s="1">
        <f>IF(M_Micoud_South!23:23,"AAAAAH7J1ts=",0)</f>
        <v>0</v>
      </c>
      <c r="HM39" s="1" t="e">
        <f>AND(M_Micoud_South!A23,"AAAAAH7J1tw=")</f>
        <v>#VALUE!</v>
      </c>
      <c r="HN39" s="1" t="b">
        <f>AND(M_Micoud_South!B23,"AAAAAH7J1t0=")</f>
        <v>1</v>
      </c>
      <c r="HO39" s="1" t="b">
        <f>AND(M_Micoud_South!C23,"AAAAAH7J1t4=")</f>
        <v>1</v>
      </c>
      <c r="HP39" s="1" t="b">
        <f>AND(M_Micoud_South!D23,"AAAAAH7J1t8=")</f>
        <v>1</v>
      </c>
      <c r="HQ39" s="1" t="b">
        <f>AND(M_Micoud_South!E23,"AAAAAH7J1uA=")</f>
        <v>1</v>
      </c>
      <c r="HR39" s="1" t="b">
        <f>AND(M_Micoud_South!F23,"AAAAAH7J1uE=")</f>
        <v>1</v>
      </c>
      <c r="HS39" s="1" t="e">
        <f>AND(M_Micoud_South!#REF!,"AAAAAH7J1uI=")</f>
        <v>#REF!</v>
      </c>
      <c r="HT39" s="1" t="e">
        <f>AND(M_Micoud_South!#REF!,"AAAAAH7J1uM=")</f>
        <v>#REF!</v>
      </c>
      <c r="HU39" s="1" t="b">
        <f>AND(M_Micoud_South!G23,"AAAAAH7J1uQ=")</f>
        <v>1</v>
      </c>
      <c r="HV39" s="1" t="b">
        <f>AND(M_Micoud_South!H23,"AAAAAH7J1uU=")</f>
        <v>1</v>
      </c>
      <c r="HW39" s="1" t="b">
        <f>AND(M_Micoud_South!I23,"AAAAAH7J1uY=")</f>
        <v>1</v>
      </c>
      <c r="HX39" s="1" t="b">
        <f>AND(M_Micoud_South!J23,"AAAAAH7J1uc=")</f>
        <v>1</v>
      </c>
      <c r="HY39" s="1" t="b">
        <f>AND(M_Micoud_South!K23,"AAAAAH7J1ug=")</f>
        <v>1</v>
      </c>
      <c r="HZ39" s="1" t="b">
        <f>AND(M_Micoud_South!L23,"AAAAAH7J1uk=")</f>
        <v>1</v>
      </c>
      <c r="IA39" s="1">
        <f>IF(M_Micoud_South!25:25,"AAAAAH7J1uo=",0)</f>
        <v>0</v>
      </c>
      <c r="IB39" s="1" t="e">
        <f>AND(M_Micoud_South!A25,"AAAAAH7J1us=")</f>
        <v>#VALUE!</v>
      </c>
      <c r="IC39" s="1" t="e">
        <f>AND(M_Micoud_South!B25,"AAAAAH7J1uw=")</f>
        <v>#VALUE!</v>
      </c>
      <c r="ID39" s="1" t="e">
        <f>AND(M_Micoud_South!C25,"AAAAAH7J1u0=")</f>
        <v>#VALUE!</v>
      </c>
      <c r="IE39" s="1" t="e">
        <f>AND(M_Micoud_South!D25,"AAAAAH7J1u4=")</f>
        <v>#VALUE!</v>
      </c>
      <c r="IF39" s="1" t="e">
        <f>AND(M_Micoud_South!E25,"AAAAAH7J1u8=")</f>
        <v>#VALUE!</v>
      </c>
      <c r="IG39" s="1" t="e">
        <f>AND(M_Micoud_South!F25,"AAAAAH7J1vA=")</f>
        <v>#VALUE!</v>
      </c>
      <c r="IH39" s="1" t="e">
        <f>AND(M_Micoud_South!#REF!,"AAAAAH7J1vE=")</f>
        <v>#REF!</v>
      </c>
      <c r="II39" s="1" t="e">
        <f>AND(M_Micoud_South!#REF!,"AAAAAH7J1vI=")</f>
        <v>#REF!</v>
      </c>
      <c r="IJ39" s="1" t="e">
        <f>AND(M_Micoud_South!G25,"AAAAAH7J1vM=")</f>
        <v>#VALUE!</v>
      </c>
      <c r="IK39" s="1" t="e">
        <f>AND(M_Micoud_South!H25,"AAAAAH7J1vQ=")</f>
        <v>#VALUE!</v>
      </c>
      <c r="IL39" s="1" t="e">
        <f>AND(M_Micoud_South!I25,"AAAAAH7J1vU=")</f>
        <v>#VALUE!</v>
      </c>
      <c r="IM39" s="1" t="e">
        <f>AND(M_Micoud_South!J25,"AAAAAH7J1vY=")</f>
        <v>#VALUE!</v>
      </c>
      <c r="IN39" s="1" t="e">
        <f>AND(M_Micoud_South!K25,"AAAAAH7J1vc=")</f>
        <v>#VALUE!</v>
      </c>
      <c r="IO39" s="1" t="e">
        <f>AND(M_Micoud_South!L25,"AAAAAH7J1vg=")</f>
        <v>#VALUE!</v>
      </c>
      <c r="IP39" s="1">
        <f>IF(M_Micoud_South!26:26,"AAAAAH7J1vk=",0)</f>
        <v>0</v>
      </c>
      <c r="IQ39" s="1" t="e">
        <f>AND(M_Micoud_South!A26,"AAAAAH7J1vo=")</f>
        <v>#VALUE!</v>
      </c>
      <c r="IR39" s="1" t="b">
        <f>AND(M_Micoud_South!B26,"AAAAAH7J1vs=")</f>
        <v>1</v>
      </c>
      <c r="IS39" s="1" t="b">
        <f>AND(M_Micoud_South!C26,"AAAAAH7J1vw=")</f>
        <v>1</v>
      </c>
      <c r="IT39" s="1" t="b">
        <f>AND(M_Micoud_South!D26,"AAAAAH7J1v0=")</f>
        <v>1</v>
      </c>
      <c r="IU39" s="1" t="b">
        <f>AND(M_Micoud_South!E26,"AAAAAH7J1v4=")</f>
        <v>1</v>
      </c>
      <c r="IV39" s="1" t="b">
        <f>AND(M_Micoud_South!F26,"AAAAAH7J1v8=")</f>
        <v>1</v>
      </c>
    </row>
    <row r="40" spans="1:256" ht="12" customHeight="1" x14ac:dyDescent="0.2">
      <c r="A40" s="1" t="e">
        <f>AND(M_Micoud_South!#REF!,"AAAAADr93wA=")</f>
        <v>#REF!</v>
      </c>
      <c r="B40" s="1" t="e">
        <f>AND(M_Micoud_South!#REF!,"AAAAADr93wE=")</f>
        <v>#REF!</v>
      </c>
      <c r="C40" s="1" t="b">
        <f>AND(M_Micoud_South!G26,"AAAAADr93wI=")</f>
        <v>0</v>
      </c>
      <c r="D40" s="1" t="b">
        <f>AND(M_Micoud_South!H26,"AAAAADr93wM=")</f>
        <v>0</v>
      </c>
      <c r="E40" s="1" t="b">
        <f>AND(M_Micoud_South!I26,"AAAAADr93wQ=")</f>
        <v>1</v>
      </c>
      <c r="F40" s="1" t="b">
        <f>AND(M_Micoud_South!J26,"AAAAADr93wU=")</f>
        <v>1</v>
      </c>
      <c r="G40" s="1" t="b">
        <f>AND(M_Micoud_South!K26,"AAAAADr93wY=")</f>
        <v>1</v>
      </c>
      <c r="H40" s="1" t="b">
        <f>AND(M_Micoud_South!L26,"AAAAADr93wc=")</f>
        <v>1</v>
      </c>
      <c r="I40" s="1" t="str">
        <f>IF(M_Micoud_South!27:27,"AAAAADr93wg=",0)</f>
        <v>AAAAADr93wg=</v>
      </c>
      <c r="J40" s="1" t="e">
        <f>AND(M_Micoud_South!A27,"AAAAADr93wk=")</f>
        <v>#VALUE!</v>
      </c>
      <c r="K40" s="1" t="b">
        <f>AND(M_Micoud_South!B27,"AAAAADr93wo=")</f>
        <v>1</v>
      </c>
      <c r="L40" s="1" t="b">
        <f>AND(M_Micoud_South!C27,"AAAAADr93ws=")</f>
        <v>1</v>
      </c>
      <c r="M40" s="1" t="b">
        <f>AND(M_Micoud_South!D27,"AAAAADr93ww=")</f>
        <v>1</v>
      </c>
      <c r="N40" s="1" t="b">
        <f>AND(M_Micoud_South!E27,"AAAAADr93w0=")</f>
        <v>1</v>
      </c>
      <c r="O40" s="1" t="b">
        <f>AND(M_Micoud_South!F27,"AAAAADr93w4=")</f>
        <v>1</v>
      </c>
      <c r="P40" s="1" t="e">
        <f>AND(M_Micoud_South!#REF!,"AAAAADr93w8=")</f>
        <v>#REF!</v>
      </c>
      <c r="Q40" s="1" t="e">
        <f>AND(M_Micoud_South!#REF!,"AAAAADr93xA=")</f>
        <v>#REF!</v>
      </c>
      <c r="R40" s="1" t="b">
        <f>AND(M_Micoud_South!G27,"AAAAADr93xE=")</f>
        <v>1</v>
      </c>
      <c r="S40" s="1" t="b">
        <f>AND(M_Micoud_South!H27,"AAAAADr93xI=")</f>
        <v>1</v>
      </c>
      <c r="T40" s="1" t="b">
        <f>AND(M_Micoud_South!I27,"AAAAADr93xM=")</f>
        <v>1</v>
      </c>
      <c r="U40" s="1" t="b">
        <f>AND(M_Micoud_South!J27,"AAAAADr93xQ=")</f>
        <v>1</v>
      </c>
      <c r="V40" s="1" t="b">
        <f>AND(M_Micoud_South!K27,"AAAAADr93xU=")</f>
        <v>1</v>
      </c>
      <c r="W40" s="1" t="b">
        <f>AND(M_Micoud_South!L27,"AAAAADr93xY=")</f>
        <v>1</v>
      </c>
      <c r="X40" s="1">
        <f>IF(M_Micoud_South!28:28,"AAAAADr93xc=",0)</f>
        <v>0</v>
      </c>
      <c r="Y40" s="1" t="e">
        <f>AND(M_Micoud_South!A28,"AAAAADr93xg=")</f>
        <v>#VALUE!</v>
      </c>
      <c r="Z40" s="1" t="b">
        <f>AND(M_Micoud_South!B28,"AAAAADr93xk=")</f>
        <v>1</v>
      </c>
      <c r="AA40" s="1" t="b">
        <f>AND(M_Micoud_South!C28,"AAAAADr93xo=")</f>
        <v>1</v>
      </c>
      <c r="AB40" s="1" t="b">
        <f>AND(M_Micoud_South!D28,"AAAAADr93xs=")</f>
        <v>1</v>
      </c>
      <c r="AC40" s="1" t="b">
        <f>AND(M_Micoud_South!E28,"AAAAADr93xw=")</f>
        <v>1</v>
      </c>
      <c r="AD40" s="1" t="b">
        <f>AND(M_Micoud_South!F28,"AAAAADr93x0=")</f>
        <v>1</v>
      </c>
      <c r="AE40" s="1" t="e">
        <f>AND(M_Micoud_South!#REF!,"AAAAADr93x4=")</f>
        <v>#REF!</v>
      </c>
      <c r="AF40" s="1" t="e">
        <f>AND(M_Micoud_South!#REF!,"AAAAADr93x8=")</f>
        <v>#REF!</v>
      </c>
      <c r="AG40" s="1" t="b">
        <f>AND(M_Micoud_South!G28,"AAAAADr93yA=")</f>
        <v>1</v>
      </c>
      <c r="AH40" s="1" t="b">
        <f>AND(M_Micoud_South!H28,"AAAAADr93yE=")</f>
        <v>1</v>
      </c>
      <c r="AI40" s="1" t="b">
        <f>AND(M_Micoud_South!I28,"AAAAADr93yI=")</f>
        <v>1</v>
      </c>
      <c r="AJ40" s="1" t="b">
        <f>AND(M_Micoud_South!J28,"AAAAADr93yM=")</f>
        <v>1</v>
      </c>
      <c r="AK40" s="1" t="b">
        <f>AND(M_Micoud_South!K28,"AAAAADr93yQ=")</f>
        <v>1</v>
      </c>
      <c r="AL40" s="1" t="b">
        <f>AND(M_Micoud_South!L28,"AAAAADr93yU=")</f>
        <v>1</v>
      </c>
      <c r="AM40" s="1">
        <f>IF(M_Micoud_South!30:30,"AAAAADr93yY=",0)</f>
        <v>0</v>
      </c>
      <c r="AN40" s="1" t="e">
        <f>AND(M_Micoud_South!A30,"AAAAADr93yc=")</f>
        <v>#VALUE!</v>
      </c>
      <c r="AO40" s="1" t="b">
        <f>AND(M_Micoud_South!B30,"AAAAADr93yg=")</f>
        <v>1</v>
      </c>
      <c r="AP40" s="1" t="b">
        <f>AND(M_Micoud_South!C30,"AAAAADr93yk=")</f>
        <v>1</v>
      </c>
      <c r="AQ40" s="1" t="b">
        <f>AND(M_Micoud_South!D30,"AAAAADr93yo=")</f>
        <v>1</v>
      </c>
      <c r="AR40" s="1" t="b">
        <f>AND(M_Micoud_South!E30,"AAAAADr93ys=")</f>
        <v>1</v>
      </c>
      <c r="AS40" s="1" t="b">
        <f>AND(M_Micoud_South!F30,"AAAAADr93yw=")</f>
        <v>1</v>
      </c>
      <c r="AT40" s="1" t="e">
        <f>AND(M_Micoud_South!#REF!,"AAAAADr93y0=")</f>
        <v>#REF!</v>
      </c>
      <c r="AU40" s="1" t="e">
        <f>AND(M_Micoud_South!#REF!,"AAAAADr93y4=")</f>
        <v>#REF!</v>
      </c>
      <c r="AV40" s="1" t="b">
        <f>AND(M_Micoud_South!G30,"AAAAADr93y8=")</f>
        <v>1</v>
      </c>
      <c r="AW40" s="1" t="b">
        <f>AND(M_Micoud_South!H30,"AAAAADr93zA=")</f>
        <v>1</v>
      </c>
      <c r="AX40" s="1" t="b">
        <f>AND(M_Micoud_South!I30,"AAAAADr93zE=")</f>
        <v>1</v>
      </c>
      <c r="AY40" s="1" t="b">
        <f>AND(M_Micoud_South!J30,"AAAAADr93zI=")</f>
        <v>1</v>
      </c>
      <c r="AZ40" s="1" t="b">
        <f>AND(M_Micoud_South!K30,"AAAAADr93zM=")</f>
        <v>1</v>
      </c>
      <c r="BA40" s="1" t="b">
        <f>AND(M_Micoud_South!L30,"AAAAADr93zQ=")</f>
        <v>1</v>
      </c>
      <c r="BB40" s="1">
        <f>IF(M_Micoud_South!31:31,"AAAAADr93zU=",0)</f>
        <v>0</v>
      </c>
      <c r="BC40" s="1" t="e">
        <f>AND(M_Micoud_South!A31,"AAAAADr93zY=")</f>
        <v>#VALUE!</v>
      </c>
      <c r="BD40" s="1" t="b">
        <f>AND(M_Micoud_South!B31,"AAAAADr93zc=")</f>
        <v>1</v>
      </c>
      <c r="BE40" s="1" t="b">
        <f>AND(M_Micoud_South!C31,"AAAAADr93zg=")</f>
        <v>1</v>
      </c>
      <c r="BF40" s="1" t="b">
        <f>AND(M_Micoud_South!D31,"AAAAADr93zk=")</f>
        <v>1</v>
      </c>
      <c r="BG40" s="1" t="b">
        <f>AND(M_Micoud_South!E31,"AAAAADr93zo=")</f>
        <v>1</v>
      </c>
      <c r="BH40" s="1" t="b">
        <f>AND(M_Micoud_South!F31,"AAAAADr93zs=")</f>
        <v>1</v>
      </c>
      <c r="BI40" s="1" t="e">
        <f>AND(M_Micoud_South!#REF!,"AAAAADr93zw=")</f>
        <v>#REF!</v>
      </c>
      <c r="BJ40" s="1" t="e">
        <f>AND(M_Micoud_South!#REF!,"AAAAADr93z0=")</f>
        <v>#REF!</v>
      </c>
      <c r="BK40" s="1" t="b">
        <f>AND(M_Micoud_South!G31,"AAAAADr93z4=")</f>
        <v>1</v>
      </c>
      <c r="BL40" s="1" t="b">
        <f>AND(M_Micoud_South!H31,"AAAAADr93z8=")</f>
        <v>1</v>
      </c>
      <c r="BM40" s="1" t="b">
        <f>AND(M_Micoud_South!I31,"AAAAADr930A=")</f>
        <v>1</v>
      </c>
      <c r="BN40" s="1" t="b">
        <f>AND(M_Micoud_South!J31,"AAAAADr930E=")</f>
        <v>1</v>
      </c>
      <c r="BO40" s="1" t="b">
        <f>AND(M_Micoud_South!K31,"AAAAADr930I=")</f>
        <v>1</v>
      </c>
      <c r="BP40" s="1" t="b">
        <f>AND(M_Micoud_South!L31,"AAAAADr930M=")</f>
        <v>1</v>
      </c>
      <c r="BQ40" s="1">
        <f>IF(M_Micoud_South!33:33,"AAAAADr930Q=",0)</f>
        <v>0</v>
      </c>
      <c r="BR40" s="1" t="e">
        <f>AND(M_Micoud_South!A33,"AAAAADr930U=")</f>
        <v>#VALUE!</v>
      </c>
      <c r="BS40" s="1" t="e">
        <f>AND(M_Micoud_South!B33,"AAAAADr930Y=")</f>
        <v>#VALUE!</v>
      </c>
      <c r="BT40" s="1" t="e">
        <f>AND(M_Micoud_South!C33,"AAAAADr930c=")</f>
        <v>#VALUE!</v>
      </c>
      <c r="BU40" s="1" t="e">
        <f>AND(M_Micoud_South!D33,"AAAAADr930g=")</f>
        <v>#VALUE!</v>
      </c>
      <c r="BV40" s="1" t="e">
        <f>AND(M_Micoud_South!E33,"AAAAADr930k=")</f>
        <v>#VALUE!</v>
      </c>
      <c r="BW40" s="1" t="e">
        <f>AND(M_Micoud_South!F33,"AAAAADr930o=")</f>
        <v>#VALUE!</v>
      </c>
      <c r="BX40" s="1" t="e">
        <f>AND(M_Micoud_South!#REF!,"AAAAADr930s=")</f>
        <v>#REF!</v>
      </c>
      <c r="BY40" s="1" t="e">
        <f>AND(M_Micoud_South!#REF!,"AAAAADr930w=")</f>
        <v>#REF!</v>
      </c>
      <c r="BZ40" s="1" t="e">
        <f>AND(M_Micoud_South!G33,"AAAAADr9300=")</f>
        <v>#VALUE!</v>
      </c>
      <c r="CA40" s="1" t="e">
        <f>AND(M_Micoud_South!H33,"AAAAADr9304=")</f>
        <v>#VALUE!</v>
      </c>
      <c r="CB40" s="1" t="e">
        <f>AND(M_Micoud_South!I33,"AAAAADr9308=")</f>
        <v>#VALUE!</v>
      </c>
      <c r="CC40" s="1" t="e">
        <f>AND(M_Micoud_South!J33,"AAAAADr931A=")</f>
        <v>#VALUE!</v>
      </c>
      <c r="CD40" s="1" t="e">
        <f>AND(M_Micoud_South!K33,"AAAAADr931E=")</f>
        <v>#VALUE!</v>
      </c>
      <c r="CE40" s="1" t="e">
        <f>AND(M_Micoud_South!L33,"AAAAADr931I=")</f>
        <v>#VALUE!</v>
      </c>
      <c r="CF40" s="1">
        <f>IF(M_Micoud_South!34:34,"AAAAADr931M=",0)</f>
        <v>0</v>
      </c>
      <c r="CG40" s="1" t="e">
        <f>AND(M_Micoud_South!A34,"AAAAADr931Q=")</f>
        <v>#VALUE!</v>
      </c>
      <c r="CH40" s="1" t="b">
        <f>AND(M_Micoud_South!B34,"AAAAADr931U=")</f>
        <v>1</v>
      </c>
      <c r="CI40" s="1" t="b">
        <f>AND(M_Micoud_South!C34,"AAAAADr931Y=")</f>
        <v>1</v>
      </c>
      <c r="CJ40" s="1" t="b">
        <f>AND(M_Micoud_South!D34,"AAAAADr931c=")</f>
        <v>1</v>
      </c>
      <c r="CK40" s="1" t="b">
        <f>AND(M_Micoud_South!E34,"AAAAADr931g=")</f>
        <v>1</v>
      </c>
      <c r="CL40" s="1" t="b">
        <f>AND(M_Micoud_South!F34,"AAAAADr931k=")</f>
        <v>1</v>
      </c>
      <c r="CM40" s="1" t="e">
        <f>AND(M_Micoud_South!#REF!,"AAAAADr931o=")</f>
        <v>#REF!</v>
      </c>
      <c r="CN40" s="1" t="e">
        <f>AND(M_Micoud_South!#REF!,"AAAAADr931s=")</f>
        <v>#REF!</v>
      </c>
      <c r="CO40" s="1" t="b">
        <f>AND(M_Micoud_South!G34,"AAAAADr931w=")</f>
        <v>1</v>
      </c>
      <c r="CP40" s="1" t="b">
        <f>AND(M_Micoud_South!H34,"AAAAADr9310=")</f>
        <v>1</v>
      </c>
      <c r="CQ40" s="1" t="b">
        <f>AND(M_Micoud_South!I34,"AAAAADr9314=")</f>
        <v>1</v>
      </c>
      <c r="CR40" s="1" t="b">
        <f>AND(M_Micoud_South!J34,"AAAAADr9318=")</f>
        <v>1</v>
      </c>
      <c r="CS40" s="1" t="b">
        <f>AND(M_Micoud_South!K34,"AAAAADr932A=")</f>
        <v>1</v>
      </c>
      <c r="CT40" s="1" t="b">
        <f>AND(M_Micoud_South!L34,"AAAAADr932E=")</f>
        <v>1</v>
      </c>
      <c r="CU40" s="1">
        <f>IF(M_Micoud_South!35:35,"AAAAADr932I=",0)</f>
        <v>0</v>
      </c>
      <c r="CV40" s="1" t="e">
        <f>AND(M_Micoud_South!A35,"AAAAADr932M=")</f>
        <v>#VALUE!</v>
      </c>
      <c r="CW40" s="1" t="b">
        <f>AND(M_Micoud_South!B35,"AAAAADr932Q=")</f>
        <v>1</v>
      </c>
      <c r="CX40" s="1" t="b">
        <f>AND(M_Micoud_South!C35,"AAAAADr932U=")</f>
        <v>1</v>
      </c>
      <c r="CY40" s="1" t="b">
        <f>AND(M_Micoud_South!D35,"AAAAADr932Y=")</f>
        <v>1</v>
      </c>
      <c r="CZ40" s="1" t="b">
        <f>AND(M_Micoud_South!E35,"AAAAADr932c=")</f>
        <v>1</v>
      </c>
      <c r="DA40" s="1" t="b">
        <f>AND(M_Micoud_South!F35,"AAAAADr932g=")</f>
        <v>1</v>
      </c>
      <c r="DB40" s="1" t="e">
        <f>AND(M_Micoud_South!#REF!,"AAAAADr932k=")</f>
        <v>#REF!</v>
      </c>
      <c r="DC40" s="1" t="e">
        <f>AND(M_Micoud_South!#REF!,"AAAAADr932o=")</f>
        <v>#REF!</v>
      </c>
      <c r="DD40" s="1" t="b">
        <f>AND(M_Micoud_South!G35,"AAAAADr932s=")</f>
        <v>1</v>
      </c>
      <c r="DE40" s="1" t="b">
        <f>AND(M_Micoud_South!H35,"AAAAADr932w=")</f>
        <v>1</v>
      </c>
      <c r="DF40" s="1" t="b">
        <f>AND(M_Micoud_South!I35,"AAAAADr9320=")</f>
        <v>1</v>
      </c>
      <c r="DG40" s="1" t="b">
        <f>AND(M_Micoud_South!J35,"AAAAADr9324=")</f>
        <v>1</v>
      </c>
      <c r="DH40" s="1" t="b">
        <f>AND(M_Micoud_South!K35,"AAAAADr9328=")</f>
        <v>1</v>
      </c>
      <c r="DI40" s="1" t="b">
        <f>AND(M_Micoud_South!L35,"AAAAADr933A=")</f>
        <v>1</v>
      </c>
      <c r="DJ40" s="1">
        <f>IF(M_Micoud_South!36:36,"AAAAADr933E=",0)</f>
        <v>0</v>
      </c>
      <c r="DK40" s="1" t="e">
        <f>AND(M_Micoud_South!A36,"AAAAADr933I=")</f>
        <v>#VALUE!</v>
      </c>
      <c r="DL40" s="1" t="b">
        <f>AND(M_Micoud_South!B36,"AAAAADr933M=")</f>
        <v>1</v>
      </c>
      <c r="DM40" s="1" t="b">
        <f>AND(M_Micoud_South!C36,"AAAAADr933Q=")</f>
        <v>1</v>
      </c>
      <c r="DN40" s="1" t="b">
        <f>AND(M_Micoud_South!D36,"AAAAADr933U=")</f>
        <v>1</v>
      </c>
      <c r="DO40" s="1" t="b">
        <f>AND(M_Micoud_South!E36,"AAAAADr933Y=")</f>
        <v>1</v>
      </c>
      <c r="DP40" s="1" t="b">
        <f>AND(M_Micoud_South!F36,"AAAAADr933c=")</f>
        <v>1</v>
      </c>
      <c r="DQ40" s="1" t="e">
        <f>AND(M_Micoud_South!#REF!,"AAAAADr933g=")</f>
        <v>#REF!</v>
      </c>
      <c r="DR40" s="1" t="e">
        <f>AND(M_Micoud_South!#REF!,"AAAAADr933k=")</f>
        <v>#REF!</v>
      </c>
      <c r="DS40" s="1" t="b">
        <f>AND(M_Micoud_South!G36,"AAAAADr933o=")</f>
        <v>1</v>
      </c>
      <c r="DT40" s="1" t="b">
        <f>AND(M_Micoud_South!H36,"AAAAADr933s=")</f>
        <v>1</v>
      </c>
      <c r="DU40" s="1" t="b">
        <f>AND(M_Micoud_South!I36,"AAAAADr933w=")</f>
        <v>1</v>
      </c>
      <c r="DV40" s="1" t="b">
        <f>AND(M_Micoud_South!J36,"AAAAADr9330=")</f>
        <v>1</v>
      </c>
      <c r="DW40" s="1" t="b">
        <f>AND(M_Micoud_South!K36,"AAAAADr9334=")</f>
        <v>1</v>
      </c>
      <c r="DX40" s="1" t="b">
        <f>AND(M_Micoud_South!L36,"AAAAADr9338=")</f>
        <v>1</v>
      </c>
      <c r="DY40" s="1">
        <f>IF(M_Micoud_South!37:37,"AAAAADr934A=",0)</f>
        <v>0</v>
      </c>
      <c r="DZ40" s="1" t="e">
        <f>AND(M_Micoud_South!A37,"AAAAADr934E=")</f>
        <v>#VALUE!</v>
      </c>
      <c r="EA40" s="1" t="b">
        <f>AND(M_Micoud_South!B37,"AAAAADr934I=")</f>
        <v>1</v>
      </c>
      <c r="EB40" s="1" t="b">
        <f>AND(M_Micoud_South!C37,"AAAAADr934M=")</f>
        <v>1</v>
      </c>
      <c r="EC40" s="1" t="b">
        <f>AND(M_Micoud_South!D37,"AAAAADr934Q=")</f>
        <v>1</v>
      </c>
      <c r="ED40" s="1" t="b">
        <f>AND(M_Micoud_South!E37,"AAAAADr934U=")</f>
        <v>1</v>
      </c>
      <c r="EE40" s="1" t="b">
        <f>AND(M_Micoud_South!F37,"AAAAADr934Y=")</f>
        <v>1</v>
      </c>
      <c r="EF40" s="1" t="e">
        <f>AND(M_Micoud_South!#REF!,"AAAAADr934c=")</f>
        <v>#REF!</v>
      </c>
      <c r="EG40" s="1" t="e">
        <f>AND(M_Micoud_South!#REF!,"AAAAADr934g=")</f>
        <v>#REF!</v>
      </c>
      <c r="EH40" s="1" t="b">
        <f>AND(M_Micoud_South!G37,"AAAAADr934k=")</f>
        <v>1</v>
      </c>
      <c r="EI40" s="1" t="b">
        <f>AND(M_Micoud_South!H37,"AAAAADr934o=")</f>
        <v>1</v>
      </c>
      <c r="EJ40" s="1" t="b">
        <f>AND(M_Micoud_South!I37,"AAAAADr934s=")</f>
        <v>1</v>
      </c>
      <c r="EK40" s="1" t="b">
        <f>AND(M_Micoud_South!J37,"AAAAADr934w=")</f>
        <v>1</v>
      </c>
      <c r="EL40" s="1" t="b">
        <f>AND(M_Micoud_South!K37,"AAAAADr9340=")</f>
        <v>1</v>
      </c>
      <c r="EM40" s="1" t="b">
        <f>AND(M_Micoud_South!L37,"AAAAADr9344=")</f>
        <v>1</v>
      </c>
      <c r="EN40" s="1" t="e">
        <f>IF(M_Micoud_South!#REF!,"AAAAADr9348=",0)</f>
        <v>#REF!</v>
      </c>
      <c r="EO40" s="1" t="e">
        <f>AND(M_Micoud_South!#REF!,"AAAAADr935A=")</f>
        <v>#REF!</v>
      </c>
      <c r="EP40" s="1" t="e">
        <f>AND(M_Micoud_South!#REF!,"AAAAADr935E=")</f>
        <v>#REF!</v>
      </c>
      <c r="EQ40" s="1" t="e">
        <f>AND(M_Micoud_South!#REF!,"AAAAADr935I=")</f>
        <v>#REF!</v>
      </c>
      <c r="ER40" s="1" t="e">
        <f>AND(M_Micoud_South!#REF!,"AAAAADr935M=")</f>
        <v>#REF!</v>
      </c>
      <c r="ES40" s="1" t="e">
        <f>AND(M_Micoud_South!#REF!,"AAAAADr935Q=")</f>
        <v>#REF!</v>
      </c>
      <c r="ET40" s="1" t="e">
        <f>AND(M_Micoud_South!#REF!,"AAAAADr935U=")</f>
        <v>#REF!</v>
      </c>
      <c r="EU40" s="1" t="e">
        <f>AND(M_Micoud_South!#REF!,"AAAAADr935Y=")</f>
        <v>#REF!</v>
      </c>
      <c r="EV40" s="1" t="e">
        <f>AND(M_Micoud_South!#REF!,"AAAAADr935c=")</f>
        <v>#REF!</v>
      </c>
      <c r="EW40" s="1" t="e">
        <f>AND(M_Micoud_South!#REF!,"AAAAADr935g=")</f>
        <v>#REF!</v>
      </c>
      <c r="EX40" s="1" t="e">
        <f>AND(M_Micoud_South!#REF!,"AAAAADr935k=")</f>
        <v>#REF!</v>
      </c>
      <c r="EY40" s="1" t="e">
        <f>AND(M_Micoud_South!#REF!,"AAAAADr935o=")</f>
        <v>#REF!</v>
      </c>
      <c r="EZ40" s="1" t="e">
        <f>AND(M_Micoud_South!#REF!,"AAAAADr935s=")</f>
        <v>#REF!</v>
      </c>
      <c r="FA40" s="1" t="e">
        <f>AND(M_Micoud_South!#REF!,"AAAAADr935w=")</f>
        <v>#REF!</v>
      </c>
      <c r="FB40" s="1" t="e">
        <f>AND(M_Micoud_South!#REF!,"AAAAADr9350=")</f>
        <v>#REF!</v>
      </c>
      <c r="FC40" s="1">
        <f>IF(M_Micoud_South!38:38,"AAAAADr9354=",0)</f>
        <v>0</v>
      </c>
      <c r="FD40" s="1" t="e">
        <f>AND(M_Micoud_South!A38,"AAAAADr9358=")</f>
        <v>#VALUE!</v>
      </c>
      <c r="FE40" s="1" t="b">
        <f>AND(M_Micoud_South!B38,"AAAAADr936A=")</f>
        <v>1</v>
      </c>
      <c r="FF40" s="1" t="b">
        <f>AND(M_Micoud_South!C38,"AAAAADr936E=")</f>
        <v>1</v>
      </c>
      <c r="FG40" s="1" t="b">
        <f>AND(M_Micoud_South!D38,"AAAAADr936I=")</f>
        <v>1</v>
      </c>
      <c r="FH40" s="1" t="b">
        <f>AND(M_Micoud_South!E38,"AAAAADr936M=")</f>
        <v>1</v>
      </c>
      <c r="FI40" s="1" t="b">
        <f>AND(M_Micoud_South!F38,"AAAAADr936Q=")</f>
        <v>1</v>
      </c>
      <c r="FJ40" s="1" t="e">
        <f>AND(M_Micoud_South!#REF!,"AAAAADr936U=")</f>
        <v>#REF!</v>
      </c>
      <c r="FK40" s="1" t="e">
        <f>AND(M_Micoud_South!#REF!,"AAAAADr936Y=")</f>
        <v>#REF!</v>
      </c>
      <c r="FL40" s="1" t="b">
        <f>AND(M_Micoud_South!G38,"AAAAADr936c=")</f>
        <v>1</v>
      </c>
      <c r="FM40" s="1" t="b">
        <f>AND(M_Micoud_South!H38,"AAAAADr936g=")</f>
        <v>1</v>
      </c>
      <c r="FN40" s="1" t="b">
        <f>AND(M_Micoud_South!I38,"AAAAADr936k=")</f>
        <v>1</v>
      </c>
      <c r="FO40" s="1" t="b">
        <f>AND(M_Micoud_South!J38,"AAAAADr936o=")</f>
        <v>1</v>
      </c>
      <c r="FP40" s="1" t="b">
        <f>AND(M_Micoud_South!K38,"AAAAADr936s=")</f>
        <v>1</v>
      </c>
      <c r="FQ40" s="1" t="b">
        <f>AND(M_Micoud_South!L38,"AAAAADr936w=")</f>
        <v>1</v>
      </c>
      <c r="FR40" s="1">
        <f>IF(M_Micoud_South!A:A,"AAAAADr9360=",0)</f>
        <v>0</v>
      </c>
      <c r="FS40" s="1">
        <f>IF(M_Micoud_South!B:B,"AAAAADr9364=",0)</f>
        <v>0</v>
      </c>
      <c r="FT40" s="1">
        <f>IF(M_Micoud_South!C:C,"AAAAADr9368=",0)</f>
        <v>0</v>
      </c>
      <c r="FU40" s="1">
        <f>IF(M_Micoud_South!D:D,"AAAAADr937A=",0)</f>
        <v>0</v>
      </c>
      <c r="FV40" s="1">
        <f>IF(M_Micoud_South!E:E,"AAAAADr937E=",0)</f>
        <v>0</v>
      </c>
      <c r="FW40" s="1">
        <f>IF(M_Micoud_South!F:F,"AAAAADr937I=",0)</f>
        <v>0</v>
      </c>
      <c r="FX40" s="1" t="e">
        <f>IF(M_Micoud_South!#REF!,"AAAAADr937M=",0)</f>
        <v>#REF!</v>
      </c>
      <c r="FY40" s="1" t="e">
        <f>IF(M_Micoud_South!#REF!,"AAAAADr937Q=",0)</f>
        <v>#REF!</v>
      </c>
      <c r="FZ40" s="1">
        <f>IF(M_Micoud_South!G:G,"AAAAADr937U=",0)</f>
        <v>0</v>
      </c>
      <c r="GA40" s="1">
        <f>IF(M_Micoud_South!H:H,"AAAAADr937Y=",0)</f>
        <v>0</v>
      </c>
      <c r="GB40" s="1">
        <f>IF(M_Micoud_South!I:I,"AAAAADr937c=",0)</f>
        <v>0</v>
      </c>
      <c r="GC40" s="1">
        <f>IF(M_Micoud_South!J:J,"AAAAADr937g=",0)</f>
        <v>0</v>
      </c>
      <c r="GD40" s="1">
        <f>IF(M_Micoud_South!K:K,"AAAAADr937k=",0)</f>
        <v>0</v>
      </c>
      <c r="GE40" s="1">
        <f>IF(M_Micoud_South!L:L,"AAAAADr937o=",0)</f>
        <v>0</v>
      </c>
      <c r="GF40" s="1">
        <f>IF(N_Micoud_North!1:1,"AAAAADr937s=",0)</f>
        <v>0</v>
      </c>
      <c r="GG40" s="1" t="e">
        <f>AND(N_Micoud_North!A1,"AAAAADr937w=")</f>
        <v>#VALUE!</v>
      </c>
      <c r="GH40" s="1" t="e">
        <f>AND(N_Micoud_North!B1,"AAAAADr9370=")</f>
        <v>#VALUE!</v>
      </c>
      <c r="GI40" s="1" t="e">
        <f>AND(N_Micoud_North!C1,"AAAAADr9374=")</f>
        <v>#VALUE!</v>
      </c>
      <c r="GJ40" s="1" t="e">
        <f>AND(N_Micoud_North!D1,"AAAAADr9378=")</f>
        <v>#VALUE!</v>
      </c>
      <c r="GK40" s="1" t="e">
        <f>AND(N_Micoud_North!E1,"AAAAADr938A=")</f>
        <v>#VALUE!</v>
      </c>
      <c r="GL40" s="1" t="e">
        <f>AND(N_Micoud_North!F1,"AAAAADr938E=")</f>
        <v>#VALUE!</v>
      </c>
      <c r="GM40" s="1" t="e">
        <f>AND(N_Micoud_North!G1,"AAAAADr938I=")</f>
        <v>#VALUE!</v>
      </c>
      <c r="GN40" s="1" t="e">
        <f>AND(N_Micoud_North!H1,"AAAAADr938M=")</f>
        <v>#VALUE!</v>
      </c>
      <c r="GO40" s="1" t="e">
        <f>AND(N_Micoud_North!I1,"AAAAADr938Q=")</f>
        <v>#VALUE!</v>
      </c>
      <c r="GP40" s="1" t="e">
        <f>AND(N_Micoud_North!J1,"AAAAADr938U=")</f>
        <v>#VALUE!</v>
      </c>
      <c r="GQ40" s="1" t="e">
        <f>AND(N_Micoud_North!K1,"AAAAADr938Y=")</f>
        <v>#VALUE!</v>
      </c>
      <c r="GR40" s="1" t="e">
        <f>AND(N_Micoud_North!L1,"AAAAADr938c=")</f>
        <v>#VALUE!</v>
      </c>
      <c r="GS40" s="1" t="e">
        <f>AND(N_Micoud_North!M1,"AAAAADr938g=")</f>
        <v>#VALUE!</v>
      </c>
      <c r="GT40" s="1" t="e">
        <f>AND(N_Micoud_North!N1,"AAAAADr938k=")</f>
        <v>#VALUE!</v>
      </c>
      <c r="GU40" s="1" t="e">
        <f>AND(N_Micoud_North!O1,"AAAAADr938o=")</f>
        <v>#VALUE!</v>
      </c>
      <c r="GV40" s="1" t="e">
        <f>AND(N_Micoud_North!P1,"AAAAADr938s=")</f>
        <v>#VALUE!</v>
      </c>
      <c r="GW40" s="1" t="e">
        <f>AND(N_Micoud_North!Q1,"AAAAADr938w=")</f>
        <v>#VALUE!</v>
      </c>
      <c r="GX40" s="1">
        <f>IF(N_Micoud_North!2:2,"AAAAADr9380=",0)</f>
        <v>0</v>
      </c>
      <c r="GY40" s="1" t="e">
        <f>AND(N_Micoud_North!A2,"AAAAADr9384=")</f>
        <v>#VALUE!</v>
      </c>
      <c r="GZ40" s="1" t="e">
        <f>AND(N_Micoud_North!B2,"AAAAADr9388=")</f>
        <v>#VALUE!</v>
      </c>
      <c r="HA40" s="1" t="e">
        <f>AND(N_Micoud_North!C2,"AAAAADr939A=")</f>
        <v>#VALUE!</v>
      </c>
      <c r="HB40" s="1" t="e">
        <f>AND(N_Micoud_North!D2,"AAAAADr939E=")</f>
        <v>#VALUE!</v>
      </c>
      <c r="HC40" s="1" t="e">
        <f>AND(N_Micoud_North!E2,"AAAAADr939I=")</f>
        <v>#VALUE!</v>
      </c>
      <c r="HD40" s="1" t="e">
        <f>AND(N_Micoud_North!F2,"AAAAADr939M=")</f>
        <v>#VALUE!</v>
      </c>
      <c r="HE40" s="1" t="e">
        <f>AND(N_Micoud_North!G2,"AAAAADr939Q=")</f>
        <v>#VALUE!</v>
      </c>
      <c r="HF40" s="1" t="e">
        <f>AND(N_Micoud_North!H2,"AAAAADr939U=")</f>
        <v>#VALUE!</v>
      </c>
      <c r="HG40" s="1" t="e">
        <f>AND(N_Micoud_North!I2,"AAAAADr939Y=")</f>
        <v>#VALUE!</v>
      </c>
      <c r="HH40" s="1" t="e">
        <f>AND(N_Micoud_North!J2,"AAAAADr939c=")</f>
        <v>#VALUE!</v>
      </c>
      <c r="HI40" s="1" t="e">
        <f>AND(N_Micoud_North!K2,"AAAAADr939g=")</f>
        <v>#VALUE!</v>
      </c>
      <c r="HJ40" s="1" t="e">
        <f>AND(N_Micoud_North!L2,"AAAAADr939k=")</f>
        <v>#VALUE!</v>
      </c>
      <c r="HK40" s="1" t="e">
        <f>AND(N_Micoud_North!M2,"AAAAADr939o=")</f>
        <v>#VALUE!</v>
      </c>
      <c r="HL40" s="1" t="e">
        <f>AND(N_Micoud_North!N2,"AAAAADr939s=")</f>
        <v>#VALUE!</v>
      </c>
      <c r="HM40" s="1" t="e">
        <f>AND(N_Micoud_North!O2,"AAAAADr939w=")</f>
        <v>#VALUE!</v>
      </c>
      <c r="HN40" s="1" t="e">
        <f>AND(N_Micoud_North!P2,"AAAAADr9390=")</f>
        <v>#VALUE!</v>
      </c>
      <c r="HO40" s="1">
        <f>IF(N_Micoud_North!3:3,"AAAAADr9394=",0)</f>
        <v>0</v>
      </c>
      <c r="HP40" s="1" t="e">
        <f>AND(N_Micoud_North!A3,"AAAAADr9398=")</f>
        <v>#VALUE!</v>
      </c>
      <c r="HQ40" s="1" t="e">
        <f>AND(N_Micoud_North!B3,"AAAAADr93+A=")</f>
        <v>#VALUE!</v>
      </c>
      <c r="HR40" s="1" t="e">
        <f>AND(N_Micoud_North!C3,"AAAAADr93+E=")</f>
        <v>#VALUE!</v>
      </c>
      <c r="HS40" s="1" t="e">
        <f>AND(N_Micoud_North!D3,"AAAAADr93+I=")</f>
        <v>#VALUE!</v>
      </c>
      <c r="HT40" s="1" t="e">
        <f>AND(N_Micoud_North!E3,"AAAAADr93+M=")</f>
        <v>#VALUE!</v>
      </c>
      <c r="HU40" s="1" t="e">
        <f>AND(N_Micoud_North!F3,"AAAAADr93+Q=")</f>
        <v>#VALUE!</v>
      </c>
      <c r="HV40" s="1" t="e">
        <f>AND(N_Micoud_North!G3,"AAAAADr93+U=")</f>
        <v>#VALUE!</v>
      </c>
      <c r="HW40" s="1" t="e">
        <f>AND(N_Micoud_North!H3,"AAAAADr93+Y=")</f>
        <v>#VALUE!</v>
      </c>
      <c r="HX40" s="1" t="e">
        <f>AND(N_Micoud_North!I3,"AAAAADr93+c=")</f>
        <v>#VALUE!</v>
      </c>
      <c r="HY40" s="1" t="e">
        <f>AND(N_Micoud_North!J3,"AAAAADr93+g=")</f>
        <v>#VALUE!</v>
      </c>
      <c r="HZ40" s="1" t="e">
        <f>AND(N_Micoud_North!K3,"AAAAADr93+k=")</f>
        <v>#VALUE!</v>
      </c>
      <c r="IA40" s="1" t="e">
        <f>AND(N_Micoud_North!L3,"AAAAADr93+o=")</f>
        <v>#VALUE!</v>
      </c>
      <c r="IB40" s="1" t="e">
        <f>AND(N_Micoud_North!M3,"AAAAADr93+s=")</f>
        <v>#VALUE!</v>
      </c>
      <c r="IC40" s="1" t="e">
        <f>AND(N_Micoud_North!N3,"AAAAADr93+w=")</f>
        <v>#VALUE!</v>
      </c>
      <c r="ID40" s="1" t="e">
        <f>AND(N_Micoud_North!O3,"AAAAADr93+0=")</f>
        <v>#VALUE!</v>
      </c>
      <c r="IE40" s="1" t="e">
        <f>AND(N_Micoud_North!P3,"AAAAADr93+4=")</f>
        <v>#VALUE!</v>
      </c>
      <c r="IF40" s="1">
        <f>IF(N_Micoud_North!4:4,"AAAAADr93+8=",0)</f>
        <v>0</v>
      </c>
      <c r="IG40" s="1" t="e">
        <f>AND(N_Micoud_North!A4,"AAAAADr93/A=")</f>
        <v>#VALUE!</v>
      </c>
      <c r="IH40" s="1" t="b">
        <f>AND(N_Micoud_North!B4,"AAAAADr93/E=")</f>
        <v>1</v>
      </c>
      <c r="II40" s="1" t="b">
        <f>AND(N_Micoud_North!C4,"AAAAADr93/I=")</f>
        <v>1</v>
      </c>
      <c r="IJ40" s="1" t="b">
        <f>AND(N_Micoud_North!D4,"AAAAADr93/M=")</f>
        <v>1</v>
      </c>
      <c r="IK40" s="1" t="b">
        <f>AND(N_Micoud_North!E4,"AAAAADr93/Q=")</f>
        <v>1</v>
      </c>
      <c r="IL40" s="1" t="b">
        <f>AND(N_Micoud_North!F4,"AAAAADr93/U=")</f>
        <v>1</v>
      </c>
      <c r="IM40" s="1" t="b">
        <f>AND(N_Micoud_North!G4,"AAAAADr93/Y=")</f>
        <v>1</v>
      </c>
      <c r="IN40" s="1" t="b">
        <f>AND(N_Micoud_North!H4,"AAAAADr93/c=")</f>
        <v>1</v>
      </c>
      <c r="IO40" s="1" t="b">
        <f>AND(N_Micoud_North!I4,"AAAAADr93/g=")</f>
        <v>1</v>
      </c>
      <c r="IP40" s="1" t="b">
        <f>AND(N_Micoud_North!J4,"AAAAADr93/k=")</f>
        <v>1</v>
      </c>
      <c r="IQ40" s="1" t="b">
        <f>AND(N_Micoud_North!K4,"AAAAADr93/o=")</f>
        <v>1</v>
      </c>
      <c r="IR40" s="1" t="b">
        <f>AND(N_Micoud_North!L4,"AAAAADr93/s=")</f>
        <v>1</v>
      </c>
      <c r="IS40" s="1" t="b">
        <f>AND(N_Micoud_North!M4,"AAAAADr93/w=")</f>
        <v>1</v>
      </c>
      <c r="IT40" s="1" t="b">
        <f>AND(N_Micoud_North!N4,"AAAAADr93/0=")</f>
        <v>1</v>
      </c>
      <c r="IU40" s="1" t="b">
        <f>AND(N_Micoud_North!O4,"AAAAADr93/4=")</f>
        <v>1</v>
      </c>
      <c r="IV40" s="1" t="b">
        <f>AND(N_Micoud_North!P4,"AAAAADr93/8=")</f>
        <v>1</v>
      </c>
    </row>
    <row r="41" spans="1:256" ht="12" customHeight="1" x14ac:dyDescent="0.2">
      <c r="A41" s="1" t="e">
        <f>IF(N_Micoud_North!5:5,"AAAAAH+e/gA=",0)</f>
        <v>#VALUE!</v>
      </c>
      <c r="B41" s="1" t="e">
        <f>AND(N_Micoud_North!A5,"AAAAAH+e/gE=")</f>
        <v>#VALUE!</v>
      </c>
      <c r="C41" s="1" t="e">
        <f>AND(N_Micoud_North!B5,"AAAAAH+e/gI=")</f>
        <v>#VALUE!</v>
      </c>
      <c r="D41" s="1" t="e">
        <f>AND(N_Micoud_North!C5,"AAAAAH+e/gM=")</f>
        <v>#VALUE!</v>
      </c>
      <c r="E41" s="1" t="e">
        <f>AND(N_Micoud_North!D5,"AAAAAH+e/gQ=")</f>
        <v>#VALUE!</v>
      </c>
      <c r="F41" s="1" t="e">
        <f>AND(N_Micoud_North!E5,"AAAAAH+e/gU=")</f>
        <v>#VALUE!</v>
      </c>
      <c r="G41" s="1" t="e">
        <f>AND(N_Micoud_North!F5,"AAAAAH+e/gY=")</f>
        <v>#VALUE!</v>
      </c>
      <c r="H41" s="1" t="e">
        <f>AND(N_Micoud_North!G5,"AAAAAH+e/gc=")</f>
        <v>#VALUE!</v>
      </c>
      <c r="I41" s="1" t="e">
        <f>AND(N_Micoud_North!H5,"AAAAAH+e/gg=")</f>
        <v>#VALUE!</v>
      </c>
      <c r="J41" s="1" t="e">
        <f>AND(N_Micoud_North!I5,"AAAAAH+e/gk=")</f>
        <v>#VALUE!</v>
      </c>
      <c r="K41" s="1" t="e">
        <f>AND(N_Micoud_North!J5,"AAAAAH+e/go=")</f>
        <v>#VALUE!</v>
      </c>
      <c r="L41" s="1" t="e">
        <f>AND(N_Micoud_North!K5,"AAAAAH+e/gs=")</f>
        <v>#VALUE!</v>
      </c>
      <c r="M41" s="1" t="e">
        <f>AND(N_Micoud_North!L5,"AAAAAH+e/gw=")</f>
        <v>#VALUE!</v>
      </c>
      <c r="N41" s="1" t="e">
        <f>AND(N_Micoud_North!M5,"AAAAAH+e/g0=")</f>
        <v>#VALUE!</v>
      </c>
      <c r="O41" s="1" t="e">
        <f>AND(N_Micoud_North!N5,"AAAAAH+e/g4=")</f>
        <v>#VALUE!</v>
      </c>
      <c r="P41" s="1" t="e">
        <f>AND(N_Micoud_North!O5,"AAAAAH+e/g8=")</f>
        <v>#VALUE!</v>
      </c>
      <c r="Q41" s="1" t="e">
        <f>AND(N_Micoud_North!P5,"AAAAAH+e/hA=")</f>
        <v>#VALUE!</v>
      </c>
      <c r="R41" s="1">
        <f>IF(N_Micoud_North!6:6,"AAAAAH+e/hE=",0)</f>
        <v>0</v>
      </c>
      <c r="S41" s="1" t="e">
        <f>AND(N_Micoud_North!A6,"AAAAAH+e/hI=")</f>
        <v>#VALUE!</v>
      </c>
      <c r="T41" s="1" t="b">
        <f>AND(N_Micoud_North!B6,"AAAAAH+e/hM=")</f>
        <v>1</v>
      </c>
      <c r="U41" s="1" t="b">
        <f>AND(N_Micoud_North!C6,"AAAAAH+e/hQ=")</f>
        <v>1</v>
      </c>
      <c r="V41" s="1" t="b">
        <f>AND(N_Micoud_North!D6,"AAAAAH+e/hU=")</f>
        <v>1</v>
      </c>
      <c r="W41" s="1" t="b">
        <f>AND(N_Micoud_North!E6,"AAAAAH+e/hY=")</f>
        <v>1</v>
      </c>
      <c r="X41" s="1" t="b">
        <f>AND(N_Micoud_North!F6,"AAAAAH+e/hc=")</f>
        <v>1</v>
      </c>
      <c r="Y41" s="1" t="b">
        <f>AND(N_Micoud_North!G6,"AAAAAH+e/hg=")</f>
        <v>0</v>
      </c>
      <c r="Z41" s="1" t="b">
        <f>AND(N_Micoud_North!H6,"AAAAAH+e/hk=")</f>
        <v>0</v>
      </c>
      <c r="AA41" s="1" t="b">
        <f>AND(N_Micoud_North!I6,"AAAAAH+e/ho=")</f>
        <v>1</v>
      </c>
      <c r="AB41" s="1" t="b">
        <f>AND(N_Micoud_North!J6,"AAAAAH+e/hs=")</f>
        <v>1</v>
      </c>
      <c r="AC41" s="1" t="b">
        <f>AND(N_Micoud_North!K6,"AAAAAH+e/hw=")</f>
        <v>1</v>
      </c>
      <c r="AD41" s="1" t="b">
        <f>AND(N_Micoud_North!L6,"AAAAAH+e/h0=")</f>
        <v>1</v>
      </c>
      <c r="AE41" s="1" t="b">
        <f>AND(N_Micoud_North!M6,"AAAAAH+e/h4=")</f>
        <v>1</v>
      </c>
      <c r="AF41" s="1" t="b">
        <f>AND(N_Micoud_North!N6,"AAAAAH+e/h8=")</f>
        <v>1</v>
      </c>
      <c r="AG41" s="1" t="b">
        <f>AND(N_Micoud_North!O6,"AAAAAH+e/iA=")</f>
        <v>1</v>
      </c>
      <c r="AH41" s="1" t="b">
        <f>AND(N_Micoud_North!P6,"AAAAAH+e/iE=")</f>
        <v>1</v>
      </c>
      <c r="AI41" s="1">
        <f>IF(N_Micoud_North!8:8,"AAAAAH+e/iI=",0)</f>
        <v>0</v>
      </c>
      <c r="AJ41" s="1" t="e">
        <f>AND(N_Micoud_North!A8,"AAAAAH+e/iM=")</f>
        <v>#VALUE!</v>
      </c>
      <c r="AK41" s="1" t="e">
        <f>AND(N_Micoud_North!B8,"AAAAAH+e/iQ=")</f>
        <v>#VALUE!</v>
      </c>
      <c r="AL41" s="1" t="e">
        <f>AND(N_Micoud_North!C8,"AAAAAH+e/iU=")</f>
        <v>#VALUE!</v>
      </c>
      <c r="AM41" s="1" t="e">
        <f>AND(N_Micoud_North!D8,"AAAAAH+e/iY=")</f>
        <v>#VALUE!</v>
      </c>
      <c r="AN41" s="1" t="e">
        <f>AND(N_Micoud_North!E8,"AAAAAH+e/ic=")</f>
        <v>#VALUE!</v>
      </c>
      <c r="AO41" s="1" t="e">
        <f>AND(N_Micoud_North!F8,"AAAAAH+e/ig=")</f>
        <v>#VALUE!</v>
      </c>
      <c r="AP41" s="1" t="e">
        <f>AND(N_Micoud_North!G8,"AAAAAH+e/ik=")</f>
        <v>#VALUE!</v>
      </c>
      <c r="AQ41" s="1" t="e">
        <f>AND(N_Micoud_North!H8,"AAAAAH+e/io=")</f>
        <v>#VALUE!</v>
      </c>
      <c r="AR41" s="1" t="e">
        <f>AND(N_Micoud_North!I8,"AAAAAH+e/is=")</f>
        <v>#VALUE!</v>
      </c>
      <c r="AS41" s="1" t="e">
        <f>AND(N_Micoud_North!J8,"AAAAAH+e/iw=")</f>
        <v>#VALUE!</v>
      </c>
      <c r="AT41" s="1" t="e">
        <f>AND(N_Micoud_North!K8,"AAAAAH+e/i0=")</f>
        <v>#VALUE!</v>
      </c>
      <c r="AU41" s="1" t="e">
        <f>AND(N_Micoud_North!L8,"AAAAAH+e/i4=")</f>
        <v>#VALUE!</v>
      </c>
      <c r="AV41" s="1" t="e">
        <f>AND(N_Micoud_North!M8,"AAAAAH+e/i8=")</f>
        <v>#VALUE!</v>
      </c>
      <c r="AW41" s="1" t="e">
        <f>AND(N_Micoud_North!N8,"AAAAAH+e/jA=")</f>
        <v>#VALUE!</v>
      </c>
      <c r="AX41" s="1" t="e">
        <f>AND(N_Micoud_North!O8,"AAAAAH+e/jE=")</f>
        <v>#VALUE!</v>
      </c>
      <c r="AY41" s="1" t="e">
        <f>AND(N_Micoud_North!P8,"AAAAAH+e/jI=")</f>
        <v>#VALUE!</v>
      </c>
      <c r="AZ41" s="1">
        <f>IF(N_Micoud_North!9:9,"AAAAAH+e/jM=",0)</f>
        <v>0</v>
      </c>
      <c r="BA41" s="1" t="e">
        <f>AND(N_Micoud_North!A9,"AAAAAH+e/jQ=")</f>
        <v>#VALUE!</v>
      </c>
      <c r="BB41" s="1" t="b">
        <f>AND(N_Micoud_North!B9,"AAAAAH+e/jU=")</f>
        <v>1</v>
      </c>
      <c r="BC41" s="1" t="b">
        <f>AND(N_Micoud_North!C9,"AAAAAH+e/jY=")</f>
        <v>1</v>
      </c>
      <c r="BD41" s="1" t="b">
        <f>AND(N_Micoud_North!D9,"AAAAAH+e/jc=")</f>
        <v>1</v>
      </c>
      <c r="BE41" s="1" t="b">
        <f>AND(N_Micoud_North!E9,"AAAAAH+e/jg=")</f>
        <v>1</v>
      </c>
      <c r="BF41" s="1" t="b">
        <f>AND(N_Micoud_North!F9,"AAAAAH+e/jk=")</f>
        <v>1</v>
      </c>
      <c r="BG41" s="1" t="b">
        <f>AND(N_Micoud_North!G9,"AAAAAH+e/jo=")</f>
        <v>0</v>
      </c>
      <c r="BH41" s="1" t="b">
        <f>AND(N_Micoud_North!H9,"AAAAAH+e/js=")</f>
        <v>0</v>
      </c>
      <c r="BI41" s="1" t="b">
        <f>AND(N_Micoud_North!I9,"AAAAAH+e/jw=")</f>
        <v>1</v>
      </c>
      <c r="BJ41" s="1" t="b">
        <f>AND(N_Micoud_North!J9,"AAAAAH+e/j0=")</f>
        <v>1</v>
      </c>
      <c r="BK41" s="1" t="b">
        <f>AND(N_Micoud_North!K9,"AAAAAH+e/j4=")</f>
        <v>1</v>
      </c>
      <c r="BL41" s="1" t="b">
        <f>AND(N_Micoud_North!L9,"AAAAAH+e/j8=")</f>
        <v>1</v>
      </c>
      <c r="BM41" s="1" t="b">
        <f>AND(N_Micoud_North!M9,"AAAAAH+e/kA=")</f>
        <v>1</v>
      </c>
      <c r="BN41" s="1" t="b">
        <f>AND(N_Micoud_North!N9,"AAAAAH+e/kE=")</f>
        <v>1</v>
      </c>
      <c r="BO41" s="1" t="b">
        <f>AND(N_Micoud_North!O9,"AAAAAH+e/kI=")</f>
        <v>1</v>
      </c>
      <c r="BP41" s="1" t="b">
        <f>AND(N_Micoud_North!P9,"AAAAAH+e/kM=")</f>
        <v>1</v>
      </c>
      <c r="BQ41" s="1">
        <f>IF(N_Micoud_North!10:10,"AAAAAH+e/kQ=",0)</f>
        <v>0</v>
      </c>
      <c r="BR41" s="1" t="e">
        <f>AND(N_Micoud_North!A10,"AAAAAH+e/kU=")</f>
        <v>#VALUE!</v>
      </c>
      <c r="BS41" s="1" t="b">
        <f>AND(N_Micoud_North!B10,"AAAAAH+e/kY=")</f>
        <v>1</v>
      </c>
      <c r="BT41" s="1" t="b">
        <f>AND(N_Micoud_North!C10,"AAAAAH+e/kc=")</f>
        <v>1</v>
      </c>
      <c r="BU41" s="1" t="b">
        <f>AND(N_Micoud_North!D10,"AAAAAH+e/kg=")</f>
        <v>1</v>
      </c>
      <c r="BV41" s="1" t="b">
        <f>AND(N_Micoud_North!E10,"AAAAAH+e/kk=")</f>
        <v>1</v>
      </c>
      <c r="BW41" s="1" t="b">
        <f>AND(N_Micoud_North!F10,"AAAAAH+e/ko=")</f>
        <v>1</v>
      </c>
      <c r="BX41" s="1" t="b">
        <f>AND(N_Micoud_North!G10,"AAAAAH+e/ks=")</f>
        <v>0</v>
      </c>
      <c r="BY41" s="1" t="b">
        <f>AND(N_Micoud_North!H10,"AAAAAH+e/kw=")</f>
        <v>0</v>
      </c>
      <c r="BZ41" s="1" t="b">
        <f>AND(N_Micoud_North!I10,"AAAAAH+e/k0=")</f>
        <v>1</v>
      </c>
      <c r="CA41" s="1" t="b">
        <f>AND(N_Micoud_North!J10,"AAAAAH+e/k4=")</f>
        <v>1</v>
      </c>
      <c r="CB41" s="1" t="b">
        <f>AND(N_Micoud_North!K10,"AAAAAH+e/k8=")</f>
        <v>0</v>
      </c>
      <c r="CC41" s="1" t="b">
        <f>AND(N_Micoud_North!L10,"AAAAAH+e/lA=")</f>
        <v>0</v>
      </c>
      <c r="CD41" s="1" t="b">
        <f>AND(N_Micoud_North!M10,"AAAAAH+e/lE=")</f>
        <v>1</v>
      </c>
      <c r="CE41" s="1" t="b">
        <f>AND(N_Micoud_North!N10,"AAAAAH+e/lI=")</f>
        <v>1</v>
      </c>
      <c r="CF41" s="1" t="b">
        <f>AND(N_Micoud_North!O10,"AAAAAH+e/lM=")</f>
        <v>1</v>
      </c>
      <c r="CG41" s="1" t="b">
        <f>AND(N_Micoud_North!P10,"AAAAAH+e/lQ=")</f>
        <v>1</v>
      </c>
      <c r="CH41" s="1">
        <f>IF(N_Micoud_North!11:11,"AAAAAH+e/lU=",0)</f>
        <v>0</v>
      </c>
      <c r="CI41" s="1" t="e">
        <f>AND(N_Micoud_North!A11,"AAAAAH+e/lY=")</f>
        <v>#VALUE!</v>
      </c>
      <c r="CJ41" s="1" t="b">
        <f>AND(N_Micoud_North!B11,"AAAAAH+e/lc=")</f>
        <v>1</v>
      </c>
      <c r="CK41" s="1" t="b">
        <f>AND(N_Micoud_North!C11,"AAAAAH+e/lg=")</f>
        <v>1</v>
      </c>
      <c r="CL41" s="1" t="b">
        <f>AND(N_Micoud_North!D11,"AAAAAH+e/lk=")</f>
        <v>1</v>
      </c>
      <c r="CM41" s="1" t="b">
        <f>AND(N_Micoud_North!E11,"AAAAAH+e/lo=")</f>
        <v>1</v>
      </c>
      <c r="CN41" s="1" t="b">
        <f>AND(N_Micoud_North!F11,"AAAAAH+e/ls=")</f>
        <v>1</v>
      </c>
      <c r="CO41" s="1" t="b">
        <f>AND(N_Micoud_North!G11,"AAAAAH+e/lw=")</f>
        <v>0</v>
      </c>
      <c r="CP41" s="1" t="b">
        <f>AND(N_Micoud_North!H11,"AAAAAH+e/l0=")</f>
        <v>0</v>
      </c>
      <c r="CQ41" s="1" t="b">
        <f>AND(N_Micoud_North!I11,"AAAAAH+e/l4=")</f>
        <v>1</v>
      </c>
      <c r="CR41" s="1" t="b">
        <f>AND(N_Micoud_North!J11,"AAAAAH+e/l8=")</f>
        <v>1</v>
      </c>
      <c r="CS41" s="1" t="b">
        <f>AND(N_Micoud_North!K11,"AAAAAH+e/mA=")</f>
        <v>1</v>
      </c>
      <c r="CT41" s="1" t="b">
        <f>AND(N_Micoud_North!L11,"AAAAAH+e/mE=")</f>
        <v>1</v>
      </c>
      <c r="CU41" s="1" t="b">
        <f>AND(N_Micoud_North!M11,"AAAAAH+e/mI=")</f>
        <v>1</v>
      </c>
      <c r="CV41" s="1" t="b">
        <f>AND(N_Micoud_North!N11,"AAAAAH+e/mM=")</f>
        <v>1</v>
      </c>
      <c r="CW41" s="1" t="b">
        <f>AND(N_Micoud_North!O11,"AAAAAH+e/mQ=")</f>
        <v>1</v>
      </c>
      <c r="CX41" s="1" t="b">
        <f>AND(N_Micoud_North!P11,"AAAAAH+e/mU=")</f>
        <v>1</v>
      </c>
      <c r="CY41" s="1">
        <f>IF(N_Micoud_North!12:12,"AAAAAH+e/mY=",0)</f>
        <v>0</v>
      </c>
      <c r="CZ41" s="1" t="e">
        <f>AND(N_Micoud_North!A12,"AAAAAH+e/mc=")</f>
        <v>#VALUE!</v>
      </c>
      <c r="DA41" s="1" t="b">
        <f>AND(N_Micoud_North!B12,"AAAAAH+e/mg=")</f>
        <v>1</v>
      </c>
      <c r="DB41" s="1" t="b">
        <f>AND(N_Micoud_North!C12,"AAAAAH+e/mk=")</f>
        <v>1</v>
      </c>
      <c r="DC41" s="1" t="b">
        <f>AND(N_Micoud_North!D12,"AAAAAH+e/mo=")</f>
        <v>1</v>
      </c>
      <c r="DD41" s="1" t="b">
        <f>AND(N_Micoud_North!E12,"AAAAAH+e/ms=")</f>
        <v>1</v>
      </c>
      <c r="DE41" s="1" t="b">
        <f>AND(N_Micoud_North!F12,"AAAAAH+e/mw=")</f>
        <v>1</v>
      </c>
      <c r="DF41" s="1" t="b">
        <f>AND(N_Micoud_North!G12,"AAAAAH+e/m0=")</f>
        <v>0</v>
      </c>
      <c r="DG41" s="1" t="b">
        <f>AND(N_Micoud_North!H12,"AAAAAH+e/m4=")</f>
        <v>0</v>
      </c>
      <c r="DH41" s="1" t="b">
        <f>AND(N_Micoud_North!I12,"AAAAAH+e/m8=")</f>
        <v>1</v>
      </c>
      <c r="DI41" s="1" t="b">
        <f>AND(N_Micoud_North!J12,"AAAAAH+e/nA=")</f>
        <v>1</v>
      </c>
      <c r="DJ41" s="1" t="b">
        <f>AND(N_Micoud_North!K12,"AAAAAH+e/nE=")</f>
        <v>1</v>
      </c>
      <c r="DK41" s="1" t="b">
        <f>AND(N_Micoud_North!L12,"AAAAAH+e/nI=")</f>
        <v>1</v>
      </c>
      <c r="DL41" s="1" t="b">
        <f>AND(N_Micoud_North!M12,"AAAAAH+e/nM=")</f>
        <v>1</v>
      </c>
      <c r="DM41" s="1" t="b">
        <f>AND(N_Micoud_North!N12,"AAAAAH+e/nQ=")</f>
        <v>1</v>
      </c>
      <c r="DN41" s="1" t="b">
        <f>AND(N_Micoud_North!O12,"AAAAAH+e/nU=")</f>
        <v>1</v>
      </c>
      <c r="DO41" s="1" t="b">
        <f>AND(N_Micoud_North!P12,"AAAAAH+e/nY=")</f>
        <v>1</v>
      </c>
      <c r="DP41" s="1">
        <f>IF(N_Micoud_North!13:13,"AAAAAH+e/nc=",0)</f>
        <v>0</v>
      </c>
      <c r="DQ41" s="1" t="e">
        <f>AND(N_Micoud_North!A13,"AAAAAH+e/ng=")</f>
        <v>#VALUE!</v>
      </c>
      <c r="DR41" s="1" t="b">
        <f>AND(N_Micoud_North!B13,"AAAAAH+e/nk=")</f>
        <v>1</v>
      </c>
      <c r="DS41" s="1" t="b">
        <f>AND(N_Micoud_North!C13,"AAAAAH+e/no=")</f>
        <v>1</v>
      </c>
      <c r="DT41" s="1" t="b">
        <f>AND(N_Micoud_North!D13,"AAAAAH+e/ns=")</f>
        <v>1</v>
      </c>
      <c r="DU41" s="1" t="b">
        <f>AND(N_Micoud_North!E13,"AAAAAH+e/nw=")</f>
        <v>1</v>
      </c>
      <c r="DV41" s="1" t="b">
        <f>AND(N_Micoud_North!F13,"AAAAAH+e/n0=")</f>
        <v>1</v>
      </c>
      <c r="DW41" s="1" t="b">
        <f>AND(N_Micoud_North!G13,"AAAAAH+e/n4=")</f>
        <v>0</v>
      </c>
      <c r="DX41" s="1" t="b">
        <f>AND(N_Micoud_North!H13,"AAAAAH+e/n8=")</f>
        <v>0</v>
      </c>
      <c r="DY41" s="1" t="b">
        <f>AND(N_Micoud_North!I13,"AAAAAH+e/oA=")</f>
        <v>1</v>
      </c>
      <c r="DZ41" s="1" t="b">
        <f>AND(N_Micoud_North!J13,"AAAAAH+e/oE=")</f>
        <v>1</v>
      </c>
      <c r="EA41" s="1" t="b">
        <f>AND(N_Micoud_North!K13,"AAAAAH+e/oI=")</f>
        <v>0</v>
      </c>
      <c r="EB41" s="1" t="b">
        <f>AND(N_Micoud_North!L13,"AAAAAH+e/oM=")</f>
        <v>0</v>
      </c>
      <c r="EC41" s="1" t="b">
        <f>AND(N_Micoud_North!M13,"AAAAAH+e/oQ=")</f>
        <v>1</v>
      </c>
      <c r="ED41" s="1" t="b">
        <f>AND(N_Micoud_North!N13,"AAAAAH+e/oU=")</f>
        <v>1</v>
      </c>
      <c r="EE41" s="1" t="b">
        <f>AND(N_Micoud_North!O13,"AAAAAH+e/oY=")</f>
        <v>1</v>
      </c>
      <c r="EF41" s="1" t="b">
        <f>AND(N_Micoud_North!P13,"AAAAAH+e/oc=")</f>
        <v>1</v>
      </c>
      <c r="EG41" s="1">
        <f>IF(N_Micoud_North!14:14,"AAAAAH+e/og=",0)</f>
        <v>0</v>
      </c>
      <c r="EH41" s="1" t="e">
        <f>AND(N_Micoud_North!A14,"AAAAAH+e/ok=")</f>
        <v>#VALUE!</v>
      </c>
      <c r="EI41" s="1" t="b">
        <f>AND(N_Micoud_North!B14,"AAAAAH+e/oo=")</f>
        <v>1</v>
      </c>
      <c r="EJ41" s="1" t="b">
        <f>AND(N_Micoud_North!C14,"AAAAAH+e/os=")</f>
        <v>1</v>
      </c>
      <c r="EK41" s="1" t="b">
        <f>AND(N_Micoud_North!D14,"AAAAAH+e/ow=")</f>
        <v>1</v>
      </c>
      <c r="EL41" s="1" t="b">
        <f>AND(N_Micoud_North!E14,"AAAAAH+e/o0=")</f>
        <v>1</v>
      </c>
      <c r="EM41" s="1" t="b">
        <f>AND(N_Micoud_North!F14,"AAAAAH+e/o4=")</f>
        <v>1</v>
      </c>
      <c r="EN41" s="1" t="b">
        <f>AND(N_Micoud_North!G14,"AAAAAH+e/o8=")</f>
        <v>0</v>
      </c>
      <c r="EO41" s="1" t="b">
        <f>AND(N_Micoud_North!H14,"AAAAAH+e/pA=")</f>
        <v>0</v>
      </c>
      <c r="EP41" s="1" t="b">
        <f>AND(N_Micoud_North!I14,"AAAAAH+e/pE=")</f>
        <v>1</v>
      </c>
      <c r="EQ41" s="1" t="b">
        <f>AND(N_Micoud_North!J14,"AAAAAH+e/pI=")</f>
        <v>1</v>
      </c>
      <c r="ER41" s="1" t="b">
        <f>AND(N_Micoud_North!K14,"AAAAAH+e/pM=")</f>
        <v>1</v>
      </c>
      <c r="ES41" s="1" t="b">
        <f>AND(N_Micoud_North!L14,"AAAAAH+e/pQ=")</f>
        <v>1</v>
      </c>
      <c r="ET41" s="1" t="b">
        <f>AND(N_Micoud_North!M14,"AAAAAH+e/pU=")</f>
        <v>1</v>
      </c>
      <c r="EU41" s="1" t="b">
        <f>AND(N_Micoud_North!N14,"AAAAAH+e/pY=")</f>
        <v>1</v>
      </c>
      <c r="EV41" s="1" t="b">
        <f>AND(N_Micoud_North!O14,"AAAAAH+e/pc=")</f>
        <v>1</v>
      </c>
      <c r="EW41" s="1" t="b">
        <f>AND(N_Micoud_North!P14,"AAAAAH+e/pg=")</f>
        <v>1</v>
      </c>
      <c r="EX41" s="1">
        <f>IF(N_Micoud_North!16:16,"AAAAAH+e/pk=",0)</f>
        <v>0</v>
      </c>
      <c r="EY41" s="1" t="e">
        <f>AND(N_Micoud_North!A16,"AAAAAH+e/po=")</f>
        <v>#VALUE!</v>
      </c>
      <c r="EZ41" s="1" t="e">
        <f>AND(N_Micoud_North!B16,"AAAAAH+e/ps=")</f>
        <v>#VALUE!</v>
      </c>
      <c r="FA41" s="1" t="e">
        <f>AND(N_Micoud_North!C16,"AAAAAH+e/pw=")</f>
        <v>#VALUE!</v>
      </c>
      <c r="FB41" s="1" t="e">
        <f>AND(N_Micoud_North!D16,"AAAAAH+e/p0=")</f>
        <v>#VALUE!</v>
      </c>
      <c r="FC41" s="1" t="e">
        <f>AND(N_Micoud_North!E16,"AAAAAH+e/p4=")</f>
        <v>#VALUE!</v>
      </c>
      <c r="FD41" s="1" t="e">
        <f>AND(N_Micoud_North!F16,"AAAAAH+e/p8=")</f>
        <v>#VALUE!</v>
      </c>
      <c r="FE41" s="1" t="e">
        <f>AND(N_Micoud_North!G16,"AAAAAH+e/qA=")</f>
        <v>#VALUE!</v>
      </c>
      <c r="FF41" s="1" t="e">
        <f>AND(N_Micoud_North!H16,"AAAAAH+e/qE=")</f>
        <v>#VALUE!</v>
      </c>
      <c r="FG41" s="1" t="e">
        <f>AND(N_Micoud_North!I16,"AAAAAH+e/qI=")</f>
        <v>#VALUE!</v>
      </c>
      <c r="FH41" s="1" t="e">
        <f>AND(N_Micoud_North!J16,"AAAAAH+e/qM=")</f>
        <v>#VALUE!</v>
      </c>
      <c r="FI41" s="1" t="e">
        <f>AND(N_Micoud_North!K16,"AAAAAH+e/qQ=")</f>
        <v>#VALUE!</v>
      </c>
      <c r="FJ41" s="1" t="e">
        <f>AND(N_Micoud_North!L16,"AAAAAH+e/qU=")</f>
        <v>#VALUE!</v>
      </c>
      <c r="FK41" s="1" t="e">
        <f>AND(N_Micoud_North!M16,"AAAAAH+e/qY=")</f>
        <v>#VALUE!</v>
      </c>
      <c r="FL41" s="1" t="e">
        <f>AND(N_Micoud_North!N16,"AAAAAH+e/qc=")</f>
        <v>#VALUE!</v>
      </c>
      <c r="FM41" s="1" t="e">
        <f>AND(N_Micoud_North!O16,"AAAAAH+e/qg=")</f>
        <v>#VALUE!</v>
      </c>
      <c r="FN41" s="1" t="e">
        <f>AND(N_Micoud_North!P16,"AAAAAH+e/qk=")</f>
        <v>#VALUE!</v>
      </c>
      <c r="FO41" s="1">
        <f>IF(N_Micoud_North!17:17,"AAAAAH+e/qo=",0)</f>
        <v>0</v>
      </c>
      <c r="FP41" s="1" t="e">
        <f>AND(N_Micoud_North!A17,"AAAAAH+e/qs=")</f>
        <v>#VALUE!</v>
      </c>
      <c r="FQ41" s="1" t="b">
        <f>AND(N_Micoud_North!B17,"AAAAAH+e/qw=")</f>
        <v>1</v>
      </c>
      <c r="FR41" s="1" t="b">
        <f>AND(N_Micoud_North!C17,"AAAAAH+e/q0=")</f>
        <v>1</v>
      </c>
      <c r="FS41" s="1" t="b">
        <f>AND(N_Micoud_North!D17,"AAAAAH+e/q4=")</f>
        <v>1</v>
      </c>
      <c r="FT41" s="1" t="b">
        <f>AND(N_Micoud_North!E17,"AAAAAH+e/q8=")</f>
        <v>1</v>
      </c>
      <c r="FU41" s="1" t="b">
        <f>AND(N_Micoud_North!F17,"AAAAAH+e/rA=")</f>
        <v>1</v>
      </c>
      <c r="FV41" s="1" t="b">
        <f>AND(N_Micoud_North!G17,"AAAAAH+e/rE=")</f>
        <v>0</v>
      </c>
      <c r="FW41" s="1" t="b">
        <f>AND(N_Micoud_North!H17,"AAAAAH+e/rI=")</f>
        <v>0</v>
      </c>
      <c r="FX41" s="1" t="b">
        <f>AND(N_Micoud_North!I17,"AAAAAH+e/rM=")</f>
        <v>1</v>
      </c>
      <c r="FY41" s="1" t="b">
        <f>AND(N_Micoud_North!J17,"AAAAAH+e/rQ=")</f>
        <v>1</v>
      </c>
      <c r="FZ41" s="1" t="b">
        <f>AND(N_Micoud_North!K17,"AAAAAH+e/rU=")</f>
        <v>1</v>
      </c>
      <c r="GA41" s="1" t="b">
        <f>AND(N_Micoud_North!L17,"AAAAAH+e/rY=")</f>
        <v>1</v>
      </c>
      <c r="GB41" s="1" t="b">
        <f>AND(N_Micoud_North!M17,"AAAAAH+e/rc=")</f>
        <v>1</v>
      </c>
      <c r="GC41" s="1" t="b">
        <f>AND(N_Micoud_North!N17,"AAAAAH+e/rg=")</f>
        <v>1</v>
      </c>
      <c r="GD41" s="1" t="b">
        <f>AND(N_Micoud_North!O17,"AAAAAH+e/rk=")</f>
        <v>1</v>
      </c>
      <c r="GE41" s="1" t="b">
        <f>AND(N_Micoud_North!P17,"AAAAAH+e/ro=")</f>
        <v>1</v>
      </c>
      <c r="GF41" s="1">
        <f>IF(N_Micoud_North!18:18,"AAAAAH+e/rs=",0)</f>
        <v>0</v>
      </c>
      <c r="GG41" s="1" t="e">
        <f>AND(N_Micoud_North!A18,"AAAAAH+e/rw=")</f>
        <v>#VALUE!</v>
      </c>
      <c r="GH41" s="1" t="b">
        <f>AND(N_Micoud_North!B18,"AAAAAH+e/r0=")</f>
        <v>1</v>
      </c>
      <c r="GI41" s="1" t="b">
        <f>AND(N_Micoud_North!C18,"AAAAAH+e/r4=")</f>
        <v>1</v>
      </c>
      <c r="GJ41" s="1" t="b">
        <f>AND(N_Micoud_North!D18,"AAAAAH+e/r8=")</f>
        <v>1</v>
      </c>
      <c r="GK41" s="1" t="b">
        <f>AND(N_Micoud_North!E18,"AAAAAH+e/sA=")</f>
        <v>1</v>
      </c>
      <c r="GL41" s="1" t="b">
        <f>AND(N_Micoud_North!F18,"AAAAAH+e/sE=")</f>
        <v>1</v>
      </c>
      <c r="GM41" s="1" t="b">
        <f>AND(N_Micoud_North!G18,"AAAAAH+e/sI=")</f>
        <v>0</v>
      </c>
      <c r="GN41" s="1" t="b">
        <f>AND(N_Micoud_North!H18,"AAAAAH+e/sM=")</f>
        <v>0</v>
      </c>
      <c r="GO41" s="1" t="b">
        <f>AND(N_Micoud_North!I18,"AAAAAH+e/sQ=")</f>
        <v>1</v>
      </c>
      <c r="GP41" s="1" t="b">
        <f>AND(N_Micoud_North!J18,"AAAAAH+e/sU=")</f>
        <v>1</v>
      </c>
      <c r="GQ41" s="1" t="b">
        <f>AND(N_Micoud_North!K18,"AAAAAH+e/sY=")</f>
        <v>1</v>
      </c>
      <c r="GR41" s="1" t="b">
        <f>AND(N_Micoud_North!L18,"AAAAAH+e/sc=")</f>
        <v>1</v>
      </c>
      <c r="GS41" s="1" t="b">
        <f>AND(N_Micoud_North!M18,"AAAAAH+e/sg=")</f>
        <v>1</v>
      </c>
      <c r="GT41" s="1" t="b">
        <f>AND(N_Micoud_North!N18,"AAAAAH+e/sk=")</f>
        <v>1</v>
      </c>
      <c r="GU41" s="1" t="b">
        <f>AND(N_Micoud_North!O18,"AAAAAH+e/so=")</f>
        <v>1</v>
      </c>
      <c r="GV41" s="1" t="b">
        <f>AND(N_Micoud_North!P18,"AAAAAH+e/ss=")</f>
        <v>1</v>
      </c>
      <c r="GW41" s="1">
        <f>IF(N_Micoud_North!19:19,"AAAAAH+e/sw=",0)</f>
        <v>0</v>
      </c>
      <c r="GX41" s="1" t="e">
        <f>AND(N_Micoud_North!A19,"AAAAAH+e/s0=")</f>
        <v>#VALUE!</v>
      </c>
      <c r="GY41" s="1" t="b">
        <f>AND(N_Micoud_North!B19,"AAAAAH+e/s4=")</f>
        <v>1</v>
      </c>
      <c r="GZ41" s="1" t="b">
        <f>AND(N_Micoud_North!C19,"AAAAAH+e/s8=")</f>
        <v>1</v>
      </c>
      <c r="HA41" s="1" t="b">
        <f>AND(N_Micoud_North!D19,"AAAAAH+e/tA=")</f>
        <v>1</v>
      </c>
      <c r="HB41" s="1" t="b">
        <f>AND(N_Micoud_North!E19,"AAAAAH+e/tE=")</f>
        <v>1</v>
      </c>
      <c r="HC41" s="1" t="b">
        <f>AND(N_Micoud_North!F19,"AAAAAH+e/tI=")</f>
        <v>1</v>
      </c>
      <c r="HD41" s="1" t="b">
        <f>AND(N_Micoud_North!G19,"AAAAAH+e/tM=")</f>
        <v>1</v>
      </c>
      <c r="HE41" s="1" t="b">
        <f>AND(N_Micoud_North!H19,"AAAAAH+e/tQ=")</f>
        <v>1</v>
      </c>
      <c r="HF41" s="1" t="b">
        <f>AND(N_Micoud_North!I19,"AAAAAH+e/tU=")</f>
        <v>1</v>
      </c>
      <c r="HG41" s="1" t="b">
        <f>AND(N_Micoud_North!J19,"AAAAAH+e/tY=")</f>
        <v>1</v>
      </c>
      <c r="HH41" s="1" t="b">
        <f>AND(N_Micoud_North!K19,"AAAAAH+e/tc=")</f>
        <v>1</v>
      </c>
      <c r="HI41" s="1" t="b">
        <f>AND(N_Micoud_North!L19,"AAAAAH+e/tg=")</f>
        <v>1</v>
      </c>
      <c r="HJ41" s="1" t="b">
        <f>AND(N_Micoud_North!M19,"AAAAAH+e/tk=")</f>
        <v>1</v>
      </c>
      <c r="HK41" s="1" t="b">
        <f>AND(N_Micoud_North!N19,"AAAAAH+e/to=")</f>
        <v>1</v>
      </c>
      <c r="HL41" s="1" t="b">
        <f>AND(N_Micoud_North!O19,"AAAAAH+e/ts=")</f>
        <v>1</v>
      </c>
      <c r="HM41" s="1" t="b">
        <f>AND(N_Micoud_North!P19,"AAAAAH+e/tw=")</f>
        <v>1</v>
      </c>
      <c r="HN41" s="1">
        <f>IF(N_Micoud_North!20:20,"AAAAAH+e/t0=",0)</f>
        <v>0</v>
      </c>
      <c r="HO41" s="1" t="e">
        <f>AND(N_Micoud_North!A20,"AAAAAH+e/t4=")</f>
        <v>#VALUE!</v>
      </c>
      <c r="HP41" s="1" t="b">
        <f>AND(N_Micoud_North!B20,"AAAAAH+e/t8=")</f>
        <v>1</v>
      </c>
      <c r="HQ41" s="1" t="b">
        <f>AND(N_Micoud_North!C20,"AAAAAH+e/uA=")</f>
        <v>1</v>
      </c>
      <c r="HR41" s="1" t="b">
        <f>AND(N_Micoud_North!D20,"AAAAAH+e/uE=")</f>
        <v>1</v>
      </c>
      <c r="HS41" s="1" t="b">
        <f>AND(N_Micoud_North!E20,"AAAAAH+e/uI=")</f>
        <v>1</v>
      </c>
      <c r="HT41" s="1" t="b">
        <f>AND(N_Micoud_North!F20,"AAAAAH+e/uM=")</f>
        <v>1</v>
      </c>
      <c r="HU41" s="1" t="b">
        <f>AND(N_Micoud_North!G20,"AAAAAH+e/uQ=")</f>
        <v>0</v>
      </c>
      <c r="HV41" s="1" t="b">
        <f>AND(N_Micoud_North!H20,"AAAAAH+e/uU=")</f>
        <v>0</v>
      </c>
      <c r="HW41" s="1" t="b">
        <f>AND(N_Micoud_North!I20,"AAAAAH+e/uY=")</f>
        <v>1</v>
      </c>
      <c r="HX41" s="1" t="b">
        <f>AND(N_Micoud_North!J20,"AAAAAH+e/uc=")</f>
        <v>1</v>
      </c>
      <c r="HY41" s="1" t="b">
        <f>AND(N_Micoud_North!K20,"AAAAAH+e/ug=")</f>
        <v>1</v>
      </c>
      <c r="HZ41" s="1" t="b">
        <f>AND(N_Micoud_North!L20,"AAAAAH+e/uk=")</f>
        <v>1</v>
      </c>
      <c r="IA41" s="1" t="b">
        <f>AND(N_Micoud_North!M20,"AAAAAH+e/uo=")</f>
        <v>1</v>
      </c>
      <c r="IB41" s="1" t="b">
        <f>AND(N_Micoud_North!N20,"AAAAAH+e/us=")</f>
        <v>1</v>
      </c>
      <c r="IC41" s="1" t="b">
        <f>AND(N_Micoud_North!O20,"AAAAAH+e/uw=")</f>
        <v>1</v>
      </c>
      <c r="ID41" s="1" t="b">
        <f>AND(N_Micoud_North!P20,"AAAAAH+e/u0=")</f>
        <v>1</v>
      </c>
      <c r="IE41" s="1">
        <f>IF(N_Micoud_North!21:21,"AAAAAH+e/u4=",0)</f>
        <v>0</v>
      </c>
      <c r="IF41" s="1" t="e">
        <f>AND(N_Micoud_North!A21,"AAAAAH+e/u8=")</f>
        <v>#VALUE!</v>
      </c>
      <c r="IG41" s="1" t="b">
        <f>AND(N_Micoud_North!B21,"AAAAAH+e/vA=")</f>
        <v>1</v>
      </c>
      <c r="IH41" s="1" t="b">
        <f>AND(N_Micoud_North!C21,"AAAAAH+e/vE=")</f>
        <v>1</v>
      </c>
      <c r="II41" s="1" t="b">
        <f>AND(N_Micoud_North!D21,"AAAAAH+e/vI=")</f>
        <v>1</v>
      </c>
      <c r="IJ41" s="1" t="b">
        <f>AND(N_Micoud_North!E21,"AAAAAH+e/vM=")</f>
        <v>1</v>
      </c>
      <c r="IK41" s="1" t="b">
        <f>AND(N_Micoud_North!F21,"AAAAAH+e/vQ=")</f>
        <v>1</v>
      </c>
      <c r="IL41" s="1" t="b">
        <f>AND(N_Micoud_North!G21,"AAAAAH+e/vU=")</f>
        <v>0</v>
      </c>
      <c r="IM41" s="1" t="b">
        <f>AND(N_Micoud_North!H21,"AAAAAH+e/vY=")</f>
        <v>0</v>
      </c>
      <c r="IN41" s="1" t="b">
        <f>AND(N_Micoud_North!I21,"AAAAAH+e/vc=")</f>
        <v>1</v>
      </c>
      <c r="IO41" s="1" t="b">
        <f>AND(N_Micoud_North!J21,"AAAAAH+e/vg=")</f>
        <v>1</v>
      </c>
      <c r="IP41" s="1" t="b">
        <f>AND(N_Micoud_North!K21,"AAAAAH+e/vk=")</f>
        <v>1</v>
      </c>
      <c r="IQ41" s="1" t="b">
        <f>AND(N_Micoud_North!L21,"AAAAAH+e/vo=")</f>
        <v>1</v>
      </c>
      <c r="IR41" s="1" t="b">
        <f>AND(N_Micoud_North!M21,"AAAAAH+e/vs=")</f>
        <v>1</v>
      </c>
      <c r="IS41" s="1" t="b">
        <f>AND(N_Micoud_North!N21,"AAAAAH+e/vw=")</f>
        <v>1</v>
      </c>
      <c r="IT41" s="1" t="b">
        <f>AND(N_Micoud_North!O21,"AAAAAH+e/v0=")</f>
        <v>1</v>
      </c>
      <c r="IU41" s="1" t="b">
        <f>AND(N_Micoud_North!P21,"AAAAAH+e/v4=")</f>
        <v>1</v>
      </c>
      <c r="IV41" s="1" t="e">
        <f>IF(N_Micoud_North!#REF!,"AAAAAH+e/v8=",0)</f>
        <v>#REF!</v>
      </c>
    </row>
    <row r="42" spans="1:256" ht="12" customHeight="1" x14ac:dyDescent="0.2">
      <c r="A42" s="1" t="e">
        <f>AND(N_Micoud_North!#REF!,"AAAAAHz/vQA=")</f>
        <v>#REF!</v>
      </c>
      <c r="B42" s="1" t="e">
        <f>AND(N_Micoud_North!#REF!,"AAAAAHz/vQE=")</f>
        <v>#REF!</v>
      </c>
      <c r="C42" s="1" t="e">
        <f>AND(N_Micoud_North!#REF!,"AAAAAHz/vQI=")</f>
        <v>#REF!</v>
      </c>
      <c r="D42" s="1" t="e">
        <f>AND(N_Micoud_North!#REF!,"AAAAAHz/vQM=")</f>
        <v>#REF!</v>
      </c>
      <c r="E42" s="1" t="e">
        <f>AND(N_Micoud_North!#REF!,"AAAAAHz/vQQ=")</f>
        <v>#REF!</v>
      </c>
      <c r="F42" s="1" t="e">
        <f>AND(N_Micoud_North!#REF!,"AAAAAHz/vQU=")</f>
        <v>#REF!</v>
      </c>
      <c r="G42" s="1" t="e">
        <f>AND(N_Micoud_North!#REF!,"AAAAAHz/vQY=")</f>
        <v>#REF!</v>
      </c>
      <c r="H42" s="1" t="e">
        <f>AND(N_Micoud_North!#REF!,"AAAAAHz/vQc=")</f>
        <v>#REF!</v>
      </c>
      <c r="I42" s="1" t="e">
        <f>AND(N_Micoud_North!#REF!,"AAAAAHz/vQg=")</f>
        <v>#REF!</v>
      </c>
      <c r="J42" s="1" t="e">
        <f>AND(N_Micoud_North!#REF!,"AAAAAHz/vQk=")</f>
        <v>#REF!</v>
      </c>
      <c r="K42" s="1" t="e">
        <f>AND(N_Micoud_North!#REF!,"AAAAAHz/vQo=")</f>
        <v>#REF!</v>
      </c>
      <c r="L42" s="1" t="e">
        <f>AND(N_Micoud_North!#REF!,"AAAAAHz/vQs=")</f>
        <v>#REF!</v>
      </c>
      <c r="M42" s="1" t="e">
        <f>AND(N_Micoud_North!#REF!,"AAAAAHz/vQw=")</f>
        <v>#REF!</v>
      </c>
      <c r="N42" s="1" t="e">
        <f>AND(N_Micoud_North!#REF!,"AAAAAHz/vQ0=")</f>
        <v>#REF!</v>
      </c>
      <c r="O42" s="1" t="e">
        <f>AND(N_Micoud_North!#REF!,"AAAAAHz/vQ4=")</f>
        <v>#REF!</v>
      </c>
      <c r="P42" s="1" t="e">
        <f>AND(N_Micoud_North!#REF!,"AAAAAHz/vQ8=")</f>
        <v>#REF!</v>
      </c>
      <c r="Q42" s="1">
        <f>IF(N_Micoud_North!22:22,"AAAAAHz/vRA=",0)</f>
        <v>0</v>
      </c>
      <c r="R42" s="1" t="e">
        <f>AND(N_Micoud_North!A22,"AAAAAHz/vRE=")</f>
        <v>#VALUE!</v>
      </c>
      <c r="S42" s="1" t="b">
        <f>AND(N_Micoud_North!B22,"AAAAAHz/vRI=")</f>
        <v>1</v>
      </c>
      <c r="T42" s="1" t="b">
        <f>AND(N_Micoud_North!C22,"AAAAAHz/vRM=")</f>
        <v>1</v>
      </c>
      <c r="U42" s="1" t="b">
        <f>AND(N_Micoud_North!D22,"AAAAAHz/vRQ=")</f>
        <v>1</v>
      </c>
      <c r="V42" s="1" t="b">
        <f>AND(N_Micoud_North!E22,"AAAAAHz/vRU=")</f>
        <v>1</v>
      </c>
      <c r="W42" s="1" t="b">
        <f>AND(N_Micoud_North!F22,"AAAAAHz/vRY=")</f>
        <v>1</v>
      </c>
      <c r="X42" s="1" t="b">
        <f>AND(N_Micoud_North!G22,"AAAAAHz/vRc=")</f>
        <v>1</v>
      </c>
      <c r="Y42" s="1" t="b">
        <f>AND(N_Micoud_North!H22,"AAAAAHz/vRg=")</f>
        <v>1</v>
      </c>
      <c r="Z42" s="1" t="b">
        <f>AND(N_Micoud_North!I22,"AAAAAHz/vRk=")</f>
        <v>1</v>
      </c>
      <c r="AA42" s="1" t="b">
        <f>AND(N_Micoud_North!J22,"AAAAAHz/vRo=")</f>
        <v>1</v>
      </c>
      <c r="AB42" s="1" t="b">
        <f>AND(N_Micoud_North!K22,"AAAAAHz/vRs=")</f>
        <v>1</v>
      </c>
      <c r="AC42" s="1" t="b">
        <f>AND(N_Micoud_North!L22,"AAAAAHz/vRw=")</f>
        <v>1</v>
      </c>
      <c r="AD42" s="1" t="b">
        <f>AND(N_Micoud_North!M22,"AAAAAHz/vR0=")</f>
        <v>1</v>
      </c>
      <c r="AE42" s="1" t="b">
        <f>AND(N_Micoud_North!N22,"AAAAAHz/vR4=")</f>
        <v>1</v>
      </c>
      <c r="AF42" s="1" t="b">
        <f>AND(N_Micoud_North!O22,"AAAAAHz/vR8=")</f>
        <v>1</v>
      </c>
      <c r="AG42" s="1" t="b">
        <f>AND(N_Micoud_North!P22,"AAAAAHz/vSA=")</f>
        <v>1</v>
      </c>
      <c r="AH42" s="1">
        <f>IF(N_Micoud_North!24:24,"AAAAAHz/vSE=",0)</f>
        <v>0</v>
      </c>
      <c r="AI42" s="1" t="e">
        <f>AND(N_Micoud_North!A24,"AAAAAHz/vSI=")</f>
        <v>#VALUE!</v>
      </c>
      <c r="AJ42" s="1" t="e">
        <f>AND(N_Micoud_North!B24,"AAAAAHz/vSM=")</f>
        <v>#VALUE!</v>
      </c>
      <c r="AK42" s="1" t="e">
        <f>AND(N_Micoud_North!C24,"AAAAAHz/vSQ=")</f>
        <v>#VALUE!</v>
      </c>
      <c r="AL42" s="1" t="e">
        <f>AND(N_Micoud_North!D24,"AAAAAHz/vSU=")</f>
        <v>#VALUE!</v>
      </c>
      <c r="AM42" s="1" t="e">
        <f>AND(N_Micoud_North!E24,"AAAAAHz/vSY=")</f>
        <v>#VALUE!</v>
      </c>
      <c r="AN42" s="1" t="e">
        <f>AND(N_Micoud_North!F24,"AAAAAHz/vSc=")</f>
        <v>#VALUE!</v>
      </c>
      <c r="AO42" s="1" t="e">
        <f>AND(N_Micoud_North!G24,"AAAAAHz/vSg=")</f>
        <v>#VALUE!</v>
      </c>
      <c r="AP42" s="1" t="e">
        <f>AND(N_Micoud_North!H24,"AAAAAHz/vSk=")</f>
        <v>#VALUE!</v>
      </c>
      <c r="AQ42" s="1" t="e">
        <f>AND(N_Micoud_North!I24,"AAAAAHz/vSo=")</f>
        <v>#VALUE!</v>
      </c>
      <c r="AR42" s="1" t="e">
        <f>AND(N_Micoud_North!J24,"AAAAAHz/vSs=")</f>
        <v>#VALUE!</v>
      </c>
      <c r="AS42" s="1" t="e">
        <f>AND(N_Micoud_North!K24,"AAAAAHz/vSw=")</f>
        <v>#VALUE!</v>
      </c>
      <c r="AT42" s="1" t="e">
        <f>AND(N_Micoud_North!L24,"AAAAAHz/vS0=")</f>
        <v>#VALUE!</v>
      </c>
      <c r="AU42" s="1" t="e">
        <f>AND(N_Micoud_North!M24,"AAAAAHz/vS4=")</f>
        <v>#VALUE!</v>
      </c>
      <c r="AV42" s="1" t="e">
        <f>AND(N_Micoud_North!N24,"AAAAAHz/vS8=")</f>
        <v>#VALUE!</v>
      </c>
      <c r="AW42" s="1" t="e">
        <f>AND(N_Micoud_North!O24,"AAAAAHz/vTA=")</f>
        <v>#VALUE!</v>
      </c>
      <c r="AX42" s="1" t="e">
        <f>AND(N_Micoud_North!P24,"AAAAAHz/vTE=")</f>
        <v>#VALUE!</v>
      </c>
      <c r="AY42" s="1">
        <f>IF(N_Micoud_North!25:25,"AAAAAHz/vTI=",0)</f>
        <v>0</v>
      </c>
      <c r="AZ42" s="1" t="e">
        <f>AND(N_Micoud_North!A25,"AAAAAHz/vTM=")</f>
        <v>#VALUE!</v>
      </c>
      <c r="BA42" s="1" t="b">
        <f>AND(N_Micoud_North!B25,"AAAAAHz/vTQ=")</f>
        <v>1</v>
      </c>
      <c r="BB42" s="1" t="b">
        <f>AND(N_Micoud_North!C25,"AAAAAHz/vTU=")</f>
        <v>1</v>
      </c>
      <c r="BC42" s="1" t="b">
        <f>AND(N_Micoud_North!D25,"AAAAAHz/vTY=")</f>
        <v>1</v>
      </c>
      <c r="BD42" s="1" t="b">
        <f>AND(N_Micoud_North!E25,"AAAAAHz/vTc=")</f>
        <v>1</v>
      </c>
      <c r="BE42" s="1" t="b">
        <f>AND(N_Micoud_North!F25,"AAAAAHz/vTg=")</f>
        <v>1</v>
      </c>
      <c r="BF42" s="1" t="b">
        <f>AND(N_Micoud_North!G25,"AAAAAHz/vTk=")</f>
        <v>0</v>
      </c>
      <c r="BG42" s="1" t="b">
        <f>AND(N_Micoud_North!H25,"AAAAAHz/vTo=")</f>
        <v>0</v>
      </c>
      <c r="BH42" s="1" t="b">
        <f>AND(N_Micoud_North!I25,"AAAAAHz/vTs=")</f>
        <v>1</v>
      </c>
      <c r="BI42" s="1" t="b">
        <f>AND(N_Micoud_North!J25,"AAAAAHz/vTw=")</f>
        <v>1</v>
      </c>
      <c r="BJ42" s="1" t="b">
        <f>AND(N_Micoud_North!K25,"AAAAAHz/vT0=")</f>
        <v>1</v>
      </c>
      <c r="BK42" s="1" t="b">
        <f>AND(N_Micoud_North!L25,"AAAAAHz/vT4=")</f>
        <v>1</v>
      </c>
      <c r="BL42" s="1" t="b">
        <f>AND(N_Micoud_North!M25,"AAAAAHz/vT8=")</f>
        <v>1</v>
      </c>
      <c r="BM42" s="1" t="b">
        <f>AND(N_Micoud_North!N25,"AAAAAHz/vUA=")</f>
        <v>1</v>
      </c>
      <c r="BN42" s="1" t="b">
        <f>AND(N_Micoud_North!O25,"AAAAAHz/vUE=")</f>
        <v>1</v>
      </c>
      <c r="BO42" s="1" t="b">
        <f>AND(N_Micoud_North!P25,"AAAAAHz/vUI=")</f>
        <v>1</v>
      </c>
      <c r="BP42" s="1">
        <f>IF(N_Micoud_North!26:26,"AAAAAHz/vUM=",0)</f>
        <v>0</v>
      </c>
      <c r="BQ42" s="1" t="e">
        <f>AND(N_Micoud_North!A26,"AAAAAHz/vUQ=")</f>
        <v>#VALUE!</v>
      </c>
      <c r="BR42" s="1" t="b">
        <f>AND(N_Micoud_North!B26,"AAAAAHz/vUU=")</f>
        <v>1</v>
      </c>
      <c r="BS42" s="1" t="b">
        <f>AND(N_Micoud_North!C26,"AAAAAHz/vUY=")</f>
        <v>1</v>
      </c>
      <c r="BT42" s="1" t="b">
        <f>AND(N_Micoud_North!D26,"AAAAAHz/vUc=")</f>
        <v>1</v>
      </c>
      <c r="BU42" s="1" t="b">
        <f>AND(N_Micoud_North!E26,"AAAAAHz/vUg=")</f>
        <v>1</v>
      </c>
      <c r="BV42" s="1" t="b">
        <f>AND(N_Micoud_North!F26,"AAAAAHz/vUk=")</f>
        <v>1</v>
      </c>
      <c r="BW42" s="1" t="b">
        <f>AND(N_Micoud_North!G26,"AAAAAHz/vUo=")</f>
        <v>0</v>
      </c>
      <c r="BX42" s="1" t="b">
        <f>AND(N_Micoud_North!H26,"AAAAAHz/vUs=")</f>
        <v>0</v>
      </c>
      <c r="BY42" s="1" t="b">
        <f>AND(N_Micoud_North!I26,"AAAAAHz/vUw=")</f>
        <v>1</v>
      </c>
      <c r="BZ42" s="1" t="b">
        <f>AND(N_Micoud_North!J26,"AAAAAHz/vU0=")</f>
        <v>1</v>
      </c>
      <c r="CA42" s="1" t="b">
        <f>AND(N_Micoud_North!K26,"AAAAAHz/vU4=")</f>
        <v>1</v>
      </c>
      <c r="CB42" s="1" t="b">
        <f>AND(N_Micoud_North!L26,"AAAAAHz/vU8=")</f>
        <v>1</v>
      </c>
      <c r="CC42" s="1" t="b">
        <f>AND(N_Micoud_North!M26,"AAAAAHz/vVA=")</f>
        <v>1</v>
      </c>
      <c r="CD42" s="1" t="b">
        <f>AND(N_Micoud_North!N26,"AAAAAHz/vVE=")</f>
        <v>1</v>
      </c>
      <c r="CE42" s="1" t="b">
        <f>AND(N_Micoud_North!O26,"AAAAAHz/vVI=")</f>
        <v>1</v>
      </c>
      <c r="CF42" s="1" t="b">
        <f>AND(N_Micoud_North!P26,"AAAAAHz/vVM=")</f>
        <v>1</v>
      </c>
      <c r="CG42" s="1">
        <f>IF(N_Micoud_North!27:27,"AAAAAHz/vVQ=",0)</f>
        <v>0</v>
      </c>
      <c r="CH42" s="1" t="e">
        <f>AND(N_Micoud_North!A27,"AAAAAHz/vVU=")</f>
        <v>#VALUE!</v>
      </c>
      <c r="CI42" s="1" t="b">
        <f>AND(N_Micoud_North!B27,"AAAAAHz/vVY=")</f>
        <v>1</v>
      </c>
      <c r="CJ42" s="1" t="b">
        <f>AND(N_Micoud_North!C27,"AAAAAHz/vVc=")</f>
        <v>1</v>
      </c>
      <c r="CK42" s="1" t="b">
        <f>AND(N_Micoud_North!D27,"AAAAAHz/vVg=")</f>
        <v>1</v>
      </c>
      <c r="CL42" s="1" t="b">
        <f>AND(N_Micoud_North!E27,"AAAAAHz/vVk=")</f>
        <v>1</v>
      </c>
      <c r="CM42" s="1" t="b">
        <f>AND(N_Micoud_North!F27,"AAAAAHz/vVo=")</f>
        <v>1</v>
      </c>
      <c r="CN42" s="1" t="b">
        <f>AND(N_Micoud_North!G27,"AAAAAHz/vVs=")</f>
        <v>1</v>
      </c>
      <c r="CO42" s="1" t="b">
        <f>AND(N_Micoud_North!H27,"AAAAAHz/vVw=")</f>
        <v>1</v>
      </c>
      <c r="CP42" s="1" t="b">
        <f>AND(N_Micoud_North!I27,"AAAAAHz/vV0=")</f>
        <v>1</v>
      </c>
      <c r="CQ42" s="1" t="b">
        <f>AND(N_Micoud_North!J27,"AAAAAHz/vV4=")</f>
        <v>1</v>
      </c>
      <c r="CR42" s="1" t="b">
        <f>AND(N_Micoud_North!K27,"AAAAAHz/vV8=")</f>
        <v>0</v>
      </c>
      <c r="CS42" s="1" t="b">
        <f>AND(N_Micoud_North!L27,"AAAAAHz/vWA=")</f>
        <v>0</v>
      </c>
      <c r="CT42" s="1" t="b">
        <f>AND(N_Micoud_North!M27,"AAAAAHz/vWE=")</f>
        <v>1</v>
      </c>
      <c r="CU42" s="1" t="b">
        <f>AND(N_Micoud_North!N27,"AAAAAHz/vWI=")</f>
        <v>1</v>
      </c>
      <c r="CV42" s="1" t="b">
        <f>AND(N_Micoud_North!O27,"AAAAAHz/vWM=")</f>
        <v>1</v>
      </c>
      <c r="CW42" s="1" t="b">
        <f>AND(N_Micoud_North!P27,"AAAAAHz/vWQ=")</f>
        <v>1</v>
      </c>
      <c r="CX42" s="1">
        <f>IF(N_Micoud_North!28:28,"AAAAAHz/vWU=",0)</f>
        <v>0</v>
      </c>
      <c r="CY42" s="1" t="e">
        <f>AND(N_Micoud_North!A28,"AAAAAHz/vWY=")</f>
        <v>#VALUE!</v>
      </c>
      <c r="CZ42" s="1" t="b">
        <f>AND(N_Micoud_North!B28,"AAAAAHz/vWc=")</f>
        <v>1</v>
      </c>
      <c r="DA42" s="1" t="b">
        <f>AND(N_Micoud_North!C28,"AAAAAHz/vWg=")</f>
        <v>1</v>
      </c>
      <c r="DB42" s="1" t="b">
        <f>AND(N_Micoud_North!D28,"AAAAAHz/vWk=")</f>
        <v>1</v>
      </c>
      <c r="DC42" s="1" t="b">
        <f>AND(N_Micoud_North!E28,"AAAAAHz/vWo=")</f>
        <v>1</v>
      </c>
      <c r="DD42" s="1" t="b">
        <f>AND(N_Micoud_North!F28,"AAAAAHz/vWs=")</f>
        <v>1</v>
      </c>
      <c r="DE42" s="1" t="b">
        <f>AND(N_Micoud_North!G28,"AAAAAHz/vWw=")</f>
        <v>0</v>
      </c>
      <c r="DF42" s="1" t="b">
        <f>AND(N_Micoud_North!H28,"AAAAAHz/vW0=")</f>
        <v>0</v>
      </c>
      <c r="DG42" s="1" t="b">
        <f>AND(N_Micoud_North!I28,"AAAAAHz/vW4=")</f>
        <v>1</v>
      </c>
      <c r="DH42" s="1" t="b">
        <f>AND(N_Micoud_North!J28,"AAAAAHz/vW8=")</f>
        <v>1</v>
      </c>
      <c r="DI42" s="1" t="b">
        <f>AND(N_Micoud_North!K28,"AAAAAHz/vXA=")</f>
        <v>1</v>
      </c>
      <c r="DJ42" s="1" t="b">
        <f>AND(N_Micoud_North!L28,"AAAAAHz/vXE=")</f>
        <v>1</v>
      </c>
      <c r="DK42" s="1" t="b">
        <f>AND(N_Micoud_North!M28,"AAAAAHz/vXI=")</f>
        <v>1</v>
      </c>
      <c r="DL42" s="1" t="b">
        <f>AND(N_Micoud_North!N28,"AAAAAHz/vXM=")</f>
        <v>1</v>
      </c>
      <c r="DM42" s="1" t="b">
        <f>AND(N_Micoud_North!O28,"AAAAAHz/vXQ=")</f>
        <v>1</v>
      </c>
      <c r="DN42" s="1" t="b">
        <f>AND(N_Micoud_North!P28,"AAAAAHz/vXU=")</f>
        <v>1</v>
      </c>
      <c r="DO42" s="1" t="e">
        <f>IF(N_Micoud_North!#REF!,"AAAAAHz/vXY=",0)</f>
        <v>#REF!</v>
      </c>
      <c r="DP42" s="1" t="e">
        <f>AND(N_Micoud_North!#REF!,"AAAAAHz/vXc=")</f>
        <v>#REF!</v>
      </c>
      <c r="DQ42" s="1" t="e">
        <f>AND(N_Micoud_North!#REF!,"AAAAAHz/vXg=")</f>
        <v>#REF!</v>
      </c>
      <c r="DR42" s="1" t="e">
        <f>AND(N_Micoud_North!#REF!,"AAAAAHz/vXk=")</f>
        <v>#REF!</v>
      </c>
      <c r="DS42" s="1" t="e">
        <f>AND(N_Micoud_North!#REF!,"AAAAAHz/vXo=")</f>
        <v>#REF!</v>
      </c>
      <c r="DT42" s="1" t="e">
        <f>AND(N_Micoud_North!#REF!,"AAAAAHz/vXs=")</f>
        <v>#REF!</v>
      </c>
      <c r="DU42" s="1" t="e">
        <f>AND(N_Micoud_North!#REF!,"AAAAAHz/vXw=")</f>
        <v>#REF!</v>
      </c>
      <c r="DV42" s="1" t="e">
        <f>AND(N_Micoud_North!#REF!,"AAAAAHz/vX0=")</f>
        <v>#REF!</v>
      </c>
      <c r="DW42" s="1" t="e">
        <f>AND(N_Micoud_North!#REF!,"AAAAAHz/vX4=")</f>
        <v>#REF!</v>
      </c>
      <c r="DX42" s="1" t="e">
        <f>AND(N_Micoud_North!#REF!,"AAAAAHz/vX8=")</f>
        <v>#REF!</v>
      </c>
      <c r="DY42" s="1" t="e">
        <f>AND(N_Micoud_North!#REF!,"AAAAAHz/vYA=")</f>
        <v>#REF!</v>
      </c>
      <c r="DZ42" s="1" t="e">
        <f>AND(N_Micoud_North!#REF!,"AAAAAHz/vYE=")</f>
        <v>#REF!</v>
      </c>
      <c r="EA42" s="1" t="e">
        <f>AND(N_Micoud_North!#REF!,"AAAAAHz/vYI=")</f>
        <v>#REF!</v>
      </c>
      <c r="EB42" s="1" t="e">
        <f>AND(N_Micoud_North!#REF!,"AAAAAHz/vYM=")</f>
        <v>#REF!</v>
      </c>
      <c r="EC42" s="1" t="e">
        <f>AND(N_Micoud_North!#REF!,"AAAAAHz/vYQ=")</f>
        <v>#REF!</v>
      </c>
      <c r="ED42" s="1" t="e">
        <f>AND(N_Micoud_North!#REF!,"AAAAAHz/vYU=")</f>
        <v>#REF!</v>
      </c>
      <c r="EE42" s="1" t="e">
        <f>AND(N_Micoud_North!#REF!,"AAAAAHz/vYY=")</f>
        <v>#REF!</v>
      </c>
      <c r="EF42" s="1">
        <f>IF(N_Micoud_North!29:29,"AAAAAHz/vYc=",0)</f>
        <v>0</v>
      </c>
      <c r="EG42" s="1" t="e">
        <f>AND(N_Micoud_North!A29,"AAAAAHz/vYg=")</f>
        <v>#VALUE!</v>
      </c>
      <c r="EH42" s="1" t="b">
        <f>AND(N_Micoud_North!B29,"AAAAAHz/vYk=")</f>
        <v>1</v>
      </c>
      <c r="EI42" s="1" t="b">
        <f>AND(N_Micoud_North!C29,"AAAAAHz/vYo=")</f>
        <v>1</v>
      </c>
      <c r="EJ42" s="1" t="b">
        <f>AND(N_Micoud_North!D29,"AAAAAHz/vYs=")</f>
        <v>1</v>
      </c>
      <c r="EK42" s="1" t="b">
        <f>AND(N_Micoud_North!E29,"AAAAAHz/vYw=")</f>
        <v>1</v>
      </c>
      <c r="EL42" s="1" t="b">
        <f>AND(N_Micoud_North!F29,"AAAAAHz/vY0=")</f>
        <v>1</v>
      </c>
      <c r="EM42" s="1" t="b">
        <f>AND(N_Micoud_North!G29,"AAAAAHz/vY4=")</f>
        <v>1</v>
      </c>
      <c r="EN42" s="1" t="b">
        <f>AND(N_Micoud_North!H29,"AAAAAHz/vY8=")</f>
        <v>1</v>
      </c>
      <c r="EO42" s="1" t="b">
        <f>AND(N_Micoud_North!I29,"AAAAAHz/vZA=")</f>
        <v>1</v>
      </c>
      <c r="EP42" s="1" t="b">
        <f>AND(N_Micoud_North!J29,"AAAAAHz/vZE=")</f>
        <v>1</v>
      </c>
      <c r="EQ42" s="1" t="b">
        <f>AND(N_Micoud_North!K29,"AAAAAHz/vZI=")</f>
        <v>1</v>
      </c>
      <c r="ER42" s="1" t="b">
        <f>AND(N_Micoud_North!L29,"AAAAAHz/vZM=")</f>
        <v>1</v>
      </c>
      <c r="ES42" s="1" t="b">
        <f>AND(N_Micoud_North!M29,"AAAAAHz/vZQ=")</f>
        <v>1</v>
      </c>
      <c r="ET42" s="1" t="b">
        <f>AND(N_Micoud_North!N29,"AAAAAHz/vZU=")</f>
        <v>1</v>
      </c>
      <c r="EU42" s="1" t="b">
        <f>AND(N_Micoud_North!O29,"AAAAAHz/vZY=")</f>
        <v>1</v>
      </c>
      <c r="EV42" s="1" t="b">
        <f>AND(N_Micoud_North!P29,"AAAAAHz/vZc=")</f>
        <v>1</v>
      </c>
      <c r="EW42" s="1">
        <f>IF(N_Micoud_North!31:31,"AAAAAHz/vZg=",0)</f>
        <v>0</v>
      </c>
      <c r="EX42" s="1" t="e">
        <f>AND(N_Micoud_North!A31,"AAAAAHz/vZk=")</f>
        <v>#VALUE!</v>
      </c>
      <c r="EY42" s="1" t="e">
        <f>AND(N_Micoud_North!B31,"AAAAAHz/vZo=")</f>
        <v>#VALUE!</v>
      </c>
      <c r="EZ42" s="1" t="e">
        <f>AND(N_Micoud_North!C31,"AAAAAHz/vZs=")</f>
        <v>#VALUE!</v>
      </c>
      <c r="FA42" s="1" t="e">
        <f>AND(N_Micoud_North!D31,"AAAAAHz/vZw=")</f>
        <v>#VALUE!</v>
      </c>
      <c r="FB42" s="1" t="e">
        <f>AND(N_Micoud_North!E31,"AAAAAHz/vZ0=")</f>
        <v>#VALUE!</v>
      </c>
      <c r="FC42" s="1" t="e">
        <f>AND(N_Micoud_North!F31,"AAAAAHz/vZ4=")</f>
        <v>#VALUE!</v>
      </c>
      <c r="FD42" s="1" t="e">
        <f>AND(N_Micoud_North!G31,"AAAAAHz/vZ8=")</f>
        <v>#VALUE!</v>
      </c>
      <c r="FE42" s="1" t="e">
        <f>AND(N_Micoud_North!H31,"AAAAAHz/vaA=")</f>
        <v>#VALUE!</v>
      </c>
      <c r="FF42" s="1" t="e">
        <f>AND(N_Micoud_North!I31,"AAAAAHz/vaE=")</f>
        <v>#VALUE!</v>
      </c>
      <c r="FG42" s="1" t="e">
        <f>AND(N_Micoud_North!J31,"AAAAAHz/vaI=")</f>
        <v>#VALUE!</v>
      </c>
      <c r="FH42" s="1" t="e">
        <f>AND(N_Micoud_North!K31,"AAAAAHz/vaM=")</f>
        <v>#VALUE!</v>
      </c>
      <c r="FI42" s="1" t="e">
        <f>AND(N_Micoud_North!L31,"AAAAAHz/vaQ=")</f>
        <v>#VALUE!</v>
      </c>
      <c r="FJ42" s="1" t="e">
        <f>AND(N_Micoud_North!M31,"AAAAAHz/vaU=")</f>
        <v>#VALUE!</v>
      </c>
      <c r="FK42" s="1" t="e">
        <f>AND(N_Micoud_North!N31,"AAAAAHz/vaY=")</f>
        <v>#VALUE!</v>
      </c>
      <c r="FL42" s="1" t="e">
        <f>AND(N_Micoud_North!O31,"AAAAAHz/vac=")</f>
        <v>#VALUE!</v>
      </c>
      <c r="FM42" s="1" t="e">
        <f>AND(N_Micoud_North!P31,"AAAAAHz/vag=")</f>
        <v>#VALUE!</v>
      </c>
      <c r="FN42" s="1">
        <f>IF(N_Micoud_North!32:32,"AAAAAHz/vak=",0)</f>
        <v>0</v>
      </c>
      <c r="FO42" s="1" t="e">
        <f>AND(N_Micoud_North!A32,"AAAAAHz/vao=")</f>
        <v>#VALUE!</v>
      </c>
      <c r="FP42" s="1" t="b">
        <f>AND(N_Micoud_North!B32,"AAAAAHz/vas=")</f>
        <v>1</v>
      </c>
      <c r="FQ42" s="1" t="b">
        <f>AND(N_Micoud_North!C32,"AAAAAHz/vaw=")</f>
        <v>1</v>
      </c>
      <c r="FR42" s="1" t="b">
        <f>AND(N_Micoud_North!D32,"AAAAAHz/va0=")</f>
        <v>1</v>
      </c>
      <c r="FS42" s="1" t="b">
        <f>AND(N_Micoud_North!E32,"AAAAAHz/va4=")</f>
        <v>1</v>
      </c>
      <c r="FT42" s="1" t="b">
        <f>AND(N_Micoud_North!F32,"AAAAAHz/va8=")</f>
        <v>1</v>
      </c>
      <c r="FU42" s="1" t="b">
        <f>AND(N_Micoud_North!G32,"AAAAAHz/vbA=")</f>
        <v>0</v>
      </c>
      <c r="FV42" s="1" t="b">
        <f>AND(N_Micoud_North!H32,"AAAAAHz/vbE=")</f>
        <v>0</v>
      </c>
      <c r="FW42" s="1" t="b">
        <f>AND(N_Micoud_North!I32,"AAAAAHz/vbI=")</f>
        <v>1</v>
      </c>
      <c r="FX42" s="1" t="b">
        <f>AND(N_Micoud_North!J32,"AAAAAHz/vbM=")</f>
        <v>1</v>
      </c>
      <c r="FY42" s="1" t="b">
        <f>AND(N_Micoud_North!K32,"AAAAAHz/vbQ=")</f>
        <v>0</v>
      </c>
      <c r="FZ42" s="1" t="b">
        <f>AND(N_Micoud_North!L32,"AAAAAHz/vbU=")</f>
        <v>0</v>
      </c>
      <c r="GA42" s="1" t="b">
        <f>AND(N_Micoud_North!M32,"AAAAAHz/vbY=")</f>
        <v>1</v>
      </c>
      <c r="GB42" s="1" t="b">
        <f>AND(N_Micoud_North!N32,"AAAAAHz/vbc=")</f>
        <v>1</v>
      </c>
      <c r="GC42" s="1" t="b">
        <f>AND(N_Micoud_North!O32,"AAAAAHz/vbg=")</f>
        <v>1</v>
      </c>
      <c r="GD42" s="1" t="b">
        <f>AND(N_Micoud_North!P32,"AAAAAHz/vbk=")</f>
        <v>1</v>
      </c>
      <c r="GE42" s="1">
        <f>IF(N_Micoud_North!33:33,"AAAAAHz/vbo=",0)</f>
        <v>0</v>
      </c>
      <c r="GF42" s="1" t="e">
        <f>AND(N_Micoud_North!A33,"AAAAAHz/vbs=")</f>
        <v>#VALUE!</v>
      </c>
      <c r="GG42" s="1" t="b">
        <f>AND(N_Micoud_North!B33,"AAAAAHz/vbw=")</f>
        <v>1</v>
      </c>
      <c r="GH42" s="1" t="b">
        <f>AND(N_Micoud_North!C33,"AAAAAHz/vb0=")</f>
        <v>1</v>
      </c>
      <c r="GI42" s="1" t="b">
        <f>AND(N_Micoud_North!D33,"AAAAAHz/vb4=")</f>
        <v>1</v>
      </c>
      <c r="GJ42" s="1" t="b">
        <f>AND(N_Micoud_North!E33,"AAAAAHz/vb8=")</f>
        <v>1</v>
      </c>
      <c r="GK42" s="1" t="b">
        <f>AND(N_Micoud_North!F33,"AAAAAHz/vcA=")</f>
        <v>1</v>
      </c>
      <c r="GL42" s="1" t="b">
        <f>AND(N_Micoud_North!G33,"AAAAAHz/vcE=")</f>
        <v>1</v>
      </c>
      <c r="GM42" s="1" t="b">
        <f>AND(N_Micoud_North!H33,"AAAAAHz/vcI=")</f>
        <v>1</v>
      </c>
      <c r="GN42" s="1" t="b">
        <f>AND(N_Micoud_North!I33,"AAAAAHz/vcM=")</f>
        <v>1</v>
      </c>
      <c r="GO42" s="1" t="b">
        <f>AND(N_Micoud_North!J33,"AAAAAHz/vcQ=")</f>
        <v>1</v>
      </c>
      <c r="GP42" s="1" t="b">
        <f>AND(N_Micoud_North!K33,"AAAAAHz/vcU=")</f>
        <v>1</v>
      </c>
      <c r="GQ42" s="1" t="b">
        <f>AND(N_Micoud_North!L33,"AAAAAHz/vcY=")</f>
        <v>1</v>
      </c>
      <c r="GR42" s="1" t="b">
        <f>AND(N_Micoud_North!M33,"AAAAAHz/vcc=")</f>
        <v>1</v>
      </c>
      <c r="GS42" s="1" t="b">
        <f>AND(N_Micoud_North!N33,"AAAAAHz/vcg=")</f>
        <v>1</v>
      </c>
      <c r="GT42" s="1" t="b">
        <f>AND(N_Micoud_North!O33,"AAAAAHz/vck=")</f>
        <v>1</v>
      </c>
      <c r="GU42" s="1" t="b">
        <f>AND(N_Micoud_North!P33,"AAAAAHz/vco=")</f>
        <v>1</v>
      </c>
      <c r="GV42" s="1">
        <f>IF(N_Micoud_North!34:34,"AAAAAHz/vcs=",0)</f>
        <v>0</v>
      </c>
      <c r="GW42" s="1" t="e">
        <f>AND(N_Micoud_North!A34,"AAAAAHz/vcw=")</f>
        <v>#VALUE!</v>
      </c>
      <c r="GX42" s="1" t="b">
        <f>AND(N_Micoud_North!B34,"AAAAAHz/vc0=")</f>
        <v>1</v>
      </c>
      <c r="GY42" s="1" t="b">
        <f>AND(N_Micoud_North!C34,"AAAAAHz/vc4=")</f>
        <v>1</v>
      </c>
      <c r="GZ42" s="1" t="b">
        <f>AND(N_Micoud_North!D34,"AAAAAHz/vc8=")</f>
        <v>1</v>
      </c>
      <c r="HA42" s="1" t="b">
        <f>AND(N_Micoud_North!E34,"AAAAAHz/vdA=")</f>
        <v>1</v>
      </c>
      <c r="HB42" s="1" t="b">
        <f>AND(N_Micoud_North!F34,"AAAAAHz/vdE=")</f>
        <v>1</v>
      </c>
      <c r="HC42" s="1" t="b">
        <f>AND(N_Micoud_North!G34,"AAAAAHz/vdI=")</f>
        <v>0</v>
      </c>
      <c r="HD42" s="1" t="b">
        <f>AND(N_Micoud_North!H34,"AAAAAHz/vdM=")</f>
        <v>0</v>
      </c>
      <c r="HE42" s="1" t="b">
        <f>AND(N_Micoud_North!I34,"AAAAAHz/vdQ=")</f>
        <v>1</v>
      </c>
      <c r="HF42" s="1" t="b">
        <f>AND(N_Micoud_North!J34,"AAAAAHz/vdU=")</f>
        <v>1</v>
      </c>
      <c r="HG42" s="1" t="b">
        <f>AND(N_Micoud_North!K34,"AAAAAHz/vdY=")</f>
        <v>1</v>
      </c>
      <c r="HH42" s="1" t="b">
        <f>AND(N_Micoud_North!L34,"AAAAAHz/vdc=")</f>
        <v>1</v>
      </c>
      <c r="HI42" s="1" t="b">
        <f>AND(N_Micoud_North!M34,"AAAAAHz/vdg=")</f>
        <v>1</v>
      </c>
      <c r="HJ42" s="1" t="b">
        <f>AND(N_Micoud_North!N34,"AAAAAHz/vdk=")</f>
        <v>1</v>
      </c>
      <c r="HK42" s="1" t="b">
        <f>AND(N_Micoud_North!O34,"AAAAAHz/vdo=")</f>
        <v>1</v>
      </c>
      <c r="HL42" s="1" t="b">
        <f>AND(N_Micoud_North!P34,"AAAAAHz/vds=")</f>
        <v>1</v>
      </c>
      <c r="HM42" s="1">
        <f>IF(N_Micoud_North!35:35,"AAAAAHz/vdw=",0)</f>
        <v>0</v>
      </c>
      <c r="HN42" s="1" t="e">
        <f>AND(N_Micoud_North!A35,"AAAAAHz/vd0=")</f>
        <v>#VALUE!</v>
      </c>
      <c r="HO42" s="1" t="b">
        <f>AND(N_Micoud_North!B35,"AAAAAHz/vd4=")</f>
        <v>1</v>
      </c>
      <c r="HP42" s="1" t="b">
        <f>AND(N_Micoud_North!C35,"AAAAAHz/vd8=")</f>
        <v>1</v>
      </c>
      <c r="HQ42" s="1" t="b">
        <f>AND(N_Micoud_North!D35,"AAAAAHz/veA=")</f>
        <v>1</v>
      </c>
      <c r="HR42" s="1" t="b">
        <f>AND(N_Micoud_North!E35,"AAAAAHz/veE=")</f>
        <v>1</v>
      </c>
      <c r="HS42" s="1" t="b">
        <f>AND(N_Micoud_North!F35,"AAAAAHz/veI=")</f>
        <v>1</v>
      </c>
      <c r="HT42" s="1" t="b">
        <f>AND(N_Micoud_North!G35,"AAAAAHz/veM=")</f>
        <v>0</v>
      </c>
      <c r="HU42" s="1" t="b">
        <f>AND(N_Micoud_North!H35,"AAAAAHz/veQ=")</f>
        <v>0</v>
      </c>
      <c r="HV42" s="1" t="b">
        <f>AND(N_Micoud_North!I35,"AAAAAHz/veU=")</f>
        <v>1</v>
      </c>
      <c r="HW42" s="1" t="b">
        <f>AND(N_Micoud_North!J35,"AAAAAHz/veY=")</f>
        <v>1</v>
      </c>
      <c r="HX42" s="1" t="b">
        <f>AND(N_Micoud_North!K35,"AAAAAHz/vec=")</f>
        <v>1</v>
      </c>
      <c r="HY42" s="1" t="b">
        <f>AND(N_Micoud_North!L35,"AAAAAHz/veg=")</f>
        <v>1</v>
      </c>
      <c r="HZ42" s="1" t="b">
        <f>AND(N_Micoud_North!M35,"AAAAAHz/vek=")</f>
        <v>1</v>
      </c>
      <c r="IA42" s="1" t="b">
        <f>AND(N_Micoud_North!N35,"AAAAAHz/veo=")</f>
        <v>1</v>
      </c>
      <c r="IB42" s="1" t="b">
        <f>AND(N_Micoud_North!O35,"AAAAAHz/ves=")</f>
        <v>1</v>
      </c>
      <c r="IC42" s="1" t="b">
        <f>AND(N_Micoud_North!P35,"AAAAAHz/vew=")</f>
        <v>1</v>
      </c>
      <c r="ID42" s="1">
        <f>IF(N_Micoud_North!36:36,"AAAAAHz/ve0=",0)</f>
        <v>0</v>
      </c>
      <c r="IE42" s="1" t="e">
        <f>AND(N_Micoud_North!A36,"AAAAAHz/ve4=")</f>
        <v>#VALUE!</v>
      </c>
      <c r="IF42" s="1" t="b">
        <f>AND(N_Micoud_North!B36,"AAAAAHz/ve8=")</f>
        <v>1</v>
      </c>
      <c r="IG42" s="1" t="b">
        <f>AND(N_Micoud_North!C36,"AAAAAHz/vfA=")</f>
        <v>1</v>
      </c>
      <c r="IH42" s="1" t="b">
        <f>AND(N_Micoud_North!D36,"AAAAAHz/vfE=")</f>
        <v>1</v>
      </c>
      <c r="II42" s="1" t="b">
        <f>AND(N_Micoud_North!E36,"AAAAAHz/vfI=")</f>
        <v>1</v>
      </c>
      <c r="IJ42" s="1" t="b">
        <f>AND(N_Micoud_North!F36,"AAAAAHz/vfM=")</f>
        <v>1</v>
      </c>
      <c r="IK42" s="1" t="b">
        <f>AND(N_Micoud_North!G36,"AAAAAHz/vfQ=")</f>
        <v>0</v>
      </c>
      <c r="IL42" s="1" t="b">
        <f>AND(N_Micoud_North!H36,"AAAAAHz/vfU=")</f>
        <v>0</v>
      </c>
      <c r="IM42" s="1" t="b">
        <f>AND(N_Micoud_North!I36,"AAAAAHz/vfY=")</f>
        <v>1</v>
      </c>
      <c r="IN42" s="1" t="b">
        <f>AND(N_Micoud_North!J36,"AAAAAHz/vfc=")</f>
        <v>1</v>
      </c>
      <c r="IO42" s="1" t="b">
        <f>AND(N_Micoud_North!K36,"AAAAAHz/vfg=")</f>
        <v>1</v>
      </c>
      <c r="IP42" s="1" t="b">
        <f>AND(N_Micoud_North!L36,"AAAAAHz/vfk=")</f>
        <v>1</v>
      </c>
      <c r="IQ42" s="1" t="b">
        <f>AND(N_Micoud_North!M36,"AAAAAHz/vfo=")</f>
        <v>1</v>
      </c>
      <c r="IR42" s="1" t="b">
        <f>AND(N_Micoud_North!N36,"AAAAAHz/vfs=")</f>
        <v>1</v>
      </c>
      <c r="IS42" s="1" t="b">
        <f>AND(N_Micoud_North!O36,"AAAAAHz/vfw=")</f>
        <v>1</v>
      </c>
      <c r="IT42" s="1" t="b">
        <f>AND(N_Micoud_North!P36,"AAAAAHz/vf0=")</f>
        <v>1</v>
      </c>
      <c r="IU42" s="1">
        <f>IF(N_Micoud_North!37:37,"AAAAAHz/vf4=",0)</f>
        <v>0</v>
      </c>
      <c r="IV42" s="1" t="e">
        <f>AND(N_Micoud_North!A37,"AAAAAHz/vf8=")</f>
        <v>#VALUE!</v>
      </c>
    </row>
    <row r="43" spans="1:256" ht="12" customHeight="1" x14ac:dyDescent="0.2">
      <c r="A43" s="1" t="b">
        <f>AND(N_Micoud_North!B37,"AAAAAG3/3gA=")</f>
        <v>1</v>
      </c>
      <c r="B43" s="1" t="b">
        <f>AND(N_Micoud_North!C37,"AAAAAG3/3gE=")</f>
        <v>1</v>
      </c>
      <c r="C43" s="1" t="b">
        <f>AND(N_Micoud_North!D37,"AAAAAG3/3gI=")</f>
        <v>1</v>
      </c>
      <c r="D43" s="1" t="b">
        <f>AND(N_Micoud_North!E37,"AAAAAG3/3gM=")</f>
        <v>1</v>
      </c>
      <c r="E43" s="1" t="b">
        <f>AND(N_Micoud_North!F37,"AAAAAG3/3gQ=")</f>
        <v>1</v>
      </c>
      <c r="F43" s="1" t="b">
        <f>AND(N_Micoud_North!G37,"AAAAAG3/3gU=")</f>
        <v>1</v>
      </c>
      <c r="G43" s="1" t="b">
        <f>AND(N_Micoud_North!H37,"AAAAAG3/3gY=")</f>
        <v>1</v>
      </c>
      <c r="H43" s="1" t="b">
        <f>AND(N_Micoud_North!I37,"AAAAAG3/3gc=")</f>
        <v>1</v>
      </c>
      <c r="I43" s="1" t="b">
        <f>AND(N_Micoud_North!J37,"AAAAAG3/3gg=")</f>
        <v>1</v>
      </c>
      <c r="J43" s="1" t="b">
        <f>AND(N_Micoud_North!K37,"AAAAAG3/3gk=")</f>
        <v>1</v>
      </c>
      <c r="K43" s="1" t="b">
        <f>AND(N_Micoud_North!L37,"AAAAAG3/3go=")</f>
        <v>1</v>
      </c>
      <c r="L43" s="1" t="b">
        <f>AND(N_Micoud_North!M37,"AAAAAG3/3gs=")</f>
        <v>1</v>
      </c>
      <c r="M43" s="1" t="b">
        <f>AND(N_Micoud_North!N37,"AAAAAG3/3gw=")</f>
        <v>1</v>
      </c>
      <c r="N43" s="1" t="b">
        <f>AND(N_Micoud_North!O37,"AAAAAG3/3g0=")</f>
        <v>1</v>
      </c>
      <c r="O43" s="1" t="b">
        <f>AND(N_Micoud_North!P37,"AAAAAG3/3g4=")</f>
        <v>1</v>
      </c>
      <c r="P43" s="1">
        <f>IF(N_Micoud_North!A:A,"AAAAAG3/3g8=",0)</f>
        <v>0</v>
      </c>
      <c r="Q43" s="1">
        <f>IF(N_Micoud_North!B:B,"AAAAAG3/3hA=",0)</f>
        <v>0</v>
      </c>
      <c r="R43" s="1">
        <f>IF(N_Micoud_North!C:C,"AAAAAG3/3hE=",0)</f>
        <v>0</v>
      </c>
      <c r="S43" s="1">
        <f>IF(N_Micoud_North!D:D,"AAAAAG3/3hI=",0)</f>
        <v>0</v>
      </c>
      <c r="T43" s="1">
        <f>IF(N_Micoud_North!E:E,"AAAAAG3/3hM=",0)</f>
        <v>0</v>
      </c>
      <c r="U43" s="1">
        <f>IF(N_Micoud_North!F:F,"AAAAAG3/3hQ=",0)</f>
        <v>0</v>
      </c>
      <c r="V43" s="1">
        <f>IF(N_Micoud_North!G:G,"AAAAAG3/3hU=",0)</f>
        <v>0</v>
      </c>
      <c r="W43" s="1">
        <f>IF(N_Micoud_North!H:H,"AAAAAG3/3hY=",0)</f>
        <v>0</v>
      </c>
      <c r="X43" s="1">
        <f>IF(N_Micoud_North!I:I,"AAAAAG3/3hc=",0)</f>
        <v>0</v>
      </c>
      <c r="Y43" s="1">
        <f>IF(N_Micoud_North!J:J,"AAAAAG3/3hg=",0)</f>
        <v>0</v>
      </c>
      <c r="Z43" s="1">
        <f>IF(N_Micoud_North!K:K,"AAAAAG3/3hk=",0)</f>
        <v>0</v>
      </c>
      <c r="AA43" s="1">
        <f>IF(N_Micoud_North!L:L,"AAAAAG3/3ho=",0)</f>
        <v>0</v>
      </c>
      <c r="AB43" s="1">
        <f>IF(N_Micoud_North!M:M,"AAAAAG3/3hs=",0)</f>
        <v>0</v>
      </c>
      <c r="AC43" s="1">
        <f>IF(N_Micoud_North!N:N,"AAAAAG3/3hw=",0)</f>
        <v>0</v>
      </c>
      <c r="AD43" s="1">
        <f>IF(N_Micoud_North!O:O,"AAAAAG3/3h0=",0)</f>
        <v>0</v>
      </c>
      <c r="AE43" s="1">
        <f>IF(N_Micoud_North!P:P,"AAAAAG3/3h4=",0)</f>
        <v>0</v>
      </c>
      <c r="AF43" s="1">
        <f>IF(N_Micoud_North!Q:Q,"AAAAAG3/3h8=",0)</f>
        <v>0</v>
      </c>
      <c r="AG43" s="1">
        <f>IF(O_Dennery_South!2:2,"AAAAAG3/3iA=",0)</f>
        <v>0</v>
      </c>
      <c r="AH43" s="1" t="e">
        <f>AND(O_Dennery_South!A2,"AAAAAG3/3iE=")</f>
        <v>#VALUE!</v>
      </c>
      <c r="AI43" s="1" t="e">
        <f>AND(O_Dennery_South!B2,"AAAAAG3/3iI=")</f>
        <v>#VALUE!</v>
      </c>
      <c r="AJ43" s="1" t="e">
        <f>AND(O_Dennery_South!C2,"AAAAAG3/3iM=")</f>
        <v>#VALUE!</v>
      </c>
      <c r="AK43" s="1" t="e">
        <f>AND(O_Dennery_South!D2,"AAAAAG3/3iQ=")</f>
        <v>#VALUE!</v>
      </c>
      <c r="AL43" s="1" t="e">
        <f>AND(O_Dennery_South!E2,"AAAAAG3/3iU=")</f>
        <v>#VALUE!</v>
      </c>
      <c r="AM43" s="1" t="e">
        <f>AND(O_Dennery_South!F2,"AAAAAG3/3iY=")</f>
        <v>#VALUE!</v>
      </c>
      <c r="AN43" s="1" t="e">
        <f>AND(O_Dennery_South!G2,"AAAAAG3/3ic=")</f>
        <v>#VALUE!</v>
      </c>
      <c r="AO43" s="1" t="e">
        <f>AND(O_Dennery_South!H2,"AAAAAG3/3ig=")</f>
        <v>#VALUE!</v>
      </c>
      <c r="AP43" s="1" t="e">
        <f>AND(O_Dennery_South!I2,"AAAAAG3/3ik=")</f>
        <v>#VALUE!</v>
      </c>
      <c r="AQ43" s="1" t="e">
        <f>AND(O_Dennery_South!J2,"AAAAAG3/3io=")</f>
        <v>#VALUE!</v>
      </c>
      <c r="AR43" s="1" t="e">
        <f>AND(O_Dennery_South!K2,"AAAAAG3/3is=")</f>
        <v>#VALUE!</v>
      </c>
      <c r="AS43" s="1" t="e">
        <f>AND(O_Dennery_South!L2,"AAAAAG3/3iw=")</f>
        <v>#VALUE!</v>
      </c>
      <c r="AT43" s="1" t="e">
        <f>AND(O_Dennery_South!M2,"AAAAAG3/3i0=")</f>
        <v>#VALUE!</v>
      </c>
      <c r="AU43" s="1" t="e">
        <f>AND(O_Dennery_South!N2,"AAAAAG3/3i4=")</f>
        <v>#VALUE!</v>
      </c>
      <c r="AV43" s="1">
        <f>IF(O_Dennery_South!3:3,"AAAAAG3/3i8=",0)</f>
        <v>0</v>
      </c>
      <c r="AW43" s="1" t="e">
        <f>AND(O_Dennery_South!#REF!,"AAAAAG3/3jA=")</f>
        <v>#REF!</v>
      </c>
      <c r="AX43" s="1" t="e">
        <f>AND(O_Dennery_South!A3,"AAAAAG3/3jE=")</f>
        <v>#VALUE!</v>
      </c>
      <c r="AY43" s="1" t="e">
        <f>AND(O_Dennery_South!C3,"AAAAAG3/3jI=")</f>
        <v>#VALUE!</v>
      </c>
      <c r="AZ43" s="1" t="e">
        <f>AND(O_Dennery_South!D3,"AAAAAG3/3jM=")</f>
        <v>#VALUE!</v>
      </c>
      <c r="BA43" s="1" t="e">
        <f>AND(O_Dennery_South!E3,"AAAAAG3/3jQ=")</f>
        <v>#VALUE!</v>
      </c>
      <c r="BB43" s="1" t="e">
        <f>AND(O_Dennery_South!F3,"AAAAAG3/3jU=")</f>
        <v>#VALUE!</v>
      </c>
      <c r="BC43" s="1" t="e">
        <f>AND(O_Dennery_South!G3,"AAAAAG3/3jY=")</f>
        <v>#VALUE!</v>
      </c>
      <c r="BD43" s="1" t="e">
        <f>AND(O_Dennery_South!H3,"AAAAAG3/3jc=")</f>
        <v>#VALUE!</v>
      </c>
      <c r="BE43" s="1" t="e">
        <f>AND(O_Dennery_South!I3,"AAAAAG3/3jg=")</f>
        <v>#VALUE!</v>
      </c>
      <c r="BF43" s="1" t="e">
        <f>AND(O_Dennery_South!J3,"AAAAAG3/3jk=")</f>
        <v>#VALUE!</v>
      </c>
      <c r="BG43" s="1" t="e">
        <f>AND(O_Dennery_South!K3,"AAAAAG3/3jo=")</f>
        <v>#VALUE!</v>
      </c>
      <c r="BH43" s="1" t="e">
        <f>AND(O_Dennery_South!L3,"AAAAAG3/3js=")</f>
        <v>#VALUE!</v>
      </c>
      <c r="BI43" s="1" t="e">
        <f>AND(O_Dennery_South!M3,"AAAAAG3/3jw=")</f>
        <v>#VALUE!</v>
      </c>
      <c r="BJ43" s="1" t="e">
        <f>AND(O_Dennery_South!N3,"AAAAAG3/3j0=")</f>
        <v>#VALUE!</v>
      </c>
      <c r="BK43" s="1">
        <f>IF(O_Dennery_South!4:4,"AAAAAG3/3j4=",0)</f>
        <v>0</v>
      </c>
      <c r="BL43" s="1" t="e">
        <f>AND(O_Dennery_South!A4,"AAAAAG3/3j8=")</f>
        <v>#VALUE!</v>
      </c>
      <c r="BM43" s="1" t="b">
        <f>AND(O_Dennery_South!B4,"AAAAAG3/3kA=")</f>
        <v>1</v>
      </c>
      <c r="BN43" s="1" t="b">
        <f>AND(O_Dennery_South!C4,"AAAAAG3/3kE=")</f>
        <v>1</v>
      </c>
      <c r="BO43" s="1" t="b">
        <f>AND(O_Dennery_South!D4,"AAAAAG3/3kI=")</f>
        <v>1</v>
      </c>
      <c r="BP43" s="1" t="b">
        <f>AND(O_Dennery_South!E4,"AAAAAG3/3kM=")</f>
        <v>1</v>
      </c>
      <c r="BQ43" s="1" t="b">
        <f>AND(O_Dennery_South!F4,"AAAAAG3/3kQ=")</f>
        <v>1</v>
      </c>
      <c r="BR43" s="1" t="b">
        <f>AND(O_Dennery_South!G4,"AAAAAG3/3kU=")</f>
        <v>1</v>
      </c>
      <c r="BS43" s="1" t="b">
        <f>AND(O_Dennery_South!H4,"AAAAAG3/3kY=")</f>
        <v>1</v>
      </c>
      <c r="BT43" s="1" t="b">
        <f>AND(O_Dennery_South!I4,"AAAAAG3/3kc=")</f>
        <v>1</v>
      </c>
      <c r="BU43" s="1" t="b">
        <f>AND(O_Dennery_South!J4,"AAAAAG3/3kg=")</f>
        <v>1</v>
      </c>
      <c r="BV43" s="1" t="b">
        <f>AND(O_Dennery_South!K4,"AAAAAG3/3kk=")</f>
        <v>1</v>
      </c>
      <c r="BW43" s="1" t="b">
        <f>AND(O_Dennery_South!L4,"AAAAAG3/3ko=")</f>
        <v>1</v>
      </c>
      <c r="BX43" s="1" t="b">
        <f>AND(O_Dennery_South!M4,"AAAAAG3/3ks=")</f>
        <v>1</v>
      </c>
      <c r="BY43" s="1" t="b">
        <f>AND(O_Dennery_South!N4,"AAAAAG3/3kw=")</f>
        <v>1</v>
      </c>
      <c r="BZ43" s="1">
        <f>IF(O_Dennery_South!5:5,"AAAAAG3/3k0=",0)</f>
        <v>0</v>
      </c>
      <c r="CA43" s="1" t="e">
        <f>AND(O_Dennery_South!A5,"AAAAAG3/3k4=")</f>
        <v>#VALUE!</v>
      </c>
      <c r="CB43" s="1" t="e">
        <f>AND(O_Dennery_South!B5,"AAAAAG3/3k8=")</f>
        <v>#VALUE!</v>
      </c>
      <c r="CC43" s="1" t="e">
        <f>AND(O_Dennery_South!C5,"AAAAAG3/3lA=")</f>
        <v>#VALUE!</v>
      </c>
      <c r="CD43" s="1" t="e">
        <f>AND(O_Dennery_South!D5,"AAAAAG3/3lE=")</f>
        <v>#VALUE!</v>
      </c>
      <c r="CE43" s="1" t="e">
        <f>AND(O_Dennery_South!E5,"AAAAAG3/3lI=")</f>
        <v>#VALUE!</v>
      </c>
      <c r="CF43" s="1" t="e">
        <f>AND(O_Dennery_South!F5,"AAAAAG3/3lM=")</f>
        <v>#VALUE!</v>
      </c>
      <c r="CG43" s="1" t="e">
        <f>AND(O_Dennery_South!G5,"AAAAAG3/3lQ=")</f>
        <v>#VALUE!</v>
      </c>
      <c r="CH43" s="1" t="e">
        <f>AND(O_Dennery_South!H5,"AAAAAG3/3lU=")</f>
        <v>#VALUE!</v>
      </c>
      <c r="CI43" s="1" t="e">
        <f>AND(O_Dennery_South!I5,"AAAAAG3/3lY=")</f>
        <v>#VALUE!</v>
      </c>
      <c r="CJ43" s="1" t="e">
        <f>AND(O_Dennery_South!J5,"AAAAAG3/3lc=")</f>
        <v>#VALUE!</v>
      </c>
      <c r="CK43" s="1" t="e">
        <f>AND(O_Dennery_South!K5,"AAAAAG3/3lg=")</f>
        <v>#VALUE!</v>
      </c>
      <c r="CL43" s="1" t="e">
        <f>AND(O_Dennery_South!L5,"AAAAAG3/3lk=")</f>
        <v>#VALUE!</v>
      </c>
      <c r="CM43" s="1" t="e">
        <f>AND(O_Dennery_South!M5,"AAAAAG3/3lo=")</f>
        <v>#VALUE!</v>
      </c>
      <c r="CN43" s="1" t="e">
        <f>AND(O_Dennery_South!N5,"AAAAAG3/3ls=")</f>
        <v>#VALUE!</v>
      </c>
      <c r="CO43" s="1">
        <f>IF(O_Dennery_South!6:6,"AAAAAG3/3lw=",0)</f>
        <v>0</v>
      </c>
      <c r="CP43" s="1" t="e">
        <f>AND(O_Dennery_South!A6,"AAAAAG3/3l0=")</f>
        <v>#VALUE!</v>
      </c>
      <c r="CQ43" s="1" t="b">
        <f>AND(O_Dennery_South!B6,"AAAAAG3/3l4=")</f>
        <v>1</v>
      </c>
      <c r="CR43" s="1" t="b">
        <f>AND(O_Dennery_South!C6,"AAAAAG3/3l8=")</f>
        <v>1</v>
      </c>
      <c r="CS43" s="1" t="b">
        <f>AND(O_Dennery_South!D6,"AAAAAG3/3mA=")</f>
        <v>1</v>
      </c>
      <c r="CT43" s="1" t="b">
        <f>AND(O_Dennery_South!E6,"AAAAAG3/3mE=")</f>
        <v>1</v>
      </c>
      <c r="CU43" s="1" t="b">
        <f>AND(O_Dennery_South!F6,"AAAAAG3/3mI=")</f>
        <v>1</v>
      </c>
      <c r="CV43" s="1" t="b">
        <f>AND(O_Dennery_South!G6,"AAAAAG3/3mM=")</f>
        <v>0</v>
      </c>
      <c r="CW43" s="1" t="b">
        <f>AND(O_Dennery_South!H6,"AAAAAG3/3mQ=")</f>
        <v>0</v>
      </c>
      <c r="CX43" s="1" t="b">
        <f>AND(O_Dennery_South!I6,"AAAAAG3/3mU=")</f>
        <v>1</v>
      </c>
      <c r="CY43" s="1" t="b">
        <f>AND(O_Dennery_South!J6,"AAAAAG3/3mY=")</f>
        <v>1</v>
      </c>
      <c r="CZ43" s="1" t="b">
        <f>AND(O_Dennery_South!K6,"AAAAAG3/3mc=")</f>
        <v>1</v>
      </c>
      <c r="DA43" s="1" t="b">
        <f>AND(O_Dennery_South!L6,"AAAAAG3/3mg=")</f>
        <v>1</v>
      </c>
      <c r="DB43" s="1" t="b">
        <f>AND(O_Dennery_South!M6,"AAAAAG3/3mk=")</f>
        <v>1</v>
      </c>
      <c r="DC43" s="1" t="b">
        <f>AND(O_Dennery_South!N6,"AAAAAG3/3mo=")</f>
        <v>1</v>
      </c>
      <c r="DD43" s="1">
        <f>IF(O_Dennery_South!7:7,"AAAAAG3/3ms=",0)</f>
        <v>0</v>
      </c>
      <c r="DE43" s="1" t="e">
        <f>AND(O_Dennery_South!A7,"AAAAAG3/3mw=")</f>
        <v>#VALUE!</v>
      </c>
      <c r="DF43" s="1" t="b">
        <f>AND(O_Dennery_South!B7,"AAAAAG3/3m0=")</f>
        <v>1</v>
      </c>
      <c r="DG43" s="1" t="b">
        <f>AND(O_Dennery_South!C7,"AAAAAG3/3m4=")</f>
        <v>1</v>
      </c>
      <c r="DH43" s="1" t="b">
        <f>AND(O_Dennery_South!D7,"AAAAAG3/3m8=")</f>
        <v>1</v>
      </c>
      <c r="DI43" s="1" t="b">
        <f>AND(O_Dennery_South!E7,"AAAAAG3/3nA=")</f>
        <v>1</v>
      </c>
      <c r="DJ43" s="1" t="b">
        <f>AND(O_Dennery_South!F7,"AAAAAG3/3nE=")</f>
        <v>1</v>
      </c>
      <c r="DK43" s="1" t="b">
        <f>AND(O_Dennery_South!G7,"AAAAAG3/3nI=")</f>
        <v>1</v>
      </c>
      <c r="DL43" s="1" t="b">
        <f>AND(O_Dennery_South!H7,"AAAAAG3/3nM=")</f>
        <v>1</v>
      </c>
      <c r="DM43" s="1" t="b">
        <f>AND(O_Dennery_South!I7,"AAAAAG3/3nQ=")</f>
        <v>1</v>
      </c>
      <c r="DN43" s="1" t="b">
        <f>AND(O_Dennery_South!J7,"AAAAAG3/3nU=")</f>
        <v>1</v>
      </c>
      <c r="DO43" s="1" t="b">
        <f>AND(O_Dennery_South!K7,"AAAAAG3/3nY=")</f>
        <v>1</v>
      </c>
      <c r="DP43" s="1" t="b">
        <f>AND(O_Dennery_South!L7,"AAAAAG3/3nc=")</f>
        <v>1</v>
      </c>
      <c r="DQ43" s="1" t="b">
        <f>AND(O_Dennery_South!M7,"AAAAAG3/3ng=")</f>
        <v>1</v>
      </c>
      <c r="DR43" s="1" t="b">
        <f>AND(O_Dennery_South!N7,"AAAAAG3/3nk=")</f>
        <v>1</v>
      </c>
      <c r="DS43" s="1">
        <f>IF(O_Dennery_South!8:8,"AAAAAG3/3no=",0)</f>
        <v>0</v>
      </c>
      <c r="DT43" s="1" t="e">
        <f>AND(O_Dennery_South!A8,"AAAAAG3/3ns=")</f>
        <v>#VALUE!</v>
      </c>
      <c r="DU43" s="1" t="b">
        <f>AND(O_Dennery_South!B8,"AAAAAG3/3nw=")</f>
        <v>1</v>
      </c>
      <c r="DV43" s="1" t="b">
        <f>AND(O_Dennery_South!C8,"AAAAAG3/3n0=")</f>
        <v>1</v>
      </c>
      <c r="DW43" s="1" t="b">
        <f>AND(O_Dennery_South!D8,"AAAAAG3/3n4=")</f>
        <v>1</v>
      </c>
      <c r="DX43" s="1" t="b">
        <f>AND(O_Dennery_South!E8,"AAAAAG3/3n8=")</f>
        <v>1</v>
      </c>
      <c r="DY43" s="1" t="b">
        <f>AND(O_Dennery_South!F8,"AAAAAG3/3oA=")</f>
        <v>1</v>
      </c>
      <c r="DZ43" s="1" t="b">
        <f>AND(O_Dennery_South!G8,"AAAAAG3/3oE=")</f>
        <v>0</v>
      </c>
      <c r="EA43" s="1" t="b">
        <f>AND(O_Dennery_South!H8,"AAAAAG3/3oI=")</f>
        <v>0</v>
      </c>
      <c r="EB43" s="1" t="b">
        <f>AND(O_Dennery_South!I8,"AAAAAG3/3oM=")</f>
        <v>1</v>
      </c>
      <c r="EC43" s="1" t="b">
        <f>AND(O_Dennery_South!J8,"AAAAAG3/3oQ=")</f>
        <v>1</v>
      </c>
      <c r="ED43" s="1" t="b">
        <f>AND(O_Dennery_South!K8,"AAAAAG3/3oU=")</f>
        <v>1</v>
      </c>
      <c r="EE43" s="1" t="b">
        <f>AND(O_Dennery_South!L8,"AAAAAG3/3oY=")</f>
        <v>1</v>
      </c>
      <c r="EF43" s="1" t="b">
        <f>AND(O_Dennery_South!M8,"AAAAAG3/3oc=")</f>
        <v>1</v>
      </c>
      <c r="EG43" s="1" t="b">
        <f>AND(O_Dennery_South!N8,"AAAAAG3/3og=")</f>
        <v>1</v>
      </c>
      <c r="EH43" s="1">
        <f>IF(O_Dennery_South!9:9,"AAAAAG3/3ok=",0)</f>
        <v>0</v>
      </c>
      <c r="EI43" s="1" t="e">
        <f>AND(O_Dennery_South!A9,"AAAAAG3/3oo=")</f>
        <v>#VALUE!</v>
      </c>
      <c r="EJ43" s="1" t="b">
        <f>AND(O_Dennery_South!B9,"AAAAAG3/3os=")</f>
        <v>1</v>
      </c>
      <c r="EK43" s="1" t="b">
        <f>AND(O_Dennery_South!C9,"AAAAAG3/3ow=")</f>
        <v>1</v>
      </c>
      <c r="EL43" s="1" t="b">
        <f>AND(O_Dennery_South!D9,"AAAAAG3/3o0=")</f>
        <v>1</v>
      </c>
      <c r="EM43" s="1" t="b">
        <f>AND(O_Dennery_South!E9,"AAAAAG3/3o4=")</f>
        <v>1</v>
      </c>
      <c r="EN43" s="1" t="b">
        <f>AND(O_Dennery_South!F9,"AAAAAG3/3o8=")</f>
        <v>1</v>
      </c>
      <c r="EO43" s="1" t="b">
        <f>AND(O_Dennery_South!G9,"AAAAAG3/3pA=")</f>
        <v>1</v>
      </c>
      <c r="EP43" s="1" t="b">
        <f>AND(O_Dennery_South!H9,"AAAAAG3/3pE=")</f>
        <v>1</v>
      </c>
      <c r="EQ43" s="1" t="b">
        <f>AND(O_Dennery_South!I9,"AAAAAG3/3pI=")</f>
        <v>1</v>
      </c>
      <c r="ER43" s="1" t="b">
        <f>AND(O_Dennery_South!J9,"AAAAAG3/3pM=")</f>
        <v>1</v>
      </c>
      <c r="ES43" s="1" t="b">
        <f>AND(O_Dennery_South!K9,"AAAAAG3/3pQ=")</f>
        <v>1</v>
      </c>
      <c r="ET43" s="1" t="b">
        <f>AND(O_Dennery_South!L9,"AAAAAG3/3pU=")</f>
        <v>1</v>
      </c>
      <c r="EU43" s="1" t="b">
        <f>AND(O_Dennery_South!M9,"AAAAAG3/3pY=")</f>
        <v>1</v>
      </c>
      <c r="EV43" s="1" t="b">
        <f>AND(O_Dennery_South!N9,"AAAAAG3/3pc=")</f>
        <v>1</v>
      </c>
      <c r="EW43" s="1">
        <f>IF(O_Dennery_South!11:11,"AAAAAG3/3pg=",0)</f>
        <v>0</v>
      </c>
      <c r="EX43" s="1" t="e">
        <f>AND(O_Dennery_South!A11,"AAAAAG3/3pk=")</f>
        <v>#VALUE!</v>
      </c>
      <c r="EY43" s="1" t="e">
        <f>AND(O_Dennery_South!B11,"AAAAAG3/3po=")</f>
        <v>#VALUE!</v>
      </c>
      <c r="EZ43" s="1" t="e">
        <f>AND(O_Dennery_South!C11,"AAAAAG3/3ps=")</f>
        <v>#VALUE!</v>
      </c>
      <c r="FA43" s="1" t="e">
        <f>AND(O_Dennery_South!D11,"AAAAAG3/3pw=")</f>
        <v>#VALUE!</v>
      </c>
      <c r="FB43" s="1" t="e">
        <f>AND(O_Dennery_South!E11,"AAAAAG3/3p0=")</f>
        <v>#VALUE!</v>
      </c>
      <c r="FC43" s="1" t="e">
        <f>AND(O_Dennery_South!F11,"AAAAAG3/3p4=")</f>
        <v>#VALUE!</v>
      </c>
      <c r="FD43" s="1" t="e">
        <f>AND(O_Dennery_South!G11,"AAAAAG3/3p8=")</f>
        <v>#VALUE!</v>
      </c>
      <c r="FE43" s="1" t="e">
        <f>AND(O_Dennery_South!H11,"AAAAAG3/3qA=")</f>
        <v>#VALUE!</v>
      </c>
      <c r="FF43" s="1" t="e">
        <f>AND(O_Dennery_South!I11,"AAAAAG3/3qE=")</f>
        <v>#VALUE!</v>
      </c>
      <c r="FG43" s="1" t="e">
        <f>AND(O_Dennery_South!J11,"AAAAAG3/3qI=")</f>
        <v>#VALUE!</v>
      </c>
      <c r="FH43" s="1" t="e">
        <f>AND(O_Dennery_South!K11,"AAAAAG3/3qM=")</f>
        <v>#VALUE!</v>
      </c>
      <c r="FI43" s="1" t="e">
        <f>AND(O_Dennery_South!L11,"AAAAAG3/3qQ=")</f>
        <v>#VALUE!</v>
      </c>
      <c r="FJ43" s="1" t="e">
        <f>AND(O_Dennery_South!M11,"AAAAAG3/3qU=")</f>
        <v>#VALUE!</v>
      </c>
      <c r="FK43" s="1" t="e">
        <f>AND(O_Dennery_South!N11,"AAAAAG3/3qY=")</f>
        <v>#VALUE!</v>
      </c>
      <c r="FL43" s="1" t="e">
        <f t="shared" ref="FL43:FZ43" si="18">IF(O_Dennery_South!#REF!,"AAAAAG3/3qc=",0)</f>
        <v>#REF!</v>
      </c>
      <c r="FM43" s="1" t="e">
        <f t="shared" si="18"/>
        <v>#REF!</v>
      </c>
      <c r="FN43" s="1" t="e">
        <f t="shared" si="18"/>
        <v>#REF!</v>
      </c>
      <c r="FO43" s="1" t="e">
        <f t="shared" si="18"/>
        <v>#REF!</v>
      </c>
      <c r="FP43" s="1" t="e">
        <f t="shared" si="18"/>
        <v>#REF!</v>
      </c>
      <c r="FQ43" s="1" t="e">
        <f t="shared" si="18"/>
        <v>#REF!</v>
      </c>
      <c r="FR43" s="1" t="e">
        <f t="shared" si="18"/>
        <v>#REF!</v>
      </c>
      <c r="FS43" s="1" t="e">
        <f t="shared" si="18"/>
        <v>#REF!</v>
      </c>
      <c r="FT43" s="1" t="e">
        <f t="shared" si="18"/>
        <v>#REF!</v>
      </c>
      <c r="FU43" s="1" t="e">
        <f t="shared" si="18"/>
        <v>#REF!</v>
      </c>
      <c r="FV43" s="1" t="e">
        <f t="shared" si="18"/>
        <v>#REF!</v>
      </c>
      <c r="FW43" s="1" t="e">
        <f t="shared" si="18"/>
        <v>#REF!</v>
      </c>
      <c r="FX43" s="1" t="e">
        <f t="shared" si="18"/>
        <v>#REF!</v>
      </c>
      <c r="FY43" s="1" t="e">
        <f t="shared" si="18"/>
        <v>#REF!</v>
      </c>
      <c r="FZ43" s="1" t="e">
        <f t="shared" si="18"/>
        <v>#REF!</v>
      </c>
      <c r="GA43" s="1">
        <f>IF(O_Dennery_South!12:12,"AAAAAG3/3rY=",0)</f>
        <v>0</v>
      </c>
      <c r="GB43" s="1" t="e">
        <f>AND(O_Dennery_South!A12,"AAAAAG3/3rc=")</f>
        <v>#VALUE!</v>
      </c>
      <c r="GC43" s="1" t="b">
        <f>AND(O_Dennery_South!B12,"AAAAAG3/3rg=")</f>
        <v>1</v>
      </c>
      <c r="GD43" s="1" t="b">
        <f>AND(O_Dennery_South!C12,"AAAAAG3/3rk=")</f>
        <v>1</v>
      </c>
      <c r="GE43" s="1" t="b">
        <f>AND(O_Dennery_South!D12,"AAAAAG3/3ro=")</f>
        <v>1</v>
      </c>
      <c r="GF43" s="1" t="b">
        <f>AND(O_Dennery_South!E12,"AAAAAG3/3rs=")</f>
        <v>1</v>
      </c>
      <c r="GG43" s="1" t="b">
        <f>AND(O_Dennery_South!F12,"AAAAAG3/3rw=")</f>
        <v>1</v>
      </c>
      <c r="GH43" s="1" t="b">
        <f>AND(O_Dennery_South!G12,"AAAAAG3/3r0=")</f>
        <v>1</v>
      </c>
      <c r="GI43" s="1" t="b">
        <f>AND(O_Dennery_South!H12,"AAAAAG3/3r4=")</f>
        <v>1</v>
      </c>
      <c r="GJ43" s="1" t="b">
        <f>AND(O_Dennery_South!I12,"AAAAAG3/3r8=")</f>
        <v>1</v>
      </c>
      <c r="GK43" s="1" t="b">
        <f>AND(O_Dennery_South!J12,"AAAAAG3/3sA=")</f>
        <v>1</v>
      </c>
      <c r="GL43" s="1" t="b">
        <f>AND(O_Dennery_South!K12,"AAAAAG3/3sE=")</f>
        <v>1</v>
      </c>
      <c r="GM43" s="1" t="b">
        <f>AND(O_Dennery_South!L12,"AAAAAG3/3sI=")</f>
        <v>1</v>
      </c>
      <c r="GN43" s="1" t="b">
        <f>AND(O_Dennery_South!M12,"AAAAAG3/3sM=")</f>
        <v>1</v>
      </c>
      <c r="GO43" s="1" t="b">
        <f>AND(O_Dennery_South!N12,"AAAAAG3/3sQ=")</f>
        <v>1</v>
      </c>
      <c r="GP43" s="1">
        <f>IF(O_Dennery_South!13:13,"AAAAAG3/3sU=",0)</f>
        <v>0</v>
      </c>
      <c r="GQ43" s="1" t="e">
        <f>AND(O_Dennery_South!A13,"AAAAAG3/3sY=")</f>
        <v>#VALUE!</v>
      </c>
      <c r="GR43" s="1" t="b">
        <f>AND(O_Dennery_South!B13,"AAAAAG3/3sc=")</f>
        <v>1</v>
      </c>
      <c r="GS43" s="1" t="b">
        <f>AND(O_Dennery_South!C13,"AAAAAG3/3sg=")</f>
        <v>1</v>
      </c>
      <c r="GT43" s="1" t="b">
        <f>AND(O_Dennery_South!D13,"AAAAAG3/3sk=")</f>
        <v>1</v>
      </c>
      <c r="GU43" s="1" t="b">
        <f>AND(O_Dennery_South!E13,"AAAAAG3/3so=")</f>
        <v>1</v>
      </c>
      <c r="GV43" s="1" t="b">
        <f>AND(O_Dennery_South!F13,"AAAAAG3/3ss=")</f>
        <v>1</v>
      </c>
      <c r="GW43" s="1" t="b">
        <f>AND(O_Dennery_South!G13,"AAAAAG3/3sw=")</f>
        <v>0</v>
      </c>
      <c r="GX43" s="1" t="b">
        <f>AND(O_Dennery_South!H13,"AAAAAG3/3s0=")</f>
        <v>0</v>
      </c>
      <c r="GY43" s="1" t="b">
        <f>AND(O_Dennery_South!I13,"AAAAAG3/3s4=")</f>
        <v>1</v>
      </c>
      <c r="GZ43" s="1" t="b">
        <f>AND(O_Dennery_South!J13,"AAAAAG3/3s8=")</f>
        <v>1</v>
      </c>
      <c r="HA43" s="1" t="b">
        <f>AND(O_Dennery_South!K13,"AAAAAG3/3tA=")</f>
        <v>1</v>
      </c>
      <c r="HB43" s="1" t="b">
        <f>AND(O_Dennery_South!L13,"AAAAAG3/3tE=")</f>
        <v>1</v>
      </c>
      <c r="HC43" s="1" t="b">
        <f>AND(O_Dennery_South!M13,"AAAAAG3/3tI=")</f>
        <v>1</v>
      </c>
      <c r="HD43" s="1" t="b">
        <f>AND(O_Dennery_South!N13,"AAAAAG3/3tM=")</f>
        <v>1</v>
      </c>
      <c r="HE43" s="1">
        <f>IF(O_Dennery_South!14:14,"AAAAAG3/3tQ=",0)</f>
        <v>0</v>
      </c>
      <c r="HF43" s="1" t="e">
        <f>AND(O_Dennery_South!A14,"AAAAAG3/3tU=")</f>
        <v>#VALUE!</v>
      </c>
      <c r="HG43" s="1" t="b">
        <f>AND(O_Dennery_South!B14,"AAAAAG3/3tY=")</f>
        <v>1</v>
      </c>
      <c r="HH43" s="1" t="b">
        <f>AND(O_Dennery_South!C14,"AAAAAG3/3tc=")</f>
        <v>1</v>
      </c>
      <c r="HI43" s="1" t="b">
        <f>AND(O_Dennery_South!D14,"AAAAAG3/3tg=")</f>
        <v>1</v>
      </c>
      <c r="HJ43" s="1" t="b">
        <f>AND(O_Dennery_South!E14,"AAAAAG3/3tk=")</f>
        <v>1</v>
      </c>
      <c r="HK43" s="1" t="b">
        <f>AND(O_Dennery_South!F14,"AAAAAG3/3to=")</f>
        <v>1</v>
      </c>
      <c r="HL43" s="1" t="b">
        <f>AND(O_Dennery_South!G14,"AAAAAG3/3ts=")</f>
        <v>1</v>
      </c>
      <c r="HM43" s="1" t="b">
        <f>AND(O_Dennery_South!H14,"AAAAAG3/3tw=")</f>
        <v>1</v>
      </c>
      <c r="HN43" s="1" t="b">
        <f>AND(O_Dennery_South!I14,"AAAAAG3/3t0=")</f>
        <v>1</v>
      </c>
      <c r="HO43" s="1" t="b">
        <f>AND(O_Dennery_South!J14,"AAAAAG3/3t4=")</f>
        <v>1</v>
      </c>
      <c r="HP43" s="1" t="b">
        <f>AND(O_Dennery_South!K14,"AAAAAG3/3t8=")</f>
        <v>1</v>
      </c>
      <c r="HQ43" s="1" t="b">
        <f>AND(O_Dennery_South!L14,"AAAAAG3/3uA=")</f>
        <v>1</v>
      </c>
      <c r="HR43" s="1" t="b">
        <f>AND(O_Dennery_South!M14,"AAAAAG3/3uE=")</f>
        <v>1</v>
      </c>
      <c r="HS43" s="1" t="b">
        <f>AND(O_Dennery_South!N14,"AAAAAG3/3uI=")</f>
        <v>1</v>
      </c>
      <c r="HT43" s="1">
        <f>IF(O_Dennery_South!15:15,"AAAAAG3/3uM=",0)</f>
        <v>0</v>
      </c>
      <c r="HU43" s="1" t="e">
        <f>AND(O_Dennery_South!A15,"AAAAAG3/3uQ=")</f>
        <v>#VALUE!</v>
      </c>
      <c r="HV43" s="1" t="b">
        <f>AND(O_Dennery_South!B15,"AAAAAG3/3uU=")</f>
        <v>1</v>
      </c>
      <c r="HW43" s="1" t="b">
        <f>AND(O_Dennery_South!C15,"AAAAAG3/3uY=")</f>
        <v>1</v>
      </c>
      <c r="HX43" s="1" t="b">
        <f>AND(O_Dennery_South!D15,"AAAAAG3/3uc=")</f>
        <v>1</v>
      </c>
      <c r="HY43" s="1" t="b">
        <f>AND(O_Dennery_South!E15,"AAAAAG3/3ug=")</f>
        <v>1</v>
      </c>
      <c r="HZ43" s="1" t="b">
        <f>AND(O_Dennery_South!F15,"AAAAAG3/3uk=")</f>
        <v>1</v>
      </c>
      <c r="IA43" s="1" t="b">
        <f>AND(O_Dennery_South!G15,"AAAAAG3/3uo=")</f>
        <v>0</v>
      </c>
      <c r="IB43" s="1" t="b">
        <f>AND(O_Dennery_South!H15,"AAAAAG3/3us=")</f>
        <v>0</v>
      </c>
      <c r="IC43" s="1" t="b">
        <f>AND(O_Dennery_South!I15,"AAAAAG3/3uw=")</f>
        <v>1</v>
      </c>
      <c r="ID43" s="1" t="b">
        <f>AND(O_Dennery_South!J15,"AAAAAG3/3u0=")</f>
        <v>1</v>
      </c>
      <c r="IE43" s="1" t="b">
        <f>AND(O_Dennery_South!K15,"AAAAAG3/3u4=")</f>
        <v>1</v>
      </c>
      <c r="IF43" s="1" t="b">
        <f>AND(O_Dennery_South!L15,"AAAAAG3/3u8=")</f>
        <v>1</v>
      </c>
      <c r="IG43" s="1" t="b">
        <f>AND(O_Dennery_South!M15,"AAAAAG3/3vA=")</f>
        <v>1</v>
      </c>
      <c r="IH43" s="1" t="b">
        <f>AND(O_Dennery_South!N15,"AAAAAG3/3vE=")</f>
        <v>1</v>
      </c>
      <c r="II43" s="1">
        <f>IF(O_Dennery_South!16:16,"AAAAAG3/3vI=",0)</f>
        <v>0</v>
      </c>
      <c r="IJ43" s="1" t="e">
        <f>AND(O_Dennery_South!A16,"AAAAAG3/3vM=")</f>
        <v>#VALUE!</v>
      </c>
      <c r="IK43" s="1" t="b">
        <f>AND(O_Dennery_South!B16,"AAAAAG3/3vQ=")</f>
        <v>1</v>
      </c>
      <c r="IL43" s="1" t="b">
        <f>AND(O_Dennery_South!C16,"AAAAAG3/3vU=")</f>
        <v>1</v>
      </c>
      <c r="IM43" s="1" t="b">
        <f>AND(O_Dennery_South!D16,"AAAAAG3/3vY=")</f>
        <v>1</v>
      </c>
      <c r="IN43" s="1" t="b">
        <f>AND(O_Dennery_South!E16,"AAAAAG3/3vc=")</f>
        <v>1</v>
      </c>
      <c r="IO43" s="1" t="b">
        <f>AND(O_Dennery_South!F16,"AAAAAG3/3vg=")</f>
        <v>1</v>
      </c>
      <c r="IP43" s="1" t="b">
        <f>AND(O_Dennery_South!G16,"AAAAAG3/3vk=")</f>
        <v>0</v>
      </c>
      <c r="IQ43" s="1" t="b">
        <f>AND(O_Dennery_South!H16,"AAAAAG3/3vo=")</f>
        <v>0</v>
      </c>
      <c r="IR43" s="1" t="b">
        <f>AND(O_Dennery_South!I16,"AAAAAG3/3vs=")</f>
        <v>1</v>
      </c>
      <c r="IS43" s="1" t="b">
        <f>AND(O_Dennery_South!J16,"AAAAAG3/3vw=")</f>
        <v>1</v>
      </c>
      <c r="IT43" s="1" t="b">
        <f>AND(O_Dennery_South!K16,"AAAAAG3/3v0=")</f>
        <v>1</v>
      </c>
      <c r="IU43" s="1" t="b">
        <f>AND(O_Dennery_South!L16,"AAAAAG3/3v4=")</f>
        <v>1</v>
      </c>
      <c r="IV43" s="1" t="b">
        <f>AND(O_Dennery_South!M16,"AAAAAG3/3v8=")</f>
        <v>1</v>
      </c>
    </row>
    <row r="44" spans="1:256" ht="12" customHeight="1" x14ac:dyDescent="0.2">
      <c r="A44" s="1" t="b">
        <f>AND(O_Dennery_South!N16,"AAAAAE+bnwA=")</f>
        <v>1</v>
      </c>
      <c r="B44" s="1" t="str">
        <f>IF(O_Dennery_South!17:17,"AAAAAE+bnwE=",0)</f>
        <v>AAAAAE+bnwE=</v>
      </c>
      <c r="C44" s="1" t="e">
        <f>AND(O_Dennery_South!A17,"AAAAAE+bnwI=")</f>
        <v>#VALUE!</v>
      </c>
      <c r="D44" s="1" t="b">
        <f>AND(O_Dennery_South!B17,"AAAAAE+bnwM=")</f>
        <v>1</v>
      </c>
      <c r="E44" s="1" t="b">
        <f>AND(O_Dennery_South!C17,"AAAAAE+bnwQ=")</f>
        <v>1</v>
      </c>
      <c r="F44" s="1" t="b">
        <f>AND(O_Dennery_South!D17,"AAAAAE+bnwU=")</f>
        <v>1</v>
      </c>
      <c r="G44" s="1" t="b">
        <f>AND(O_Dennery_South!E17,"AAAAAE+bnwY=")</f>
        <v>1</v>
      </c>
      <c r="H44" s="1" t="b">
        <f>AND(O_Dennery_South!F17,"AAAAAE+bnwc=")</f>
        <v>1</v>
      </c>
      <c r="I44" s="1" t="b">
        <f>AND(O_Dennery_South!G17,"AAAAAE+bnwg=")</f>
        <v>1</v>
      </c>
      <c r="J44" s="1" t="b">
        <f>AND(O_Dennery_South!H17,"AAAAAE+bnwk=")</f>
        <v>1</v>
      </c>
      <c r="K44" s="1" t="b">
        <f>AND(O_Dennery_South!I17,"AAAAAE+bnwo=")</f>
        <v>1</v>
      </c>
      <c r="L44" s="1" t="b">
        <f>AND(O_Dennery_South!J17,"AAAAAE+bnws=")</f>
        <v>1</v>
      </c>
      <c r="M44" s="1" t="b">
        <f>AND(O_Dennery_South!K17,"AAAAAE+bnww=")</f>
        <v>1</v>
      </c>
      <c r="N44" s="1" t="b">
        <f>AND(O_Dennery_South!L17,"AAAAAE+bnw0=")</f>
        <v>1</v>
      </c>
      <c r="O44" s="1" t="b">
        <f>AND(O_Dennery_South!M17,"AAAAAE+bnw4=")</f>
        <v>1</v>
      </c>
      <c r="P44" s="1" t="b">
        <f>AND(O_Dennery_South!N17,"AAAAAE+bnw8=")</f>
        <v>1</v>
      </c>
      <c r="Q44" s="1">
        <f>IF(O_Dennery_South!18:18,"AAAAAE+bnxA=",0)</f>
        <v>0</v>
      </c>
      <c r="R44" s="1" t="e">
        <f>AND(O_Dennery_South!A18,"AAAAAE+bnxE=")</f>
        <v>#VALUE!</v>
      </c>
      <c r="S44" s="1" t="b">
        <f>AND(O_Dennery_South!B18,"AAAAAE+bnxI=")</f>
        <v>1</v>
      </c>
      <c r="T44" s="1" t="b">
        <f>AND(O_Dennery_South!C18,"AAAAAE+bnxM=")</f>
        <v>1</v>
      </c>
      <c r="U44" s="1" t="b">
        <f>AND(O_Dennery_South!D18,"AAAAAE+bnxQ=")</f>
        <v>1</v>
      </c>
      <c r="V44" s="1" t="b">
        <f>AND(O_Dennery_South!E18,"AAAAAE+bnxU=")</f>
        <v>1</v>
      </c>
      <c r="W44" s="1" t="b">
        <f>AND(O_Dennery_South!F18,"AAAAAE+bnxY=")</f>
        <v>1</v>
      </c>
      <c r="X44" s="1" t="b">
        <f>AND(O_Dennery_South!G18,"AAAAAE+bnxc=")</f>
        <v>0</v>
      </c>
      <c r="Y44" s="1" t="b">
        <f>AND(O_Dennery_South!H18,"AAAAAE+bnxg=")</f>
        <v>0</v>
      </c>
      <c r="Z44" s="1" t="b">
        <f>AND(O_Dennery_South!I18,"AAAAAE+bnxk=")</f>
        <v>1</v>
      </c>
      <c r="AA44" s="1" t="b">
        <f>AND(O_Dennery_South!J18,"AAAAAE+bnxo=")</f>
        <v>1</v>
      </c>
      <c r="AB44" s="1" t="b">
        <f>AND(O_Dennery_South!K18,"AAAAAE+bnxs=")</f>
        <v>1</v>
      </c>
      <c r="AC44" s="1" t="b">
        <f>AND(O_Dennery_South!L18,"AAAAAE+bnxw=")</f>
        <v>1</v>
      </c>
      <c r="AD44" s="1" t="b">
        <f>AND(O_Dennery_South!M18,"AAAAAE+bnx0=")</f>
        <v>1</v>
      </c>
      <c r="AE44" s="1" t="b">
        <f>AND(O_Dennery_South!N18,"AAAAAE+bnx4=")</f>
        <v>1</v>
      </c>
      <c r="AF44" s="1">
        <f>IF(O_Dennery_South!19:19,"AAAAAE+bnx8=",0)</f>
        <v>0</v>
      </c>
      <c r="AG44" s="1" t="e">
        <f>AND(O_Dennery_South!A19,"AAAAAE+bnyA=")</f>
        <v>#VALUE!</v>
      </c>
      <c r="AH44" s="1" t="b">
        <f>AND(O_Dennery_South!B19,"AAAAAE+bnyE=")</f>
        <v>1</v>
      </c>
      <c r="AI44" s="1" t="b">
        <f>AND(O_Dennery_South!C19,"AAAAAE+bnyI=")</f>
        <v>1</v>
      </c>
      <c r="AJ44" s="1" t="b">
        <f>AND(O_Dennery_South!D19,"AAAAAE+bnyM=")</f>
        <v>1</v>
      </c>
      <c r="AK44" s="1" t="b">
        <f>AND(O_Dennery_South!E19,"AAAAAE+bnyQ=")</f>
        <v>1</v>
      </c>
      <c r="AL44" s="1" t="b">
        <f>AND(O_Dennery_South!F19,"AAAAAE+bnyU=")</f>
        <v>1</v>
      </c>
      <c r="AM44" s="1" t="b">
        <f>AND(O_Dennery_South!G19,"AAAAAE+bnyY=")</f>
        <v>1</v>
      </c>
      <c r="AN44" s="1" t="b">
        <f>AND(O_Dennery_South!H19,"AAAAAE+bnyc=")</f>
        <v>1</v>
      </c>
      <c r="AO44" s="1" t="b">
        <f>AND(O_Dennery_South!I19,"AAAAAE+bnyg=")</f>
        <v>1</v>
      </c>
      <c r="AP44" s="1" t="b">
        <f>AND(O_Dennery_South!J19,"AAAAAE+bnyk=")</f>
        <v>1</v>
      </c>
      <c r="AQ44" s="1" t="b">
        <f>AND(O_Dennery_South!K19,"AAAAAE+bnyo=")</f>
        <v>1</v>
      </c>
      <c r="AR44" s="1" t="b">
        <f>AND(O_Dennery_South!L19,"AAAAAE+bnys=")</f>
        <v>1</v>
      </c>
      <c r="AS44" s="1" t="b">
        <f>AND(O_Dennery_South!M19,"AAAAAE+bnyw=")</f>
        <v>1</v>
      </c>
      <c r="AT44" s="1" t="b">
        <f>AND(O_Dennery_South!N19,"AAAAAE+bny0=")</f>
        <v>1</v>
      </c>
      <c r="AU44" s="1">
        <f>IF(O_Dennery_South!21:21,"AAAAAE+bny4=",0)</f>
        <v>0</v>
      </c>
      <c r="AV44" s="1" t="e">
        <f>AND(O_Dennery_South!A21,"AAAAAE+bny8=")</f>
        <v>#VALUE!</v>
      </c>
      <c r="AW44" s="1" t="e">
        <f>AND(O_Dennery_South!B21,"AAAAAE+bnzA=")</f>
        <v>#VALUE!</v>
      </c>
      <c r="AX44" s="1" t="e">
        <f>AND(O_Dennery_South!C21,"AAAAAE+bnzE=")</f>
        <v>#VALUE!</v>
      </c>
      <c r="AY44" s="1" t="e">
        <f>AND(O_Dennery_South!D21,"AAAAAE+bnzI=")</f>
        <v>#VALUE!</v>
      </c>
      <c r="AZ44" s="1" t="e">
        <f>AND(O_Dennery_South!E21,"AAAAAE+bnzM=")</f>
        <v>#VALUE!</v>
      </c>
      <c r="BA44" s="1" t="e">
        <f>AND(O_Dennery_South!F21,"AAAAAE+bnzQ=")</f>
        <v>#VALUE!</v>
      </c>
      <c r="BB44" s="1" t="e">
        <f>AND(O_Dennery_South!G21,"AAAAAE+bnzU=")</f>
        <v>#VALUE!</v>
      </c>
      <c r="BC44" s="1" t="e">
        <f>AND(O_Dennery_South!H21,"AAAAAE+bnzY=")</f>
        <v>#VALUE!</v>
      </c>
      <c r="BD44" s="1" t="e">
        <f>AND(O_Dennery_South!I21,"AAAAAE+bnzc=")</f>
        <v>#VALUE!</v>
      </c>
      <c r="BE44" s="1" t="e">
        <f>AND(O_Dennery_South!J21,"AAAAAE+bnzg=")</f>
        <v>#VALUE!</v>
      </c>
      <c r="BF44" s="1" t="e">
        <f>AND(O_Dennery_South!K21,"AAAAAE+bnzk=")</f>
        <v>#VALUE!</v>
      </c>
      <c r="BG44" s="1" t="e">
        <f>AND(O_Dennery_South!L21,"AAAAAE+bnzo=")</f>
        <v>#VALUE!</v>
      </c>
      <c r="BH44" s="1" t="e">
        <f>AND(O_Dennery_South!M21,"AAAAAE+bnzs=")</f>
        <v>#VALUE!</v>
      </c>
      <c r="BI44" s="1" t="e">
        <f>AND(O_Dennery_South!N21,"AAAAAE+bnzw=")</f>
        <v>#VALUE!</v>
      </c>
      <c r="BJ44" s="1" t="e">
        <f t="shared" ref="BJ44:BX44" si="19">IF(O_Dennery_South!#REF!,"AAAAAE+bnz0=",0)</f>
        <v>#REF!</v>
      </c>
      <c r="BK44" s="1" t="e">
        <f t="shared" si="19"/>
        <v>#REF!</v>
      </c>
      <c r="BL44" s="1" t="e">
        <f t="shared" si="19"/>
        <v>#REF!</v>
      </c>
      <c r="BM44" s="1" t="e">
        <f t="shared" si="19"/>
        <v>#REF!</v>
      </c>
      <c r="BN44" s="1" t="e">
        <f t="shared" si="19"/>
        <v>#REF!</v>
      </c>
      <c r="BO44" s="1" t="e">
        <f t="shared" si="19"/>
        <v>#REF!</v>
      </c>
      <c r="BP44" s="1" t="e">
        <f t="shared" si="19"/>
        <v>#REF!</v>
      </c>
      <c r="BQ44" s="1" t="e">
        <f t="shared" si="19"/>
        <v>#REF!</v>
      </c>
      <c r="BR44" s="1" t="e">
        <f t="shared" si="19"/>
        <v>#REF!</v>
      </c>
      <c r="BS44" s="1" t="e">
        <f t="shared" si="19"/>
        <v>#REF!</v>
      </c>
      <c r="BT44" s="1" t="e">
        <f t="shared" si="19"/>
        <v>#REF!</v>
      </c>
      <c r="BU44" s="1" t="e">
        <f t="shared" si="19"/>
        <v>#REF!</v>
      </c>
      <c r="BV44" s="1" t="e">
        <f t="shared" si="19"/>
        <v>#REF!</v>
      </c>
      <c r="BW44" s="1" t="e">
        <f t="shared" si="19"/>
        <v>#REF!</v>
      </c>
      <c r="BX44" s="1" t="e">
        <f t="shared" si="19"/>
        <v>#REF!</v>
      </c>
      <c r="BY44" s="1">
        <f>IF(O_Dennery_South!22:22,"AAAAAE+bn0w=",0)</f>
        <v>0</v>
      </c>
      <c r="BZ44" s="1" t="e">
        <f>AND(O_Dennery_South!A22,"AAAAAE+bn00=")</f>
        <v>#VALUE!</v>
      </c>
      <c r="CA44" s="1" t="b">
        <f>AND(O_Dennery_South!B22,"AAAAAE+bn04=")</f>
        <v>1</v>
      </c>
      <c r="CB44" s="1" t="b">
        <f>AND(O_Dennery_South!C22,"AAAAAE+bn08=")</f>
        <v>1</v>
      </c>
      <c r="CC44" s="1" t="b">
        <f>AND(O_Dennery_South!D22,"AAAAAE+bn1A=")</f>
        <v>1</v>
      </c>
      <c r="CD44" s="1" t="b">
        <f>AND(O_Dennery_South!E22,"AAAAAE+bn1E=")</f>
        <v>1</v>
      </c>
      <c r="CE44" s="1" t="b">
        <f>AND(O_Dennery_South!F22,"AAAAAE+bn1I=")</f>
        <v>1</v>
      </c>
      <c r="CF44" s="1" t="b">
        <f>AND(O_Dennery_South!G22,"AAAAAE+bn1M=")</f>
        <v>1</v>
      </c>
      <c r="CG44" s="1" t="b">
        <f>AND(O_Dennery_South!H22,"AAAAAE+bn1Q=")</f>
        <v>1</v>
      </c>
      <c r="CH44" s="1" t="b">
        <f>AND(O_Dennery_South!I22,"AAAAAE+bn1U=")</f>
        <v>1</v>
      </c>
      <c r="CI44" s="1" t="b">
        <f>AND(O_Dennery_South!J22,"AAAAAE+bn1Y=")</f>
        <v>1</v>
      </c>
      <c r="CJ44" s="1" t="b">
        <f>AND(O_Dennery_South!K22,"AAAAAE+bn1c=")</f>
        <v>1</v>
      </c>
      <c r="CK44" s="1" t="b">
        <f>AND(O_Dennery_South!L22,"AAAAAE+bn1g=")</f>
        <v>1</v>
      </c>
      <c r="CL44" s="1" t="b">
        <f>AND(O_Dennery_South!M22,"AAAAAE+bn1k=")</f>
        <v>1</v>
      </c>
      <c r="CM44" s="1" t="b">
        <f>AND(O_Dennery_South!N22,"AAAAAE+bn1o=")</f>
        <v>1</v>
      </c>
      <c r="CN44" s="1">
        <f>IF(O_Dennery_South!23:23,"AAAAAE+bn1s=",0)</f>
        <v>0</v>
      </c>
      <c r="CO44" s="1" t="e">
        <f>AND(O_Dennery_South!A23,"AAAAAE+bn1w=")</f>
        <v>#VALUE!</v>
      </c>
      <c r="CP44" s="1" t="b">
        <f>AND(O_Dennery_South!B23,"AAAAAE+bn10=")</f>
        <v>1</v>
      </c>
      <c r="CQ44" s="1" t="b">
        <f>AND(O_Dennery_South!C23,"AAAAAE+bn14=")</f>
        <v>1</v>
      </c>
      <c r="CR44" s="1" t="b">
        <f>AND(O_Dennery_South!D23,"AAAAAE+bn18=")</f>
        <v>1</v>
      </c>
      <c r="CS44" s="1" t="b">
        <f>AND(O_Dennery_South!E23,"AAAAAE+bn2A=")</f>
        <v>1</v>
      </c>
      <c r="CT44" s="1" t="b">
        <f>AND(O_Dennery_South!F23,"AAAAAE+bn2E=")</f>
        <v>1</v>
      </c>
      <c r="CU44" s="1" t="b">
        <f>AND(O_Dennery_South!G23,"AAAAAE+bn2I=")</f>
        <v>0</v>
      </c>
      <c r="CV44" s="1" t="b">
        <f>AND(O_Dennery_South!H23,"AAAAAE+bn2M=")</f>
        <v>0</v>
      </c>
      <c r="CW44" s="1" t="b">
        <f>AND(O_Dennery_South!I23,"AAAAAE+bn2Q=")</f>
        <v>1</v>
      </c>
      <c r="CX44" s="1" t="b">
        <f>AND(O_Dennery_South!J23,"AAAAAE+bn2U=")</f>
        <v>1</v>
      </c>
      <c r="CY44" s="1" t="b">
        <f>AND(O_Dennery_South!K23,"AAAAAE+bn2Y=")</f>
        <v>1</v>
      </c>
      <c r="CZ44" s="1" t="b">
        <f>AND(O_Dennery_South!L23,"AAAAAE+bn2c=")</f>
        <v>1</v>
      </c>
      <c r="DA44" s="1" t="b">
        <f>AND(O_Dennery_South!M23,"AAAAAE+bn2g=")</f>
        <v>1</v>
      </c>
      <c r="DB44" s="1" t="b">
        <f>AND(O_Dennery_South!N23,"AAAAAE+bn2k=")</f>
        <v>1</v>
      </c>
      <c r="DC44" s="1">
        <f>IF(O_Dennery_South!24:24,"AAAAAE+bn2o=",0)</f>
        <v>0</v>
      </c>
      <c r="DD44" s="1" t="e">
        <f>AND(O_Dennery_South!A24,"AAAAAE+bn2s=")</f>
        <v>#VALUE!</v>
      </c>
      <c r="DE44" s="1" t="b">
        <f>AND(O_Dennery_South!B24,"AAAAAE+bn2w=")</f>
        <v>1</v>
      </c>
      <c r="DF44" s="1" t="b">
        <f>AND(O_Dennery_South!C24,"AAAAAE+bn20=")</f>
        <v>1</v>
      </c>
      <c r="DG44" s="1" t="b">
        <f>AND(O_Dennery_South!D24,"AAAAAE+bn24=")</f>
        <v>1</v>
      </c>
      <c r="DH44" s="1" t="b">
        <f>AND(O_Dennery_South!E24,"AAAAAE+bn28=")</f>
        <v>1</v>
      </c>
      <c r="DI44" s="1" t="b">
        <f>AND(O_Dennery_South!F24,"AAAAAE+bn3A=")</f>
        <v>1</v>
      </c>
      <c r="DJ44" s="1" t="b">
        <f>AND(O_Dennery_South!G24,"AAAAAE+bn3E=")</f>
        <v>1</v>
      </c>
      <c r="DK44" s="1" t="b">
        <f>AND(O_Dennery_South!H24,"AAAAAE+bn3I=")</f>
        <v>1</v>
      </c>
      <c r="DL44" s="1" t="b">
        <f>AND(O_Dennery_South!I24,"AAAAAE+bn3M=")</f>
        <v>1</v>
      </c>
      <c r="DM44" s="1" t="b">
        <f>AND(O_Dennery_South!J24,"AAAAAE+bn3Q=")</f>
        <v>1</v>
      </c>
      <c r="DN44" s="1" t="b">
        <f>AND(O_Dennery_South!K24,"AAAAAE+bn3U=")</f>
        <v>1</v>
      </c>
      <c r="DO44" s="1" t="b">
        <f>AND(O_Dennery_South!L24,"AAAAAE+bn3Y=")</f>
        <v>1</v>
      </c>
      <c r="DP44" s="1" t="b">
        <f>AND(O_Dennery_South!M24,"AAAAAE+bn3c=")</f>
        <v>1</v>
      </c>
      <c r="DQ44" s="1" t="b">
        <f>AND(O_Dennery_South!N24,"AAAAAE+bn3g=")</f>
        <v>1</v>
      </c>
      <c r="DR44" s="1">
        <f>IF(O_Dennery_South!25:25,"AAAAAE+bn3k=",0)</f>
        <v>0</v>
      </c>
      <c r="DS44" s="1" t="e">
        <f>AND(O_Dennery_South!A25,"AAAAAE+bn3o=")</f>
        <v>#VALUE!</v>
      </c>
      <c r="DT44" s="1" t="b">
        <f>AND(O_Dennery_South!B25,"AAAAAE+bn3s=")</f>
        <v>1</v>
      </c>
      <c r="DU44" s="1" t="b">
        <f>AND(O_Dennery_South!C25,"AAAAAE+bn3w=")</f>
        <v>1</v>
      </c>
      <c r="DV44" s="1" t="b">
        <f>AND(O_Dennery_South!D25,"AAAAAE+bn30=")</f>
        <v>1</v>
      </c>
      <c r="DW44" s="1" t="b">
        <f>AND(O_Dennery_South!E25,"AAAAAE+bn34=")</f>
        <v>1</v>
      </c>
      <c r="DX44" s="1" t="b">
        <f>AND(O_Dennery_South!F25,"AAAAAE+bn38=")</f>
        <v>1</v>
      </c>
      <c r="DY44" s="1" t="b">
        <f>AND(O_Dennery_South!G25,"AAAAAE+bn4A=")</f>
        <v>0</v>
      </c>
      <c r="DZ44" s="1" t="b">
        <f>AND(O_Dennery_South!H25,"AAAAAE+bn4E=")</f>
        <v>0</v>
      </c>
      <c r="EA44" s="1" t="b">
        <f>AND(O_Dennery_South!I25,"AAAAAE+bn4I=")</f>
        <v>1</v>
      </c>
      <c r="EB44" s="1" t="b">
        <f>AND(O_Dennery_South!J25,"AAAAAE+bn4M=")</f>
        <v>1</v>
      </c>
      <c r="EC44" s="1" t="b">
        <f>AND(O_Dennery_South!K25,"AAAAAE+bn4Q=")</f>
        <v>1</v>
      </c>
      <c r="ED44" s="1" t="b">
        <f>AND(O_Dennery_South!L25,"AAAAAE+bn4U=")</f>
        <v>1</v>
      </c>
      <c r="EE44" s="1" t="b">
        <f>AND(O_Dennery_South!M25,"AAAAAE+bn4Y=")</f>
        <v>1</v>
      </c>
      <c r="EF44" s="1" t="b">
        <f>AND(O_Dennery_South!N25,"AAAAAE+bn4c=")</f>
        <v>1</v>
      </c>
      <c r="EG44" s="1">
        <f>IF(O_Dennery_South!26:26,"AAAAAE+bn4g=",0)</f>
        <v>0</v>
      </c>
      <c r="EH44" s="1" t="e">
        <f>AND(O_Dennery_South!A26,"AAAAAE+bn4k=")</f>
        <v>#VALUE!</v>
      </c>
      <c r="EI44" s="1" t="b">
        <f>AND(O_Dennery_South!B26,"AAAAAE+bn4o=")</f>
        <v>1</v>
      </c>
      <c r="EJ44" s="1" t="b">
        <f>AND(O_Dennery_South!C26,"AAAAAE+bn4s=")</f>
        <v>1</v>
      </c>
      <c r="EK44" s="1" t="b">
        <f>AND(O_Dennery_South!D26,"AAAAAE+bn4w=")</f>
        <v>1</v>
      </c>
      <c r="EL44" s="1" t="b">
        <f>AND(O_Dennery_South!E26,"AAAAAE+bn40=")</f>
        <v>1</v>
      </c>
      <c r="EM44" s="1" t="b">
        <f>AND(O_Dennery_South!F26,"AAAAAE+bn44=")</f>
        <v>1</v>
      </c>
      <c r="EN44" s="1" t="b">
        <f>AND(O_Dennery_South!G26,"AAAAAE+bn48=")</f>
        <v>1</v>
      </c>
      <c r="EO44" s="1" t="b">
        <f>AND(O_Dennery_South!H26,"AAAAAE+bn5A=")</f>
        <v>1</v>
      </c>
      <c r="EP44" s="1" t="b">
        <f>AND(O_Dennery_South!I26,"AAAAAE+bn5E=")</f>
        <v>1</v>
      </c>
      <c r="EQ44" s="1" t="b">
        <f>AND(O_Dennery_South!J26,"AAAAAE+bn5I=")</f>
        <v>1</v>
      </c>
      <c r="ER44" s="1" t="b">
        <f>AND(O_Dennery_South!K26,"AAAAAE+bn5M=")</f>
        <v>1</v>
      </c>
      <c r="ES44" s="1" t="b">
        <f>AND(O_Dennery_South!L26,"AAAAAE+bn5Q=")</f>
        <v>1</v>
      </c>
      <c r="ET44" s="1" t="b">
        <f>AND(O_Dennery_South!M26,"AAAAAE+bn5U=")</f>
        <v>1</v>
      </c>
      <c r="EU44" s="1" t="b">
        <f>AND(O_Dennery_South!N26,"AAAAAE+bn5Y=")</f>
        <v>1</v>
      </c>
      <c r="EV44" s="1">
        <f>IF(O_Dennery_South!A:A,"AAAAAE+bn5c=",0)</f>
        <v>0</v>
      </c>
      <c r="EW44" s="1">
        <f>IF(O_Dennery_South!B:B,"AAAAAE+bn5g=",0)</f>
        <v>0</v>
      </c>
      <c r="EX44" s="1">
        <f>IF(O_Dennery_South!C:C,"AAAAAE+bn5k=",0)</f>
        <v>0</v>
      </c>
      <c r="EY44" s="1">
        <f>IF(O_Dennery_South!D:D,"AAAAAE+bn5o=",0)</f>
        <v>0</v>
      </c>
      <c r="EZ44" s="1">
        <f>IF(O_Dennery_South!E:E,"AAAAAE+bn5s=",0)</f>
        <v>0</v>
      </c>
      <c r="FA44" s="1">
        <f>IF(O_Dennery_South!F:F,"AAAAAE+bn5w=",0)</f>
        <v>0</v>
      </c>
      <c r="FB44" s="1">
        <f>IF(O_Dennery_South!G:G,"AAAAAE+bn50=",0)</f>
        <v>0</v>
      </c>
      <c r="FC44" s="1">
        <f>IF(O_Dennery_South!H:H,"AAAAAE+bn54=",0)</f>
        <v>0</v>
      </c>
      <c r="FD44" s="1">
        <f>IF(O_Dennery_South!I:I,"AAAAAE+bn58=",0)</f>
        <v>0</v>
      </c>
      <c r="FE44" s="1">
        <f>IF(O_Dennery_South!J:J,"AAAAAE+bn6A=",0)</f>
        <v>0</v>
      </c>
      <c r="FF44" s="1">
        <f>IF(O_Dennery_South!K:K,"AAAAAE+bn6E=",0)</f>
        <v>0</v>
      </c>
      <c r="FG44" s="1">
        <f>IF(O_Dennery_South!L:L,"AAAAAE+bn6I=",0)</f>
        <v>0</v>
      </c>
      <c r="FH44" s="1">
        <f>IF(O_Dennery_South!M:M,"AAAAAE+bn6M=",0)</f>
        <v>0</v>
      </c>
      <c r="FI44" s="1">
        <f>IF(O_Dennery_South!N:N,"AAAAAE+bn6Q=",0)</f>
        <v>0</v>
      </c>
      <c r="FJ44" s="1">
        <f>IF(P_Dennery_North!2:2,"AAAAAE+bn6U=",0)</f>
        <v>0</v>
      </c>
      <c r="FK44" s="1" t="e">
        <f>AND(P_Dennery_North!A2,"AAAAAE+bn6Y=")</f>
        <v>#VALUE!</v>
      </c>
      <c r="FL44" s="1" t="e">
        <f>AND(P_Dennery_North!B2,"AAAAAE+bn6c=")</f>
        <v>#VALUE!</v>
      </c>
      <c r="FM44" s="1" t="e">
        <f>AND(P_Dennery_North!C2,"AAAAAE+bn6g=")</f>
        <v>#VALUE!</v>
      </c>
      <c r="FN44" s="1" t="e">
        <f>AND(P_Dennery_North!D2,"AAAAAE+bn6k=")</f>
        <v>#VALUE!</v>
      </c>
      <c r="FO44" s="1" t="e">
        <f>AND(P_Dennery_North!E2,"AAAAAE+bn6o=")</f>
        <v>#VALUE!</v>
      </c>
      <c r="FP44" s="1" t="e">
        <f>AND(P_Dennery_North!F2,"AAAAAE+bn6s=")</f>
        <v>#VALUE!</v>
      </c>
      <c r="FQ44" s="1" t="e">
        <f>AND(P_Dennery_North!#REF!,"AAAAAE+bn6w=")</f>
        <v>#REF!</v>
      </c>
      <c r="FR44" s="1" t="e">
        <f>AND(P_Dennery_North!#REF!,"AAAAAE+bn60=")</f>
        <v>#REF!</v>
      </c>
      <c r="FS44" s="1" t="e">
        <f>AND(P_Dennery_North!#REF!,"AAAAAE+bn64=")</f>
        <v>#REF!</v>
      </c>
      <c r="FT44" s="1" t="e">
        <f>AND(P_Dennery_North!#REF!,"AAAAAE+bn68=")</f>
        <v>#REF!</v>
      </c>
      <c r="FU44" s="1" t="e">
        <f>AND(P_Dennery_North!#REF!,"AAAAAE+bn7A=")</f>
        <v>#REF!</v>
      </c>
      <c r="FV44" s="1" t="e">
        <f>AND(P_Dennery_North!#REF!,"AAAAAE+bn7E=")</f>
        <v>#REF!</v>
      </c>
      <c r="FW44" s="1" t="e">
        <f>AND(P_Dennery_North!G2,"AAAAAE+bn7I=")</f>
        <v>#VALUE!</v>
      </c>
      <c r="FX44" s="1" t="e">
        <f>AND(P_Dennery_North!H2,"AAAAAE+bn7M=")</f>
        <v>#VALUE!</v>
      </c>
      <c r="FY44" s="1" t="e">
        <f>AND(P_Dennery_North!I2,"AAAAAE+bn7Q=")</f>
        <v>#VALUE!</v>
      </c>
      <c r="FZ44" s="1" t="e">
        <f>AND(P_Dennery_North!J2,"AAAAAE+bn7U=")</f>
        <v>#VALUE!</v>
      </c>
      <c r="GA44" s="1" t="e">
        <f>AND(P_Dennery_North!K2,"AAAAAE+bn7Y=")</f>
        <v>#VALUE!</v>
      </c>
      <c r="GB44" s="1" t="e">
        <f>AND(P_Dennery_North!L2,"AAAAAE+bn7c=")</f>
        <v>#VALUE!</v>
      </c>
      <c r="GC44" s="1">
        <f>IF(P_Dennery_North!3:3,"AAAAAE+bn7g=",0)</f>
        <v>0</v>
      </c>
      <c r="GD44" s="1" t="e">
        <f>AND(P_Dennery_North!#REF!,"AAAAAE+bn7k=")</f>
        <v>#REF!</v>
      </c>
      <c r="GE44" s="1" t="e">
        <f>AND(P_Dennery_North!A3,"AAAAAE+bn7o=")</f>
        <v>#VALUE!</v>
      </c>
      <c r="GF44" s="1" t="e">
        <f>AND(P_Dennery_North!C3,"AAAAAE+bn7s=")</f>
        <v>#VALUE!</v>
      </c>
      <c r="GG44" s="1" t="e">
        <f>AND(P_Dennery_North!D3,"AAAAAE+bn7w=")</f>
        <v>#VALUE!</v>
      </c>
      <c r="GH44" s="1" t="e">
        <f>AND(P_Dennery_North!E3,"AAAAAE+bn70=")</f>
        <v>#VALUE!</v>
      </c>
      <c r="GI44" s="1" t="e">
        <f>AND(P_Dennery_North!F3,"AAAAAE+bn74=")</f>
        <v>#VALUE!</v>
      </c>
      <c r="GJ44" s="1" t="e">
        <f>AND(P_Dennery_North!#REF!,"AAAAAE+bn78=")</f>
        <v>#REF!</v>
      </c>
      <c r="GK44" s="1" t="e">
        <f>AND(P_Dennery_North!#REF!,"AAAAAE+bn8A=")</f>
        <v>#REF!</v>
      </c>
      <c r="GL44" s="1" t="e">
        <f>AND(P_Dennery_North!#REF!,"AAAAAE+bn8E=")</f>
        <v>#REF!</v>
      </c>
      <c r="GM44" s="1" t="e">
        <f>AND(P_Dennery_North!#REF!,"AAAAAE+bn8I=")</f>
        <v>#REF!</v>
      </c>
      <c r="GN44" s="1" t="e">
        <f>AND(P_Dennery_North!#REF!,"AAAAAE+bn8M=")</f>
        <v>#REF!</v>
      </c>
      <c r="GO44" s="1" t="e">
        <f>AND(P_Dennery_North!#REF!,"AAAAAE+bn8Q=")</f>
        <v>#REF!</v>
      </c>
      <c r="GP44" s="1" t="e">
        <f>AND(P_Dennery_North!G3,"AAAAAE+bn8U=")</f>
        <v>#VALUE!</v>
      </c>
      <c r="GQ44" s="1" t="e">
        <f>AND(P_Dennery_North!H3,"AAAAAE+bn8Y=")</f>
        <v>#VALUE!</v>
      </c>
      <c r="GR44" s="1" t="e">
        <f>AND(P_Dennery_North!I3,"AAAAAE+bn8c=")</f>
        <v>#VALUE!</v>
      </c>
      <c r="GS44" s="1" t="e">
        <f>AND(P_Dennery_North!J3,"AAAAAE+bn8g=")</f>
        <v>#VALUE!</v>
      </c>
      <c r="GT44" s="1" t="e">
        <f>AND(P_Dennery_North!K3,"AAAAAE+bn8k=")</f>
        <v>#VALUE!</v>
      </c>
      <c r="GU44" s="1" t="e">
        <f>AND(P_Dennery_North!L3,"AAAAAE+bn8o=")</f>
        <v>#VALUE!</v>
      </c>
      <c r="GV44" s="1">
        <f>IF(P_Dennery_North!4:4,"AAAAAE+bn8s=",0)</f>
        <v>0</v>
      </c>
      <c r="GW44" s="1" t="e">
        <f>AND(P_Dennery_North!A4,"AAAAAE+bn8w=")</f>
        <v>#VALUE!</v>
      </c>
      <c r="GX44" s="1" t="b">
        <f>AND(P_Dennery_North!B4,"AAAAAE+bn80=")</f>
        <v>1</v>
      </c>
      <c r="GY44" s="1" t="b">
        <f>AND(P_Dennery_North!C4,"AAAAAE+bn84=")</f>
        <v>1</v>
      </c>
      <c r="GZ44" s="1" t="b">
        <f>AND(P_Dennery_North!D4,"AAAAAE+bn88=")</f>
        <v>1</v>
      </c>
      <c r="HA44" s="1" t="b">
        <f>AND(P_Dennery_North!E4,"AAAAAE+bn9A=")</f>
        <v>1</v>
      </c>
      <c r="HB44" s="1" t="b">
        <f>AND(P_Dennery_North!F4,"AAAAAE+bn9E=")</f>
        <v>1</v>
      </c>
      <c r="HC44" s="1" t="e">
        <f>AND(P_Dennery_North!#REF!,"AAAAAE+bn9I=")</f>
        <v>#REF!</v>
      </c>
      <c r="HD44" s="1" t="e">
        <f>AND(P_Dennery_North!#REF!,"AAAAAE+bn9M=")</f>
        <v>#REF!</v>
      </c>
      <c r="HE44" s="1" t="e">
        <f>AND(P_Dennery_North!#REF!,"AAAAAE+bn9Q=")</f>
        <v>#REF!</v>
      </c>
      <c r="HF44" s="1" t="e">
        <f>AND(P_Dennery_North!#REF!,"AAAAAE+bn9U=")</f>
        <v>#REF!</v>
      </c>
      <c r="HG44" s="1" t="e">
        <f>AND(P_Dennery_North!#REF!,"AAAAAE+bn9Y=")</f>
        <v>#REF!</v>
      </c>
      <c r="HH44" s="1" t="e">
        <f>AND(P_Dennery_North!#REF!,"AAAAAE+bn9c=")</f>
        <v>#REF!</v>
      </c>
      <c r="HI44" s="1" t="b">
        <f>AND(P_Dennery_North!G4,"AAAAAE+bn9g=")</f>
        <v>1</v>
      </c>
      <c r="HJ44" s="1" t="b">
        <f>AND(P_Dennery_North!H4,"AAAAAE+bn9k=")</f>
        <v>1</v>
      </c>
      <c r="HK44" s="1" t="b">
        <f>AND(P_Dennery_North!I4,"AAAAAE+bn9o=")</f>
        <v>1</v>
      </c>
      <c r="HL44" s="1" t="b">
        <f>AND(P_Dennery_North!J4,"AAAAAE+bn9s=")</f>
        <v>1</v>
      </c>
      <c r="HM44" s="1" t="b">
        <f>AND(P_Dennery_North!K4,"AAAAAE+bn9w=")</f>
        <v>1</v>
      </c>
      <c r="HN44" s="1" t="b">
        <f>AND(P_Dennery_North!L4,"AAAAAE+bn90=")</f>
        <v>1</v>
      </c>
      <c r="HO44" s="1">
        <f>IF(P_Dennery_North!5:5,"AAAAAE+bn94=",0)</f>
        <v>0</v>
      </c>
      <c r="HP44" s="1" t="e">
        <f>AND(P_Dennery_North!A5,"AAAAAE+bn98=")</f>
        <v>#VALUE!</v>
      </c>
      <c r="HQ44" s="1" t="e">
        <f>AND(P_Dennery_North!B5,"AAAAAE+bn+A=")</f>
        <v>#VALUE!</v>
      </c>
      <c r="HR44" s="1" t="e">
        <f>AND(P_Dennery_North!C5,"AAAAAE+bn+E=")</f>
        <v>#VALUE!</v>
      </c>
      <c r="HS44" s="1" t="e">
        <f>AND(P_Dennery_North!D5,"AAAAAE+bn+I=")</f>
        <v>#VALUE!</v>
      </c>
      <c r="HT44" s="1" t="e">
        <f>AND(P_Dennery_North!E5,"AAAAAE+bn+M=")</f>
        <v>#VALUE!</v>
      </c>
      <c r="HU44" s="1" t="e">
        <f>AND(P_Dennery_North!F5,"AAAAAE+bn+Q=")</f>
        <v>#VALUE!</v>
      </c>
      <c r="HV44" s="1" t="e">
        <f>AND(P_Dennery_North!#REF!,"AAAAAE+bn+U=")</f>
        <v>#REF!</v>
      </c>
      <c r="HW44" s="1" t="e">
        <f>AND(P_Dennery_North!#REF!,"AAAAAE+bn+Y=")</f>
        <v>#REF!</v>
      </c>
      <c r="HX44" s="1" t="e">
        <f>AND(P_Dennery_North!#REF!,"AAAAAE+bn+c=")</f>
        <v>#REF!</v>
      </c>
      <c r="HY44" s="1" t="e">
        <f>AND(P_Dennery_North!#REF!,"AAAAAE+bn+g=")</f>
        <v>#REF!</v>
      </c>
      <c r="HZ44" s="1" t="e">
        <f>AND(P_Dennery_North!#REF!,"AAAAAE+bn+k=")</f>
        <v>#REF!</v>
      </c>
      <c r="IA44" s="1" t="e">
        <f>AND(P_Dennery_North!#REF!,"AAAAAE+bn+o=")</f>
        <v>#REF!</v>
      </c>
      <c r="IB44" s="1" t="e">
        <f>AND(P_Dennery_North!G5,"AAAAAE+bn+s=")</f>
        <v>#VALUE!</v>
      </c>
      <c r="IC44" s="1" t="e">
        <f>AND(P_Dennery_North!H5,"AAAAAE+bn+w=")</f>
        <v>#VALUE!</v>
      </c>
      <c r="ID44" s="1" t="e">
        <f>AND(P_Dennery_North!I5,"AAAAAE+bn+0=")</f>
        <v>#VALUE!</v>
      </c>
      <c r="IE44" s="1" t="e">
        <f>AND(P_Dennery_North!J5,"AAAAAE+bn+4=")</f>
        <v>#VALUE!</v>
      </c>
      <c r="IF44" s="1" t="e">
        <f>AND(P_Dennery_North!K5,"AAAAAE+bn+8=")</f>
        <v>#VALUE!</v>
      </c>
      <c r="IG44" s="1" t="e">
        <f>AND(P_Dennery_North!L5,"AAAAAE+bn/A=")</f>
        <v>#VALUE!</v>
      </c>
      <c r="IH44" s="1">
        <f>IF(P_Dennery_North!6:6,"AAAAAE+bn/E=",0)</f>
        <v>0</v>
      </c>
      <c r="II44" s="1" t="e">
        <f>AND(P_Dennery_North!A6,"AAAAAE+bn/I=")</f>
        <v>#VALUE!</v>
      </c>
      <c r="IJ44" s="1" t="b">
        <f>AND(P_Dennery_North!B6,"AAAAAE+bn/M=")</f>
        <v>1</v>
      </c>
      <c r="IK44" s="1" t="b">
        <f>AND(P_Dennery_North!C6,"AAAAAE+bn/Q=")</f>
        <v>1</v>
      </c>
      <c r="IL44" s="1" t="b">
        <f>AND(P_Dennery_North!D6,"AAAAAE+bn/U=")</f>
        <v>1</v>
      </c>
      <c r="IM44" s="1" t="b">
        <f>AND(P_Dennery_North!E6,"AAAAAE+bn/Y=")</f>
        <v>1</v>
      </c>
      <c r="IN44" s="1" t="b">
        <f>AND(P_Dennery_North!F6,"AAAAAE+bn/c=")</f>
        <v>1</v>
      </c>
      <c r="IO44" s="1" t="e">
        <f>AND(P_Dennery_North!#REF!,"AAAAAE+bn/g=")</f>
        <v>#REF!</v>
      </c>
      <c r="IP44" s="1" t="e">
        <f>AND(P_Dennery_North!#REF!,"AAAAAE+bn/k=")</f>
        <v>#REF!</v>
      </c>
      <c r="IQ44" s="1" t="e">
        <f>AND(P_Dennery_North!#REF!,"AAAAAE+bn/o=")</f>
        <v>#REF!</v>
      </c>
      <c r="IR44" s="1" t="e">
        <f>AND(P_Dennery_North!#REF!,"AAAAAE+bn/s=")</f>
        <v>#REF!</v>
      </c>
      <c r="IS44" s="1" t="e">
        <f>AND(P_Dennery_North!#REF!,"AAAAAE+bn/w=")</f>
        <v>#REF!</v>
      </c>
      <c r="IT44" s="1" t="e">
        <f>AND(P_Dennery_North!#REF!,"AAAAAE+bn/0=")</f>
        <v>#REF!</v>
      </c>
      <c r="IU44" s="1" t="b">
        <f>AND(P_Dennery_North!G6,"AAAAAE+bn/4=")</f>
        <v>1</v>
      </c>
      <c r="IV44" s="1" t="b">
        <f>AND(P_Dennery_North!H6,"AAAAAE+bn/8=")</f>
        <v>1</v>
      </c>
    </row>
    <row r="45" spans="1:256" ht="12" customHeight="1" x14ac:dyDescent="0.2">
      <c r="A45" s="1" t="b">
        <f>AND(P_Dennery_North!I6,"AAAAADE/6wA=")</f>
        <v>1</v>
      </c>
      <c r="B45" s="1" t="b">
        <f>AND(P_Dennery_North!J6,"AAAAADE/6wE=")</f>
        <v>1</v>
      </c>
      <c r="C45" s="1" t="b">
        <f>AND(P_Dennery_North!K6,"AAAAADE/6wI=")</f>
        <v>1</v>
      </c>
      <c r="D45" s="1" t="b">
        <f>AND(P_Dennery_North!L6,"AAAAADE/6wM=")</f>
        <v>1</v>
      </c>
      <c r="E45" s="1" t="str">
        <f>IF(P_Dennery_North!7:7,"AAAAADE/6wQ=",0)</f>
        <v>AAAAADE/6wQ=</v>
      </c>
      <c r="F45" s="1" t="e">
        <f>AND(P_Dennery_North!A7,"AAAAADE/6wU=")</f>
        <v>#VALUE!</v>
      </c>
      <c r="G45" s="1" t="b">
        <f>AND(P_Dennery_North!B7,"AAAAADE/6wY=")</f>
        <v>1</v>
      </c>
      <c r="H45" s="1" t="b">
        <f>AND(P_Dennery_North!C7,"AAAAADE/6wc=")</f>
        <v>1</v>
      </c>
      <c r="I45" s="1" t="b">
        <f>AND(P_Dennery_North!D7,"AAAAADE/6wg=")</f>
        <v>1</v>
      </c>
      <c r="J45" s="1" t="b">
        <f>AND(P_Dennery_North!E7,"AAAAADE/6wk=")</f>
        <v>1</v>
      </c>
      <c r="K45" s="1" t="b">
        <f>AND(P_Dennery_North!F7,"AAAAADE/6wo=")</f>
        <v>1</v>
      </c>
      <c r="L45" s="1" t="e">
        <f>AND(P_Dennery_North!#REF!,"AAAAADE/6ws=")</f>
        <v>#REF!</v>
      </c>
      <c r="M45" s="1" t="e">
        <f>AND(P_Dennery_North!#REF!,"AAAAADE/6ww=")</f>
        <v>#REF!</v>
      </c>
      <c r="N45" s="1" t="e">
        <f>AND(P_Dennery_North!#REF!,"AAAAADE/6w0=")</f>
        <v>#REF!</v>
      </c>
      <c r="O45" s="1" t="e">
        <f>AND(P_Dennery_North!#REF!,"AAAAADE/6w4=")</f>
        <v>#REF!</v>
      </c>
      <c r="P45" s="1" t="e">
        <f>AND(P_Dennery_North!#REF!,"AAAAADE/6w8=")</f>
        <v>#REF!</v>
      </c>
      <c r="Q45" s="1" t="e">
        <f>AND(P_Dennery_North!#REF!,"AAAAADE/6xA=")</f>
        <v>#REF!</v>
      </c>
      <c r="R45" s="1" t="b">
        <f>AND(P_Dennery_North!G7,"AAAAADE/6xE=")</f>
        <v>1</v>
      </c>
      <c r="S45" s="1" t="b">
        <f>AND(P_Dennery_North!H7,"AAAAADE/6xI=")</f>
        <v>1</v>
      </c>
      <c r="T45" s="1" t="b">
        <f>AND(P_Dennery_North!I7,"AAAAADE/6xM=")</f>
        <v>1</v>
      </c>
      <c r="U45" s="1" t="b">
        <f>AND(P_Dennery_North!J7,"AAAAADE/6xQ=")</f>
        <v>1</v>
      </c>
      <c r="V45" s="1" t="b">
        <f>AND(P_Dennery_North!K7,"AAAAADE/6xU=")</f>
        <v>1</v>
      </c>
      <c r="W45" s="1" t="b">
        <f>AND(P_Dennery_North!L7,"AAAAADE/6xY=")</f>
        <v>1</v>
      </c>
      <c r="X45" s="1">
        <f>IF(P_Dennery_North!8:8,"AAAAADE/6xc=",0)</f>
        <v>0</v>
      </c>
      <c r="Y45" s="1" t="e">
        <f>AND(P_Dennery_North!A8,"AAAAADE/6xg=")</f>
        <v>#VALUE!</v>
      </c>
      <c r="Z45" s="1" t="b">
        <f>AND(P_Dennery_North!B8,"AAAAADE/6xk=")</f>
        <v>1</v>
      </c>
      <c r="AA45" s="1" t="b">
        <f>AND(P_Dennery_North!C8,"AAAAADE/6xo=")</f>
        <v>1</v>
      </c>
      <c r="AB45" s="1" t="b">
        <f>AND(P_Dennery_North!D8,"AAAAADE/6xs=")</f>
        <v>1</v>
      </c>
      <c r="AC45" s="1" t="b">
        <f>AND(P_Dennery_North!E8,"AAAAADE/6xw=")</f>
        <v>1</v>
      </c>
      <c r="AD45" s="1" t="b">
        <f>AND(P_Dennery_North!F8,"AAAAADE/6x0=")</f>
        <v>1</v>
      </c>
      <c r="AE45" s="1" t="e">
        <f>AND(P_Dennery_North!#REF!,"AAAAADE/6x4=")</f>
        <v>#REF!</v>
      </c>
      <c r="AF45" s="1" t="e">
        <f>AND(P_Dennery_North!#REF!,"AAAAADE/6x8=")</f>
        <v>#REF!</v>
      </c>
      <c r="AG45" s="1" t="e">
        <f>AND(P_Dennery_North!#REF!,"AAAAADE/6yA=")</f>
        <v>#REF!</v>
      </c>
      <c r="AH45" s="1" t="e">
        <f>AND(P_Dennery_North!#REF!,"AAAAADE/6yE=")</f>
        <v>#REF!</v>
      </c>
      <c r="AI45" s="1" t="e">
        <f>AND(P_Dennery_North!#REF!,"AAAAADE/6yI=")</f>
        <v>#REF!</v>
      </c>
      <c r="AJ45" s="1" t="e">
        <f>AND(P_Dennery_North!#REF!,"AAAAADE/6yM=")</f>
        <v>#REF!</v>
      </c>
      <c r="AK45" s="1" t="b">
        <f>AND(P_Dennery_North!G8,"AAAAADE/6yQ=")</f>
        <v>1</v>
      </c>
      <c r="AL45" s="1" t="b">
        <f>AND(P_Dennery_North!H8,"AAAAADE/6yU=")</f>
        <v>1</v>
      </c>
      <c r="AM45" s="1" t="b">
        <f>AND(P_Dennery_North!I8,"AAAAADE/6yY=")</f>
        <v>1</v>
      </c>
      <c r="AN45" s="1" t="b">
        <f>AND(P_Dennery_North!J8,"AAAAADE/6yc=")</f>
        <v>1</v>
      </c>
      <c r="AO45" s="1" t="b">
        <f>AND(P_Dennery_North!K8,"AAAAADE/6yg=")</f>
        <v>1</v>
      </c>
      <c r="AP45" s="1" t="b">
        <f>AND(P_Dennery_North!L8,"AAAAADE/6yk=")</f>
        <v>1</v>
      </c>
      <c r="AQ45" s="1">
        <f>IF(P_Dennery_North!9:9,"AAAAADE/6yo=",0)</f>
        <v>0</v>
      </c>
      <c r="AR45" s="1" t="e">
        <f>AND(P_Dennery_North!A9,"AAAAADE/6ys=")</f>
        <v>#VALUE!</v>
      </c>
      <c r="AS45" s="1" t="b">
        <f>AND(P_Dennery_North!B9,"AAAAADE/6yw=")</f>
        <v>1</v>
      </c>
      <c r="AT45" s="1" t="b">
        <f>AND(P_Dennery_North!C9,"AAAAADE/6y0=")</f>
        <v>1</v>
      </c>
      <c r="AU45" s="1" t="b">
        <f>AND(P_Dennery_North!D9,"AAAAADE/6y4=")</f>
        <v>1</v>
      </c>
      <c r="AV45" s="1" t="b">
        <f>AND(P_Dennery_North!E9,"AAAAADE/6y8=")</f>
        <v>1</v>
      </c>
      <c r="AW45" s="1" t="b">
        <f>AND(P_Dennery_North!F9,"AAAAADE/6zA=")</f>
        <v>1</v>
      </c>
      <c r="AX45" s="1" t="e">
        <f>AND(P_Dennery_North!#REF!,"AAAAADE/6zE=")</f>
        <v>#REF!</v>
      </c>
      <c r="AY45" s="1" t="e">
        <f>AND(P_Dennery_North!#REF!,"AAAAADE/6zI=")</f>
        <v>#REF!</v>
      </c>
      <c r="AZ45" s="1" t="e">
        <f>AND(P_Dennery_North!#REF!,"AAAAADE/6zM=")</f>
        <v>#REF!</v>
      </c>
      <c r="BA45" s="1" t="e">
        <f>AND(P_Dennery_North!#REF!,"AAAAADE/6zQ=")</f>
        <v>#REF!</v>
      </c>
      <c r="BB45" s="1" t="e">
        <f>AND(P_Dennery_North!#REF!,"AAAAADE/6zU=")</f>
        <v>#REF!</v>
      </c>
      <c r="BC45" s="1" t="e">
        <f>AND(P_Dennery_North!#REF!,"AAAAADE/6zY=")</f>
        <v>#REF!</v>
      </c>
      <c r="BD45" s="1" t="b">
        <f>AND(P_Dennery_North!G9,"AAAAADE/6zc=")</f>
        <v>1</v>
      </c>
      <c r="BE45" s="1" t="b">
        <f>AND(P_Dennery_North!H9,"AAAAADE/6zg=")</f>
        <v>1</v>
      </c>
      <c r="BF45" s="1" t="b">
        <f>AND(P_Dennery_North!I9,"AAAAADE/6zk=")</f>
        <v>1</v>
      </c>
      <c r="BG45" s="1" t="b">
        <f>AND(P_Dennery_North!J9,"AAAAADE/6zo=")</f>
        <v>1</v>
      </c>
      <c r="BH45" s="1" t="b">
        <f>AND(P_Dennery_North!K9,"AAAAADE/6zs=")</f>
        <v>1</v>
      </c>
      <c r="BI45" s="1" t="b">
        <f>AND(P_Dennery_North!L9,"AAAAADE/6zw=")</f>
        <v>1</v>
      </c>
      <c r="BJ45" s="1">
        <f>IF(P_Dennery_North!10:10,"AAAAADE/6z0=",0)</f>
        <v>0</v>
      </c>
      <c r="BK45" s="1" t="e">
        <f>AND(P_Dennery_North!A10,"AAAAADE/6z4=")</f>
        <v>#VALUE!</v>
      </c>
      <c r="BL45" s="1" t="b">
        <f>AND(P_Dennery_North!B10,"AAAAADE/6z8=")</f>
        <v>1</v>
      </c>
      <c r="BM45" s="1" t="b">
        <f>AND(P_Dennery_North!C10,"AAAAADE/60A=")</f>
        <v>1</v>
      </c>
      <c r="BN45" s="1" t="b">
        <f>AND(P_Dennery_North!D10,"AAAAADE/60E=")</f>
        <v>1</v>
      </c>
      <c r="BO45" s="1" t="b">
        <f>AND(P_Dennery_North!E10,"AAAAADE/60I=")</f>
        <v>1</v>
      </c>
      <c r="BP45" s="1" t="b">
        <f>AND(P_Dennery_North!F10,"AAAAADE/60M=")</f>
        <v>1</v>
      </c>
      <c r="BQ45" s="1" t="e">
        <f>AND(P_Dennery_North!#REF!,"AAAAADE/60Q=")</f>
        <v>#REF!</v>
      </c>
      <c r="BR45" s="1" t="e">
        <f>AND(P_Dennery_North!#REF!,"AAAAADE/60U=")</f>
        <v>#REF!</v>
      </c>
      <c r="BS45" s="1" t="e">
        <f>AND(P_Dennery_North!#REF!,"AAAAADE/60Y=")</f>
        <v>#REF!</v>
      </c>
      <c r="BT45" s="1" t="e">
        <f>AND(P_Dennery_North!#REF!,"AAAAADE/60c=")</f>
        <v>#REF!</v>
      </c>
      <c r="BU45" s="1" t="e">
        <f>AND(P_Dennery_North!#REF!,"AAAAADE/60g=")</f>
        <v>#REF!</v>
      </c>
      <c r="BV45" s="1" t="e">
        <f>AND(P_Dennery_North!#REF!,"AAAAADE/60k=")</f>
        <v>#REF!</v>
      </c>
      <c r="BW45" s="1" t="b">
        <f>AND(P_Dennery_North!G10,"AAAAADE/60o=")</f>
        <v>1</v>
      </c>
      <c r="BX45" s="1" t="b">
        <f>AND(P_Dennery_North!H10,"AAAAADE/60s=")</f>
        <v>1</v>
      </c>
      <c r="BY45" s="1" t="b">
        <f>AND(P_Dennery_North!I10,"AAAAADE/60w=")</f>
        <v>1</v>
      </c>
      <c r="BZ45" s="1" t="b">
        <f>AND(P_Dennery_North!J10,"AAAAADE/600=")</f>
        <v>1</v>
      </c>
      <c r="CA45" s="1" t="b">
        <f>AND(P_Dennery_North!K10,"AAAAADE/604=")</f>
        <v>1</v>
      </c>
      <c r="CB45" s="1" t="b">
        <f>AND(P_Dennery_North!L10,"AAAAADE/608=")</f>
        <v>1</v>
      </c>
      <c r="CC45" s="1">
        <f>IF(P_Dennery_North!12:12,"AAAAADE/61A=",0)</f>
        <v>0</v>
      </c>
      <c r="CD45" s="1" t="e">
        <f>AND(P_Dennery_North!A12,"AAAAADE/61E=")</f>
        <v>#VALUE!</v>
      </c>
      <c r="CE45" s="1" t="e">
        <f>AND(P_Dennery_North!B12,"AAAAADE/61I=")</f>
        <v>#VALUE!</v>
      </c>
      <c r="CF45" s="1" t="e">
        <f>AND(P_Dennery_North!C12,"AAAAADE/61M=")</f>
        <v>#VALUE!</v>
      </c>
      <c r="CG45" s="1" t="e">
        <f>AND(P_Dennery_North!D12,"AAAAADE/61Q=")</f>
        <v>#VALUE!</v>
      </c>
      <c r="CH45" s="1" t="e">
        <f>AND(P_Dennery_North!E12,"AAAAADE/61U=")</f>
        <v>#VALUE!</v>
      </c>
      <c r="CI45" s="1" t="e">
        <f>AND(P_Dennery_North!F12,"AAAAADE/61Y=")</f>
        <v>#VALUE!</v>
      </c>
      <c r="CJ45" s="1" t="e">
        <f>AND(P_Dennery_North!#REF!,"AAAAADE/61c=")</f>
        <v>#REF!</v>
      </c>
      <c r="CK45" s="1" t="e">
        <f>AND(P_Dennery_North!#REF!,"AAAAADE/61g=")</f>
        <v>#REF!</v>
      </c>
      <c r="CL45" s="1" t="e">
        <f>AND(P_Dennery_North!#REF!,"AAAAADE/61k=")</f>
        <v>#REF!</v>
      </c>
      <c r="CM45" s="1" t="e">
        <f>AND(P_Dennery_North!#REF!,"AAAAADE/61o=")</f>
        <v>#REF!</v>
      </c>
      <c r="CN45" s="1" t="e">
        <f>AND(P_Dennery_North!#REF!,"AAAAADE/61s=")</f>
        <v>#REF!</v>
      </c>
      <c r="CO45" s="1" t="e">
        <f>AND(P_Dennery_North!#REF!,"AAAAADE/61w=")</f>
        <v>#REF!</v>
      </c>
      <c r="CP45" s="1" t="e">
        <f>AND(P_Dennery_North!G12,"AAAAADE/610=")</f>
        <v>#VALUE!</v>
      </c>
      <c r="CQ45" s="1" t="e">
        <f>AND(P_Dennery_North!H12,"AAAAADE/614=")</f>
        <v>#VALUE!</v>
      </c>
      <c r="CR45" s="1" t="e">
        <f>AND(P_Dennery_North!I12,"AAAAADE/618=")</f>
        <v>#VALUE!</v>
      </c>
      <c r="CS45" s="1" t="e">
        <f>AND(P_Dennery_North!J12,"AAAAADE/62A=")</f>
        <v>#VALUE!</v>
      </c>
      <c r="CT45" s="1" t="e">
        <f>AND(P_Dennery_North!K12,"AAAAADE/62E=")</f>
        <v>#VALUE!</v>
      </c>
      <c r="CU45" s="1" t="e">
        <f>AND(P_Dennery_North!L12,"AAAAADE/62I=")</f>
        <v>#VALUE!</v>
      </c>
      <c r="CV45" s="1">
        <f>IF(P_Dennery_North!13:13,"AAAAADE/62M=",0)</f>
        <v>0</v>
      </c>
      <c r="CW45" s="1" t="e">
        <f>AND(P_Dennery_North!A13,"AAAAADE/62Q=")</f>
        <v>#VALUE!</v>
      </c>
      <c r="CX45" s="1" t="b">
        <f>AND(P_Dennery_North!B13,"AAAAADE/62U=")</f>
        <v>1</v>
      </c>
      <c r="CY45" s="1" t="b">
        <f>AND(P_Dennery_North!C13,"AAAAADE/62Y=")</f>
        <v>1</v>
      </c>
      <c r="CZ45" s="1" t="b">
        <f>AND(P_Dennery_North!D13,"AAAAADE/62c=")</f>
        <v>1</v>
      </c>
      <c r="DA45" s="1" t="b">
        <f>AND(P_Dennery_North!E13,"AAAAADE/62g=")</f>
        <v>1</v>
      </c>
      <c r="DB45" s="1" t="b">
        <f>AND(P_Dennery_North!F13,"AAAAADE/62k=")</f>
        <v>1</v>
      </c>
      <c r="DC45" s="1" t="e">
        <f>AND(P_Dennery_North!#REF!,"AAAAADE/62o=")</f>
        <v>#REF!</v>
      </c>
      <c r="DD45" s="1" t="e">
        <f>AND(P_Dennery_North!#REF!,"AAAAADE/62s=")</f>
        <v>#REF!</v>
      </c>
      <c r="DE45" s="1" t="e">
        <f>AND(P_Dennery_North!#REF!,"AAAAADE/62w=")</f>
        <v>#REF!</v>
      </c>
      <c r="DF45" s="1" t="e">
        <f>AND(P_Dennery_North!#REF!,"AAAAADE/620=")</f>
        <v>#REF!</v>
      </c>
      <c r="DG45" s="1" t="e">
        <f>AND(P_Dennery_North!#REF!,"AAAAADE/624=")</f>
        <v>#REF!</v>
      </c>
      <c r="DH45" s="1" t="e">
        <f>AND(P_Dennery_North!#REF!,"AAAAADE/628=")</f>
        <v>#REF!</v>
      </c>
      <c r="DI45" s="1" t="b">
        <f>AND(P_Dennery_North!G13,"AAAAADE/63A=")</f>
        <v>1</v>
      </c>
      <c r="DJ45" s="1" t="b">
        <f>AND(P_Dennery_North!H13,"AAAAADE/63E=")</f>
        <v>1</v>
      </c>
      <c r="DK45" s="1" t="b">
        <f>AND(P_Dennery_North!I13,"AAAAADE/63I=")</f>
        <v>1</v>
      </c>
      <c r="DL45" s="1" t="b">
        <f>AND(P_Dennery_North!J13,"AAAAADE/63M=")</f>
        <v>1</v>
      </c>
      <c r="DM45" s="1" t="b">
        <f>AND(P_Dennery_North!K13,"AAAAADE/63Q=")</f>
        <v>1</v>
      </c>
      <c r="DN45" s="1" t="b">
        <f>AND(P_Dennery_North!L13,"AAAAADE/63U=")</f>
        <v>1</v>
      </c>
      <c r="DO45" s="1">
        <f>IF(P_Dennery_North!14:14,"AAAAADE/63Y=",0)</f>
        <v>0</v>
      </c>
      <c r="DP45" s="1" t="e">
        <f>AND(P_Dennery_North!A14,"AAAAADE/63c=")</f>
        <v>#VALUE!</v>
      </c>
      <c r="DQ45" s="1" t="b">
        <f>AND(P_Dennery_North!B14,"AAAAADE/63g=")</f>
        <v>1</v>
      </c>
      <c r="DR45" s="1" t="b">
        <f>AND(P_Dennery_North!C14,"AAAAADE/63k=")</f>
        <v>1</v>
      </c>
      <c r="DS45" s="1" t="b">
        <f>AND(P_Dennery_North!D14,"AAAAADE/63o=")</f>
        <v>1</v>
      </c>
      <c r="DT45" s="1" t="b">
        <f>AND(P_Dennery_North!E14,"AAAAADE/63s=")</f>
        <v>1</v>
      </c>
      <c r="DU45" s="1" t="b">
        <f>AND(P_Dennery_North!F14,"AAAAADE/63w=")</f>
        <v>1</v>
      </c>
      <c r="DV45" s="1" t="e">
        <f>AND(P_Dennery_North!#REF!,"AAAAADE/630=")</f>
        <v>#REF!</v>
      </c>
      <c r="DW45" s="1" t="e">
        <f>AND(P_Dennery_North!#REF!,"AAAAADE/634=")</f>
        <v>#REF!</v>
      </c>
      <c r="DX45" s="1" t="e">
        <f>AND(P_Dennery_North!#REF!,"AAAAADE/638=")</f>
        <v>#REF!</v>
      </c>
      <c r="DY45" s="1" t="e">
        <f>AND(P_Dennery_North!#REF!,"AAAAADE/64A=")</f>
        <v>#REF!</v>
      </c>
      <c r="DZ45" s="1" t="e">
        <f>AND(P_Dennery_North!#REF!,"AAAAADE/64E=")</f>
        <v>#REF!</v>
      </c>
      <c r="EA45" s="1" t="e">
        <f>AND(P_Dennery_North!#REF!,"AAAAADE/64I=")</f>
        <v>#REF!</v>
      </c>
      <c r="EB45" s="1" t="b">
        <f>AND(P_Dennery_North!G14,"AAAAADE/64M=")</f>
        <v>1</v>
      </c>
      <c r="EC45" s="1" t="b">
        <f>AND(P_Dennery_North!H14,"AAAAADE/64Q=")</f>
        <v>1</v>
      </c>
      <c r="ED45" s="1" t="b">
        <f>AND(P_Dennery_North!I14,"AAAAADE/64U=")</f>
        <v>1</v>
      </c>
      <c r="EE45" s="1" t="b">
        <f>AND(P_Dennery_North!J14,"AAAAADE/64Y=")</f>
        <v>1</v>
      </c>
      <c r="EF45" s="1" t="b">
        <f>AND(P_Dennery_North!K14,"AAAAADE/64c=")</f>
        <v>1</v>
      </c>
      <c r="EG45" s="1" t="b">
        <f>AND(P_Dennery_North!L14,"AAAAADE/64g=")</f>
        <v>1</v>
      </c>
      <c r="EH45" s="1">
        <f>IF(P_Dennery_North!15:15,"AAAAADE/64k=",0)</f>
        <v>0</v>
      </c>
      <c r="EI45" s="1" t="e">
        <f>AND(P_Dennery_North!A15,"AAAAADE/64o=")</f>
        <v>#VALUE!</v>
      </c>
      <c r="EJ45" s="1" t="b">
        <f>AND(P_Dennery_North!B15,"AAAAADE/64s=")</f>
        <v>1</v>
      </c>
      <c r="EK45" s="1" t="b">
        <f>AND(P_Dennery_North!C15,"AAAAADE/64w=")</f>
        <v>1</v>
      </c>
      <c r="EL45" s="1" t="b">
        <f>AND(P_Dennery_North!D15,"AAAAADE/640=")</f>
        <v>1</v>
      </c>
      <c r="EM45" s="1" t="b">
        <f>AND(P_Dennery_North!E15,"AAAAADE/644=")</f>
        <v>1</v>
      </c>
      <c r="EN45" s="1" t="b">
        <f>AND(P_Dennery_North!F15,"AAAAADE/648=")</f>
        <v>1</v>
      </c>
      <c r="EO45" s="1" t="e">
        <f>AND(P_Dennery_North!#REF!,"AAAAADE/65A=")</f>
        <v>#REF!</v>
      </c>
      <c r="EP45" s="1" t="e">
        <f>AND(P_Dennery_North!#REF!,"AAAAADE/65E=")</f>
        <v>#REF!</v>
      </c>
      <c r="EQ45" s="1" t="e">
        <f>AND(P_Dennery_North!#REF!,"AAAAADE/65I=")</f>
        <v>#REF!</v>
      </c>
      <c r="ER45" s="1" t="e">
        <f>AND(P_Dennery_North!#REF!,"AAAAADE/65M=")</f>
        <v>#REF!</v>
      </c>
      <c r="ES45" s="1" t="e">
        <f>AND(P_Dennery_North!#REF!,"AAAAADE/65Q=")</f>
        <v>#REF!</v>
      </c>
      <c r="ET45" s="1" t="e">
        <f>AND(P_Dennery_North!#REF!,"AAAAADE/65U=")</f>
        <v>#REF!</v>
      </c>
      <c r="EU45" s="1" t="b">
        <f>AND(P_Dennery_North!G15,"AAAAADE/65Y=")</f>
        <v>1</v>
      </c>
      <c r="EV45" s="1" t="b">
        <f>AND(P_Dennery_North!H15,"AAAAADE/65c=")</f>
        <v>1</v>
      </c>
      <c r="EW45" s="1" t="b">
        <f>AND(P_Dennery_North!I15,"AAAAADE/65g=")</f>
        <v>1</v>
      </c>
      <c r="EX45" s="1" t="b">
        <f>AND(P_Dennery_North!J15,"AAAAADE/65k=")</f>
        <v>1</v>
      </c>
      <c r="EY45" s="1" t="b">
        <f>AND(P_Dennery_North!K15,"AAAAADE/65o=")</f>
        <v>1</v>
      </c>
      <c r="EZ45" s="1" t="b">
        <f>AND(P_Dennery_North!L15,"AAAAADE/65s=")</f>
        <v>1</v>
      </c>
      <c r="FA45" s="1" t="e">
        <f>IF(P_Dennery_North!#REF!,"AAAAADE/65w=",0)</f>
        <v>#REF!</v>
      </c>
      <c r="FB45" s="1" t="e">
        <f>AND(P_Dennery_North!#REF!,"AAAAADE/650=")</f>
        <v>#REF!</v>
      </c>
      <c r="FC45" s="1" t="e">
        <f>AND(P_Dennery_North!#REF!,"AAAAADE/654=")</f>
        <v>#REF!</v>
      </c>
      <c r="FD45" s="1" t="e">
        <f>AND(P_Dennery_North!#REF!,"AAAAADE/658=")</f>
        <v>#REF!</v>
      </c>
      <c r="FE45" s="1" t="e">
        <f>AND(P_Dennery_North!#REF!,"AAAAADE/66A=")</f>
        <v>#REF!</v>
      </c>
      <c r="FF45" s="1" t="e">
        <f>AND(P_Dennery_North!#REF!,"AAAAADE/66E=")</f>
        <v>#REF!</v>
      </c>
      <c r="FG45" s="1" t="e">
        <f>AND(P_Dennery_North!#REF!,"AAAAADE/66I=")</f>
        <v>#REF!</v>
      </c>
      <c r="FH45" s="1" t="e">
        <f>AND(P_Dennery_North!#REF!,"AAAAADE/66M=")</f>
        <v>#REF!</v>
      </c>
      <c r="FI45" s="1" t="e">
        <f>AND(P_Dennery_North!#REF!,"AAAAADE/66Q=")</f>
        <v>#REF!</v>
      </c>
      <c r="FJ45" s="1" t="e">
        <f>AND(P_Dennery_North!#REF!,"AAAAADE/66U=")</f>
        <v>#REF!</v>
      </c>
      <c r="FK45" s="1" t="e">
        <f>AND(P_Dennery_North!#REF!,"AAAAADE/66Y=")</f>
        <v>#REF!</v>
      </c>
      <c r="FL45" s="1" t="e">
        <f>AND(P_Dennery_North!#REF!,"AAAAADE/66c=")</f>
        <v>#REF!</v>
      </c>
      <c r="FM45" s="1" t="e">
        <f>AND(P_Dennery_North!#REF!,"AAAAADE/66g=")</f>
        <v>#REF!</v>
      </c>
      <c r="FN45" s="1" t="e">
        <f>AND(P_Dennery_North!#REF!,"AAAAADE/66k=")</f>
        <v>#REF!</v>
      </c>
      <c r="FO45" s="1" t="e">
        <f>AND(P_Dennery_North!#REF!,"AAAAADE/66o=")</f>
        <v>#REF!</v>
      </c>
      <c r="FP45" s="1" t="e">
        <f>AND(P_Dennery_North!#REF!,"AAAAADE/66s=")</f>
        <v>#REF!</v>
      </c>
      <c r="FQ45" s="1" t="e">
        <f>AND(P_Dennery_North!#REF!,"AAAAADE/66w=")</f>
        <v>#REF!</v>
      </c>
      <c r="FR45" s="1" t="e">
        <f>AND(P_Dennery_North!#REF!,"AAAAADE/660=")</f>
        <v>#REF!</v>
      </c>
      <c r="FS45" s="1" t="e">
        <f>AND(P_Dennery_North!#REF!,"AAAAADE/664=")</f>
        <v>#REF!</v>
      </c>
      <c r="FT45" s="1">
        <f>IF(P_Dennery_North!16:16,"AAAAADE/668=",0)</f>
        <v>0</v>
      </c>
      <c r="FU45" s="1" t="e">
        <f>AND(P_Dennery_North!A16,"AAAAADE/67A=")</f>
        <v>#VALUE!</v>
      </c>
      <c r="FV45" s="1" t="b">
        <f>AND(P_Dennery_North!B16,"AAAAADE/67E=")</f>
        <v>1</v>
      </c>
      <c r="FW45" s="1" t="b">
        <f>AND(P_Dennery_North!C16,"AAAAADE/67I=")</f>
        <v>1</v>
      </c>
      <c r="FX45" s="1" t="b">
        <f>AND(P_Dennery_North!D16,"AAAAADE/67M=")</f>
        <v>1</v>
      </c>
      <c r="FY45" s="1" t="b">
        <f>AND(P_Dennery_North!E16,"AAAAADE/67Q=")</f>
        <v>1</v>
      </c>
      <c r="FZ45" s="1" t="b">
        <f>AND(P_Dennery_North!F16,"AAAAADE/67U=")</f>
        <v>1</v>
      </c>
      <c r="GA45" s="1" t="e">
        <f>AND(P_Dennery_North!#REF!,"AAAAADE/67Y=")</f>
        <v>#REF!</v>
      </c>
      <c r="GB45" s="1" t="e">
        <f>AND(P_Dennery_North!#REF!,"AAAAADE/67c=")</f>
        <v>#REF!</v>
      </c>
      <c r="GC45" s="1" t="e">
        <f>AND(P_Dennery_North!#REF!,"AAAAADE/67g=")</f>
        <v>#REF!</v>
      </c>
      <c r="GD45" s="1" t="e">
        <f>AND(P_Dennery_North!#REF!,"AAAAADE/67k=")</f>
        <v>#REF!</v>
      </c>
      <c r="GE45" s="1" t="e">
        <f>AND(P_Dennery_North!#REF!,"AAAAADE/67o=")</f>
        <v>#REF!</v>
      </c>
      <c r="GF45" s="1" t="e">
        <f>AND(P_Dennery_North!#REF!,"AAAAADE/67s=")</f>
        <v>#REF!</v>
      </c>
      <c r="GG45" s="1" t="b">
        <f>AND(P_Dennery_North!G16,"AAAAADE/67w=")</f>
        <v>1</v>
      </c>
      <c r="GH45" s="1" t="b">
        <f>AND(P_Dennery_North!H16,"AAAAADE/670=")</f>
        <v>1</v>
      </c>
      <c r="GI45" s="1" t="b">
        <f>AND(P_Dennery_North!I16,"AAAAADE/674=")</f>
        <v>1</v>
      </c>
      <c r="GJ45" s="1" t="b">
        <f>AND(P_Dennery_North!J16,"AAAAADE/678=")</f>
        <v>1</v>
      </c>
      <c r="GK45" s="1" t="b">
        <f>AND(P_Dennery_North!K16,"AAAAADE/68A=")</f>
        <v>1</v>
      </c>
      <c r="GL45" s="1" t="b">
        <f>AND(P_Dennery_North!L16,"AAAAADE/68E=")</f>
        <v>1</v>
      </c>
      <c r="GM45" s="1">
        <f>IF(P_Dennery_North!18:18,"AAAAADE/68I=",0)</f>
        <v>0</v>
      </c>
      <c r="GN45" s="1" t="e">
        <f>AND(P_Dennery_North!A18,"AAAAADE/68M=")</f>
        <v>#VALUE!</v>
      </c>
      <c r="GO45" s="1" t="e">
        <f>AND(P_Dennery_North!B18,"AAAAADE/68Q=")</f>
        <v>#VALUE!</v>
      </c>
      <c r="GP45" s="1" t="e">
        <f>AND(P_Dennery_North!C18,"AAAAADE/68U=")</f>
        <v>#VALUE!</v>
      </c>
      <c r="GQ45" s="1" t="e">
        <f>AND(P_Dennery_North!D18,"AAAAADE/68Y=")</f>
        <v>#VALUE!</v>
      </c>
      <c r="GR45" s="1" t="e">
        <f>AND(P_Dennery_North!E18,"AAAAADE/68c=")</f>
        <v>#VALUE!</v>
      </c>
      <c r="GS45" s="1" t="e">
        <f>AND(P_Dennery_North!F18,"AAAAADE/68g=")</f>
        <v>#VALUE!</v>
      </c>
      <c r="GT45" s="1" t="e">
        <f>AND(P_Dennery_North!#REF!,"AAAAADE/68k=")</f>
        <v>#REF!</v>
      </c>
      <c r="GU45" s="1" t="e">
        <f>AND(P_Dennery_North!#REF!,"AAAAADE/68o=")</f>
        <v>#REF!</v>
      </c>
      <c r="GV45" s="1" t="e">
        <f>AND(P_Dennery_North!#REF!,"AAAAADE/68s=")</f>
        <v>#REF!</v>
      </c>
      <c r="GW45" s="1" t="e">
        <f>AND(P_Dennery_North!#REF!,"AAAAADE/68w=")</f>
        <v>#REF!</v>
      </c>
      <c r="GX45" s="1" t="e">
        <f>AND(P_Dennery_North!#REF!,"AAAAADE/680=")</f>
        <v>#REF!</v>
      </c>
      <c r="GY45" s="1" t="e">
        <f>AND(P_Dennery_North!#REF!,"AAAAADE/684=")</f>
        <v>#REF!</v>
      </c>
      <c r="GZ45" s="1" t="e">
        <f>AND(P_Dennery_North!G18,"AAAAADE/688=")</f>
        <v>#VALUE!</v>
      </c>
      <c r="HA45" s="1" t="e">
        <f>AND(P_Dennery_North!H18,"AAAAADE/69A=")</f>
        <v>#VALUE!</v>
      </c>
      <c r="HB45" s="1" t="e">
        <f>AND(P_Dennery_North!I18,"AAAAADE/69E=")</f>
        <v>#VALUE!</v>
      </c>
      <c r="HC45" s="1" t="e">
        <f>AND(P_Dennery_North!J18,"AAAAADE/69I=")</f>
        <v>#VALUE!</v>
      </c>
      <c r="HD45" s="1" t="e">
        <f>AND(P_Dennery_North!K18,"AAAAADE/69M=")</f>
        <v>#VALUE!</v>
      </c>
      <c r="HE45" s="1" t="e">
        <f>AND(P_Dennery_North!L18,"AAAAADE/69Q=")</f>
        <v>#VALUE!</v>
      </c>
      <c r="HF45" s="1">
        <f>IF(P_Dennery_North!19:19,"AAAAADE/69U=",0)</f>
        <v>0</v>
      </c>
      <c r="HG45" s="1" t="e">
        <f>AND(P_Dennery_North!A19,"AAAAADE/69Y=")</f>
        <v>#VALUE!</v>
      </c>
      <c r="HH45" s="1" t="b">
        <f>AND(P_Dennery_North!B19,"AAAAADE/69c=")</f>
        <v>1</v>
      </c>
      <c r="HI45" s="1" t="b">
        <f>AND(P_Dennery_North!C19,"AAAAADE/69g=")</f>
        <v>1</v>
      </c>
      <c r="HJ45" s="1" t="b">
        <f>AND(P_Dennery_North!D19,"AAAAADE/69k=")</f>
        <v>1</v>
      </c>
      <c r="HK45" s="1" t="b">
        <f>AND(P_Dennery_North!E19,"AAAAADE/69o=")</f>
        <v>1</v>
      </c>
      <c r="HL45" s="1" t="b">
        <f>AND(P_Dennery_North!F19,"AAAAADE/69s=")</f>
        <v>1</v>
      </c>
      <c r="HM45" s="1" t="e">
        <f>AND(P_Dennery_North!#REF!,"AAAAADE/69w=")</f>
        <v>#REF!</v>
      </c>
      <c r="HN45" s="1" t="e">
        <f>AND(P_Dennery_North!#REF!,"AAAAADE/690=")</f>
        <v>#REF!</v>
      </c>
      <c r="HO45" s="1" t="e">
        <f>AND(P_Dennery_North!#REF!,"AAAAADE/694=")</f>
        <v>#REF!</v>
      </c>
      <c r="HP45" s="1" t="e">
        <f>AND(P_Dennery_North!#REF!,"AAAAADE/698=")</f>
        <v>#REF!</v>
      </c>
      <c r="HQ45" s="1" t="e">
        <f>AND(P_Dennery_North!#REF!,"AAAAADE/6+A=")</f>
        <v>#REF!</v>
      </c>
      <c r="HR45" s="1" t="e">
        <f>AND(P_Dennery_North!#REF!,"AAAAADE/6+E=")</f>
        <v>#REF!</v>
      </c>
      <c r="HS45" s="1" t="b">
        <f>AND(P_Dennery_North!G19,"AAAAADE/6+I=")</f>
        <v>0</v>
      </c>
      <c r="HT45" s="1" t="b">
        <f>AND(P_Dennery_North!H19,"AAAAADE/6+M=")</f>
        <v>0</v>
      </c>
      <c r="HU45" s="1" t="b">
        <f>AND(P_Dennery_North!I19,"AAAAADE/6+Q=")</f>
        <v>1</v>
      </c>
      <c r="HV45" s="1" t="b">
        <f>AND(P_Dennery_North!J19,"AAAAADE/6+U=")</f>
        <v>1</v>
      </c>
      <c r="HW45" s="1" t="b">
        <f>AND(P_Dennery_North!K19,"AAAAADE/6+Y=")</f>
        <v>1</v>
      </c>
      <c r="HX45" s="1" t="b">
        <f>AND(P_Dennery_North!L19,"AAAAADE/6+c=")</f>
        <v>1</v>
      </c>
      <c r="HY45" s="1">
        <f>IF(P_Dennery_North!20:20,"AAAAADE/6+g=",0)</f>
        <v>0</v>
      </c>
      <c r="HZ45" s="1" t="e">
        <f>AND(P_Dennery_North!A20,"AAAAADE/6+k=")</f>
        <v>#VALUE!</v>
      </c>
      <c r="IA45" s="1" t="b">
        <f>AND(P_Dennery_North!B20,"AAAAADE/6+o=")</f>
        <v>1</v>
      </c>
      <c r="IB45" s="1" t="b">
        <f>AND(P_Dennery_North!C20,"AAAAADE/6+s=")</f>
        <v>1</v>
      </c>
      <c r="IC45" s="1" t="b">
        <f>AND(P_Dennery_North!D20,"AAAAADE/6+w=")</f>
        <v>1</v>
      </c>
      <c r="ID45" s="1" t="b">
        <f>AND(P_Dennery_North!E20,"AAAAADE/6+0=")</f>
        <v>1</v>
      </c>
      <c r="IE45" s="1" t="b">
        <f>AND(P_Dennery_North!F20,"AAAAADE/6+4=")</f>
        <v>1</v>
      </c>
      <c r="IF45" s="1" t="e">
        <f>AND(P_Dennery_North!#REF!,"AAAAADE/6+8=")</f>
        <v>#REF!</v>
      </c>
      <c r="IG45" s="1" t="e">
        <f>AND(P_Dennery_North!#REF!,"AAAAADE/6/A=")</f>
        <v>#REF!</v>
      </c>
      <c r="IH45" s="1" t="e">
        <f>AND(P_Dennery_North!#REF!,"AAAAADE/6/E=")</f>
        <v>#REF!</v>
      </c>
      <c r="II45" s="1" t="e">
        <f>AND(P_Dennery_North!#REF!,"AAAAADE/6/I=")</f>
        <v>#REF!</v>
      </c>
      <c r="IJ45" s="1" t="e">
        <f>AND(P_Dennery_North!#REF!,"AAAAADE/6/M=")</f>
        <v>#REF!</v>
      </c>
      <c r="IK45" s="1" t="e">
        <f>AND(P_Dennery_North!#REF!,"AAAAADE/6/Q=")</f>
        <v>#REF!</v>
      </c>
      <c r="IL45" s="1" t="b">
        <f>AND(P_Dennery_North!G20,"AAAAADE/6/U=")</f>
        <v>1</v>
      </c>
      <c r="IM45" s="1" t="b">
        <f>AND(P_Dennery_North!H20,"AAAAADE/6/Y=")</f>
        <v>1</v>
      </c>
      <c r="IN45" s="1" t="b">
        <f>AND(P_Dennery_North!I20,"AAAAADE/6/c=")</f>
        <v>1</v>
      </c>
      <c r="IO45" s="1" t="b">
        <f>AND(P_Dennery_North!J20,"AAAAADE/6/g=")</f>
        <v>1</v>
      </c>
      <c r="IP45" s="1" t="b">
        <f>AND(P_Dennery_North!K20,"AAAAADE/6/k=")</f>
        <v>1</v>
      </c>
      <c r="IQ45" s="1" t="b">
        <f>AND(P_Dennery_North!L20,"AAAAADE/6/o=")</f>
        <v>1</v>
      </c>
      <c r="IR45" s="1">
        <f>IF(P_Dennery_North!21:21,"AAAAADE/6/s=",0)</f>
        <v>0</v>
      </c>
      <c r="IS45" s="1" t="e">
        <f>AND(P_Dennery_North!A21,"AAAAADE/6/w=")</f>
        <v>#VALUE!</v>
      </c>
      <c r="IT45" s="1" t="b">
        <f>AND(P_Dennery_North!B21,"AAAAADE/6/0=")</f>
        <v>1</v>
      </c>
      <c r="IU45" s="1" t="b">
        <f>AND(P_Dennery_North!C21,"AAAAADE/6/4=")</f>
        <v>1</v>
      </c>
      <c r="IV45" s="1" t="b">
        <f>AND(P_Dennery_North!D21,"AAAAADE/6/8=")</f>
        <v>1</v>
      </c>
    </row>
    <row r="46" spans="1:256" ht="12" customHeight="1" x14ac:dyDescent="0.2">
      <c r="A46" s="1" t="b">
        <f>AND(P_Dennery_North!E21,"AAAAAHX9/wA=")</f>
        <v>1</v>
      </c>
      <c r="B46" s="1" t="b">
        <f>AND(P_Dennery_North!F21,"AAAAAHX9/wE=")</f>
        <v>1</v>
      </c>
      <c r="C46" s="1" t="e">
        <f>AND(P_Dennery_North!#REF!,"AAAAAHX9/wI=")</f>
        <v>#REF!</v>
      </c>
      <c r="D46" s="1" t="e">
        <f>AND(P_Dennery_North!#REF!,"AAAAAHX9/wM=")</f>
        <v>#REF!</v>
      </c>
      <c r="E46" s="1" t="e">
        <f>AND(P_Dennery_North!#REF!,"AAAAAHX9/wQ=")</f>
        <v>#REF!</v>
      </c>
      <c r="F46" s="1" t="e">
        <f>AND(P_Dennery_North!#REF!,"AAAAAHX9/wU=")</f>
        <v>#REF!</v>
      </c>
      <c r="G46" s="1" t="e">
        <f>AND(P_Dennery_North!#REF!,"AAAAAHX9/wY=")</f>
        <v>#REF!</v>
      </c>
      <c r="H46" s="1" t="e">
        <f>AND(P_Dennery_North!#REF!,"AAAAAHX9/wc=")</f>
        <v>#REF!</v>
      </c>
      <c r="I46" s="1" t="b">
        <f>AND(P_Dennery_North!G21,"AAAAAHX9/wg=")</f>
        <v>1</v>
      </c>
      <c r="J46" s="1" t="b">
        <f>AND(P_Dennery_North!H21,"AAAAAHX9/wk=")</f>
        <v>1</v>
      </c>
      <c r="K46" s="1" t="b">
        <f>AND(P_Dennery_North!I21,"AAAAAHX9/wo=")</f>
        <v>1</v>
      </c>
      <c r="L46" s="1" t="b">
        <f>AND(P_Dennery_North!J21,"AAAAAHX9/ws=")</f>
        <v>1</v>
      </c>
      <c r="M46" s="1" t="b">
        <f>AND(P_Dennery_North!K21,"AAAAAHX9/ww=")</f>
        <v>1</v>
      </c>
      <c r="N46" s="1" t="b">
        <f>AND(P_Dennery_North!L21,"AAAAAHX9/w0=")</f>
        <v>1</v>
      </c>
      <c r="O46" s="1">
        <f>IF(P_Dennery_North!22:22,"AAAAAHX9/w4=",0)</f>
        <v>0</v>
      </c>
      <c r="P46" s="1" t="e">
        <f>AND(P_Dennery_North!A22,"AAAAAHX9/w8=")</f>
        <v>#VALUE!</v>
      </c>
      <c r="Q46" s="1" t="b">
        <f>AND(P_Dennery_North!B22,"AAAAAHX9/xA=")</f>
        <v>1</v>
      </c>
      <c r="R46" s="1" t="b">
        <f>AND(P_Dennery_North!C22,"AAAAAHX9/xE=")</f>
        <v>1</v>
      </c>
      <c r="S46" s="1" t="b">
        <f>AND(P_Dennery_North!D22,"AAAAAHX9/xI=")</f>
        <v>1</v>
      </c>
      <c r="T46" s="1" t="b">
        <f>AND(P_Dennery_North!E22,"AAAAAHX9/xM=")</f>
        <v>1</v>
      </c>
      <c r="U46" s="1" t="b">
        <f>AND(P_Dennery_North!F22,"AAAAAHX9/xQ=")</f>
        <v>1</v>
      </c>
      <c r="V46" s="1" t="e">
        <f>AND(P_Dennery_North!#REF!,"AAAAAHX9/xU=")</f>
        <v>#REF!</v>
      </c>
      <c r="W46" s="1" t="e">
        <f>AND(P_Dennery_North!#REF!,"AAAAAHX9/xY=")</f>
        <v>#REF!</v>
      </c>
      <c r="X46" s="1" t="e">
        <f>AND(P_Dennery_North!#REF!,"AAAAAHX9/xc=")</f>
        <v>#REF!</v>
      </c>
      <c r="Y46" s="1" t="e">
        <f>AND(P_Dennery_North!#REF!,"AAAAAHX9/xg=")</f>
        <v>#REF!</v>
      </c>
      <c r="Z46" s="1" t="e">
        <f>AND(P_Dennery_North!#REF!,"AAAAAHX9/xk=")</f>
        <v>#REF!</v>
      </c>
      <c r="AA46" s="1" t="e">
        <f>AND(P_Dennery_North!#REF!,"AAAAAHX9/xo=")</f>
        <v>#REF!</v>
      </c>
      <c r="AB46" s="1" t="b">
        <f>AND(P_Dennery_North!G22,"AAAAAHX9/xs=")</f>
        <v>1</v>
      </c>
      <c r="AC46" s="1" t="b">
        <f>AND(P_Dennery_North!H22,"AAAAAHX9/xw=")</f>
        <v>1</v>
      </c>
      <c r="AD46" s="1" t="b">
        <f>AND(P_Dennery_North!I22,"AAAAAHX9/x0=")</f>
        <v>1</v>
      </c>
      <c r="AE46" s="1" t="b">
        <f>AND(P_Dennery_North!J22,"AAAAAHX9/x4=")</f>
        <v>1</v>
      </c>
      <c r="AF46" s="1" t="b">
        <f>AND(P_Dennery_North!K22,"AAAAAHX9/x8=")</f>
        <v>1</v>
      </c>
      <c r="AG46" s="1" t="b">
        <f>AND(P_Dennery_North!L22,"AAAAAHX9/yA=")</f>
        <v>1</v>
      </c>
      <c r="AH46" s="1">
        <f>IF(P_Dennery_North!23:23,"AAAAAHX9/yE=",0)</f>
        <v>0</v>
      </c>
      <c r="AI46" s="1" t="e">
        <f>AND(P_Dennery_North!A23,"AAAAAHX9/yI=")</f>
        <v>#VALUE!</v>
      </c>
      <c r="AJ46" s="1" t="b">
        <f>AND(P_Dennery_North!B23,"AAAAAHX9/yM=")</f>
        <v>1</v>
      </c>
      <c r="AK46" s="1" t="b">
        <f>AND(P_Dennery_North!C23,"AAAAAHX9/yQ=")</f>
        <v>1</v>
      </c>
      <c r="AL46" s="1" t="b">
        <f>AND(P_Dennery_North!D23,"AAAAAHX9/yU=")</f>
        <v>1</v>
      </c>
      <c r="AM46" s="1" t="b">
        <f>AND(P_Dennery_North!E23,"AAAAAHX9/yY=")</f>
        <v>1</v>
      </c>
      <c r="AN46" s="1" t="b">
        <f>AND(P_Dennery_North!F23,"AAAAAHX9/yc=")</f>
        <v>1</v>
      </c>
      <c r="AO46" s="1" t="e">
        <f>AND(P_Dennery_North!#REF!,"AAAAAHX9/yg=")</f>
        <v>#REF!</v>
      </c>
      <c r="AP46" s="1" t="e">
        <f>AND(P_Dennery_North!#REF!,"AAAAAHX9/yk=")</f>
        <v>#REF!</v>
      </c>
      <c r="AQ46" s="1" t="e">
        <f>AND(P_Dennery_North!#REF!,"AAAAAHX9/yo=")</f>
        <v>#REF!</v>
      </c>
      <c r="AR46" s="1" t="e">
        <f>AND(P_Dennery_North!#REF!,"AAAAAHX9/ys=")</f>
        <v>#REF!</v>
      </c>
      <c r="AS46" s="1" t="e">
        <f>AND(P_Dennery_North!#REF!,"AAAAAHX9/yw=")</f>
        <v>#REF!</v>
      </c>
      <c r="AT46" s="1" t="e">
        <f>AND(P_Dennery_North!#REF!,"AAAAAHX9/y0=")</f>
        <v>#REF!</v>
      </c>
      <c r="AU46" s="1" t="b">
        <f>AND(P_Dennery_North!G23,"AAAAAHX9/y4=")</f>
        <v>0</v>
      </c>
      <c r="AV46" s="1" t="b">
        <f>AND(P_Dennery_North!H23,"AAAAAHX9/y8=")</f>
        <v>0</v>
      </c>
      <c r="AW46" s="1" t="b">
        <f>AND(P_Dennery_North!I23,"AAAAAHX9/zA=")</f>
        <v>1</v>
      </c>
      <c r="AX46" s="1" t="b">
        <f>AND(P_Dennery_North!J23,"AAAAAHX9/zE=")</f>
        <v>1</v>
      </c>
      <c r="AY46" s="1" t="b">
        <f>AND(P_Dennery_North!K23,"AAAAAHX9/zI=")</f>
        <v>1</v>
      </c>
      <c r="AZ46" s="1" t="b">
        <f>AND(P_Dennery_North!L23,"AAAAAHX9/zM=")</f>
        <v>1</v>
      </c>
      <c r="BA46" s="1" t="e">
        <f>IF(P_Dennery_North!#REF!,"AAAAAHX9/zQ=",0)</f>
        <v>#REF!</v>
      </c>
      <c r="BB46" s="1" t="e">
        <f>AND(P_Dennery_North!#REF!,"AAAAAHX9/zU=")</f>
        <v>#REF!</v>
      </c>
      <c r="BC46" s="1" t="e">
        <f>AND(P_Dennery_North!#REF!,"AAAAAHX9/zY=")</f>
        <v>#REF!</v>
      </c>
      <c r="BD46" s="1" t="e">
        <f>AND(P_Dennery_North!#REF!,"AAAAAHX9/zc=")</f>
        <v>#REF!</v>
      </c>
      <c r="BE46" s="1" t="e">
        <f>AND(P_Dennery_North!#REF!,"AAAAAHX9/zg=")</f>
        <v>#REF!</v>
      </c>
      <c r="BF46" s="1" t="e">
        <f>AND(P_Dennery_North!#REF!,"AAAAAHX9/zk=")</f>
        <v>#REF!</v>
      </c>
      <c r="BG46" s="1" t="e">
        <f>AND(P_Dennery_North!#REF!,"AAAAAHX9/zo=")</f>
        <v>#REF!</v>
      </c>
      <c r="BH46" s="1" t="e">
        <f>AND(P_Dennery_North!#REF!,"AAAAAHX9/zs=")</f>
        <v>#REF!</v>
      </c>
      <c r="BI46" s="1" t="e">
        <f>AND(P_Dennery_North!#REF!,"AAAAAHX9/zw=")</f>
        <v>#REF!</v>
      </c>
      <c r="BJ46" s="1" t="e">
        <f>AND(P_Dennery_North!#REF!,"AAAAAHX9/z0=")</f>
        <v>#REF!</v>
      </c>
      <c r="BK46" s="1" t="e">
        <f>AND(P_Dennery_North!#REF!,"AAAAAHX9/z4=")</f>
        <v>#REF!</v>
      </c>
      <c r="BL46" s="1" t="e">
        <f>AND(P_Dennery_North!#REF!,"AAAAAHX9/z8=")</f>
        <v>#REF!</v>
      </c>
      <c r="BM46" s="1" t="e">
        <f>AND(P_Dennery_North!#REF!,"AAAAAHX9/0A=")</f>
        <v>#REF!</v>
      </c>
      <c r="BN46" s="1" t="e">
        <f>AND(P_Dennery_North!#REF!,"AAAAAHX9/0E=")</f>
        <v>#REF!</v>
      </c>
      <c r="BO46" s="1" t="e">
        <f>AND(P_Dennery_North!#REF!,"AAAAAHX9/0I=")</f>
        <v>#REF!</v>
      </c>
      <c r="BP46" s="1" t="e">
        <f>AND(P_Dennery_North!#REF!,"AAAAAHX9/0M=")</f>
        <v>#REF!</v>
      </c>
      <c r="BQ46" s="1" t="e">
        <f>AND(P_Dennery_North!#REF!,"AAAAAHX9/0Q=")</f>
        <v>#REF!</v>
      </c>
      <c r="BR46" s="1" t="e">
        <f>AND(P_Dennery_North!#REF!,"AAAAAHX9/0U=")</f>
        <v>#REF!</v>
      </c>
      <c r="BS46" s="1" t="e">
        <f>AND(P_Dennery_North!#REF!,"AAAAAHX9/0Y=")</f>
        <v>#REF!</v>
      </c>
      <c r="BT46" s="1">
        <f>IF(P_Dennery_North!24:24,"AAAAAHX9/0c=",0)</f>
        <v>0</v>
      </c>
      <c r="BU46" s="1" t="e">
        <f>AND(P_Dennery_North!A24,"AAAAAHX9/0g=")</f>
        <v>#VALUE!</v>
      </c>
      <c r="BV46" s="1" t="b">
        <f>AND(P_Dennery_North!B24,"AAAAAHX9/0k=")</f>
        <v>1</v>
      </c>
      <c r="BW46" s="1" t="b">
        <f>AND(P_Dennery_North!C24,"AAAAAHX9/0o=")</f>
        <v>1</v>
      </c>
      <c r="BX46" s="1" t="b">
        <f>AND(P_Dennery_North!D24,"AAAAAHX9/0s=")</f>
        <v>1</v>
      </c>
      <c r="BY46" s="1" t="b">
        <f>AND(P_Dennery_North!E24,"AAAAAHX9/0w=")</f>
        <v>1</v>
      </c>
      <c r="BZ46" s="1" t="b">
        <f>AND(P_Dennery_North!F24,"AAAAAHX9/00=")</f>
        <v>1</v>
      </c>
      <c r="CA46" s="1" t="e">
        <f>AND(P_Dennery_North!#REF!,"AAAAAHX9/04=")</f>
        <v>#REF!</v>
      </c>
      <c r="CB46" s="1" t="e">
        <f>AND(P_Dennery_North!#REF!,"AAAAAHX9/08=")</f>
        <v>#REF!</v>
      </c>
      <c r="CC46" s="1" t="e">
        <f>AND(P_Dennery_North!#REF!,"AAAAAHX9/1A=")</f>
        <v>#REF!</v>
      </c>
      <c r="CD46" s="1" t="e">
        <f>AND(P_Dennery_North!#REF!,"AAAAAHX9/1E=")</f>
        <v>#REF!</v>
      </c>
      <c r="CE46" s="1" t="e">
        <f>AND(P_Dennery_North!#REF!,"AAAAAHX9/1I=")</f>
        <v>#REF!</v>
      </c>
      <c r="CF46" s="1" t="e">
        <f>AND(P_Dennery_North!#REF!,"AAAAAHX9/1M=")</f>
        <v>#REF!</v>
      </c>
      <c r="CG46" s="1" t="b">
        <f>AND(P_Dennery_North!G24,"AAAAAHX9/1Q=")</f>
        <v>1</v>
      </c>
      <c r="CH46" s="1" t="b">
        <f>AND(P_Dennery_North!H24,"AAAAAHX9/1U=")</f>
        <v>1</v>
      </c>
      <c r="CI46" s="1" t="b">
        <f>AND(P_Dennery_North!I24,"AAAAAHX9/1Y=")</f>
        <v>1</v>
      </c>
      <c r="CJ46" s="1" t="b">
        <f>AND(P_Dennery_North!J24,"AAAAAHX9/1c=")</f>
        <v>1</v>
      </c>
      <c r="CK46" s="1" t="b">
        <f>AND(P_Dennery_North!K24,"AAAAAHX9/1g=")</f>
        <v>1</v>
      </c>
      <c r="CL46" s="1" t="b">
        <f>AND(P_Dennery_North!L24,"AAAAAHX9/1k=")</f>
        <v>1</v>
      </c>
      <c r="CM46" s="1">
        <f>IF(P_Dennery_North!26:26,"AAAAAHX9/1o=",0)</f>
        <v>0</v>
      </c>
      <c r="CN46" s="1" t="e">
        <f>AND(P_Dennery_North!A26,"AAAAAHX9/1s=")</f>
        <v>#VALUE!</v>
      </c>
      <c r="CO46" s="1" t="e">
        <f>AND(P_Dennery_North!B26,"AAAAAHX9/1w=")</f>
        <v>#VALUE!</v>
      </c>
      <c r="CP46" s="1" t="e">
        <f>AND(P_Dennery_North!C26,"AAAAAHX9/10=")</f>
        <v>#VALUE!</v>
      </c>
      <c r="CQ46" s="1" t="e">
        <f>AND(P_Dennery_North!D26,"AAAAAHX9/14=")</f>
        <v>#VALUE!</v>
      </c>
      <c r="CR46" s="1" t="e">
        <f>AND(P_Dennery_North!E26,"AAAAAHX9/18=")</f>
        <v>#VALUE!</v>
      </c>
      <c r="CS46" s="1" t="e">
        <f>AND(P_Dennery_North!F26,"AAAAAHX9/2A=")</f>
        <v>#VALUE!</v>
      </c>
      <c r="CT46" s="1" t="e">
        <f>AND(P_Dennery_North!#REF!,"AAAAAHX9/2E=")</f>
        <v>#REF!</v>
      </c>
      <c r="CU46" s="1" t="e">
        <f>AND(P_Dennery_North!#REF!,"AAAAAHX9/2I=")</f>
        <v>#REF!</v>
      </c>
      <c r="CV46" s="1" t="e">
        <f>AND(P_Dennery_North!#REF!,"AAAAAHX9/2M=")</f>
        <v>#REF!</v>
      </c>
      <c r="CW46" s="1" t="e">
        <f>AND(P_Dennery_North!#REF!,"AAAAAHX9/2Q=")</f>
        <v>#REF!</v>
      </c>
      <c r="CX46" s="1" t="e">
        <f>AND(P_Dennery_North!#REF!,"AAAAAHX9/2U=")</f>
        <v>#REF!</v>
      </c>
      <c r="CY46" s="1" t="e">
        <f>AND(P_Dennery_North!#REF!,"AAAAAHX9/2Y=")</f>
        <v>#REF!</v>
      </c>
      <c r="CZ46" s="1" t="e">
        <f>AND(P_Dennery_North!G26,"AAAAAHX9/2c=")</f>
        <v>#VALUE!</v>
      </c>
      <c r="DA46" s="1" t="e">
        <f>AND(P_Dennery_North!H26,"AAAAAHX9/2g=")</f>
        <v>#VALUE!</v>
      </c>
      <c r="DB46" s="1" t="e">
        <f>AND(P_Dennery_North!I26,"AAAAAHX9/2k=")</f>
        <v>#VALUE!</v>
      </c>
      <c r="DC46" s="1" t="e">
        <f>AND(P_Dennery_North!J26,"AAAAAHX9/2o=")</f>
        <v>#VALUE!</v>
      </c>
      <c r="DD46" s="1" t="e">
        <f>AND(P_Dennery_North!K26,"AAAAAHX9/2s=")</f>
        <v>#VALUE!</v>
      </c>
      <c r="DE46" s="1" t="e">
        <f>AND(P_Dennery_North!L26,"AAAAAHX9/2w=")</f>
        <v>#VALUE!</v>
      </c>
      <c r="DF46" s="1">
        <f>IF(P_Dennery_North!27:27,"AAAAAHX9/20=",0)</f>
        <v>0</v>
      </c>
      <c r="DG46" s="1" t="e">
        <f>AND(P_Dennery_North!A27,"AAAAAHX9/24=")</f>
        <v>#VALUE!</v>
      </c>
      <c r="DH46" s="1" t="b">
        <f>AND(P_Dennery_North!B27,"AAAAAHX9/28=")</f>
        <v>1</v>
      </c>
      <c r="DI46" s="1" t="b">
        <f>AND(P_Dennery_North!C27,"AAAAAHX9/3A=")</f>
        <v>1</v>
      </c>
      <c r="DJ46" s="1" t="b">
        <f>AND(P_Dennery_North!D27,"AAAAAHX9/3E=")</f>
        <v>1</v>
      </c>
      <c r="DK46" s="1" t="b">
        <f>AND(P_Dennery_North!E27,"AAAAAHX9/3I=")</f>
        <v>1</v>
      </c>
      <c r="DL46" s="1" t="b">
        <f>AND(P_Dennery_North!F27,"AAAAAHX9/3M=")</f>
        <v>1</v>
      </c>
      <c r="DM46" s="1" t="e">
        <f>AND(P_Dennery_North!#REF!,"AAAAAHX9/3Q=")</f>
        <v>#REF!</v>
      </c>
      <c r="DN46" s="1" t="e">
        <f>AND(P_Dennery_North!#REF!,"AAAAAHX9/3U=")</f>
        <v>#REF!</v>
      </c>
      <c r="DO46" s="1" t="e">
        <f>AND(P_Dennery_North!#REF!,"AAAAAHX9/3Y=")</f>
        <v>#REF!</v>
      </c>
      <c r="DP46" s="1" t="e">
        <f>AND(P_Dennery_North!#REF!,"AAAAAHX9/3c=")</f>
        <v>#REF!</v>
      </c>
      <c r="DQ46" s="1" t="e">
        <f>AND(P_Dennery_North!#REF!,"AAAAAHX9/3g=")</f>
        <v>#REF!</v>
      </c>
      <c r="DR46" s="1" t="e">
        <f>AND(P_Dennery_North!#REF!,"AAAAAHX9/3k=")</f>
        <v>#REF!</v>
      </c>
      <c r="DS46" s="1" t="b">
        <f>AND(P_Dennery_North!G27,"AAAAAHX9/3o=")</f>
        <v>1</v>
      </c>
      <c r="DT46" s="1" t="b">
        <f>AND(P_Dennery_North!H27,"AAAAAHX9/3s=")</f>
        <v>1</v>
      </c>
      <c r="DU46" s="1" t="b">
        <f>AND(P_Dennery_North!I27,"AAAAAHX9/3w=")</f>
        <v>1</v>
      </c>
      <c r="DV46" s="1" t="b">
        <f>AND(P_Dennery_North!J27,"AAAAAHX9/30=")</f>
        <v>1</v>
      </c>
      <c r="DW46" s="1" t="b">
        <f>AND(P_Dennery_North!K27,"AAAAAHX9/34=")</f>
        <v>1</v>
      </c>
      <c r="DX46" s="1" t="b">
        <f>AND(P_Dennery_North!L27,"AAAAAHX9/38=")</f>
        <v>1</v>
      </c>
      <c r="DY46" s="1">
        <f>IF(P_Dennery_North!28:28,"AAAAAHX9/4A=",0)</f>
        <v>0</v>
      </c>
      <c r="DZ46" s="1" t="e">
        <f>AND(P_Dennery_North!A28,"AAAAAHX9/4E=")</f>
        <v>#VALUE!</v>
      </c>
      <c r="EA46" s="1" t="b">
        <f>AND(P_Dennery_North!B28,"AAAAAHX9/4I=")</f>
        <v>1</v>
      </c>
      <c r="EB46" s="1" t="b">
        <f>AND(P_Dennery_North!C28,"AAAAAHX9/4M=")</f>
        <v>1</v>
      </c>
      <c r="EC46" s="1" t="b">
        <f>AND(P_Dennery_North!D28,"AAAAAHX9/4Q=")</f>
        <v>1</v>
      </c>
      <c r="ED46" s="1" t="b">
        <f>AND(P_Dennery_North!E28,"AAAAAHX9/4U=")</f>
        <v>1</v>
      </c>
      <c r="EE46" s="1" t="b">
        <f>AND(P_Dennery_North!F28,"AAAAAHX9/4Y=")</f>
        <v>1</v>
      </c>
      <c r="EF46" s="1" t="e">
        <f>AND(P_Dennery_North!#REF!,"AAAAAHX9/4c=")</f>
        <v>#REF!</v>
      </c>
      <c r="EG46" s="1" t="e">
        <f>AND(P_Dennery_North!#REF!,"AAAAAHX9/4g=")</f>
        <v>#REF!</v>
      </c>
      <c r="EH46" s="1" t="e">
        <f>AND(P_Dennery_North!#REF!,"AAAAAHX9/4k=")</f>
        <v>#REF!</v>
      </c>
      <c r="EI46" s="1" t="e">
        <f>AND(P_Dennery_North!#REF!,"AAAAAHX9/4o=")</f>
        <v>#REF!</v>
      </c>
      <c r="EJ46" s="1" t="e">
        <f>AND(P_Dennery_North!#REF!,"AAAAAHX9/4s=")</f>
        <v>#REF!</v>
      </c>
      <c r="EK46" s="1" t="e">
        <f>AND(P_Dennery_North!#REF!,"AAAAAHX9/4w=")</f>
        <v>#REF!</v>
      </c>
      <c r="EL46" s="1" t="b">
        <f>AND(P_Dennery_North!G28,"AAAAAHX9/40=")</f>
        <v>1</v>
      </c>
      <c r="EM46" s="1" t="b">
        <f>AND(P_Dennery_North!H28,"AAAAAHX9/44=")</f>
        <v>1</v>
      </c>
      <c r="EN46" s="1" t="b">
        <f>AND(P_Dennery_North!I28,"AAAAAHX9/48=")</f>
        <v>1</v>
      </c>
      <c r="EO46" s="1" t="b">
        <f>AND(P_Dennery_North!J28,"AAAAAHX9/5A=")</f>
        <v>1</v>
      </c>
      <c r="EP46" s="1" t="b">
        <f>AND(P_Dennery_North!K28,"AAAAAHX9/5E=")</f>
        <v>1</v>
      </c>
      <c r="EQ46" s="1" t="b">
        <f>AND(P_Dennery_North!L28,"AAAAAHX9/5I=")</f>
        <v>1</v>
      </c>
      <c r="ER46" s="1">
        <f>IF(P_Dennery_North!29:29,"AAAAAHX9/5M=",0)</f>
        <v>0</v>
      </c>
      <c r="ES46" s="1" t="e">
        <f>AND(P_Dennery_North!A29,"AAAAAHX9/5Q=")</f>
        <v>#VALUE!</v>
      </c>
      <c r="ET46" s="1" t="b">
        <f>AND(P_Dennery_North!B29,"AAAAAHX9/5U=")</f>
        <v>1</v>
      </c>
      <c r="EU46" s="1" t="b">
        <f>AND(P_Dennery_North!C29,"AAAAAHX9/5Y=")</f>
        <v>1</v>
      </c>
      <c r="EV46" s="1" t="b">
        <f>AND(P_Dennery_North!D29,"AAAAAHX9/5c=")</f>
        <v>1</v>
      </c>
      <c r="EW46" s="1" t="b">
        <f>AND(P_Dennery_North!E29,"AAAAAHX9/5g=")</f>
        <v>1</v>
      </c>
      <c r="EX46" s="1" t="b">
        <f>AND(P_Dennery_North!F29,"AAAAAHX9/5k=")</f>
        <v>1</v>
      </c>
      <c r="EY46" s="1" t="e">
        <f>AND(P_Dennery_North!#REF!,"AAAAAHX9/5o=")</f>
        <v>#REF!</v>
      </c>
      <c r="EZ46" s="1" t="e">
        <f>AND(P_Dennery_North!#REF!,"AAAAAHX9/5s=")</f>
        <v>#REF!</v>
      </c>
      <c r="FA46" s="1" t="e">
        <f>AND(P_Dennery_North!#REF!,"AAAAAHX9/5w=")</f>
        <v>#REF!</v>
      </c>
      <c r="FB46" s="1" t="e">
        <f>AND(P_Dennery_North!#REF!,"AAAAAHX9/50=")</f>
        <v>#REF!</v>
      </c>
      <c r="FC46" s="1" t="e">
        <f>AND(P_Dennery_North!#REF!,"AAAAAHX9/54=")</f>
        <v>#REF!</v>
      </c>
      <c r="FD46" s="1" t="e">
        <f>AND(P_Dennery_North!#REF!,"AAAAAHX9/58=")</f>
        <v>#REF!</v>
      </c>
      <c r="FE46" s="1" t="b">
        <f>AND(P_Dennery_North!G29,"AAAAAHX9/6A=")</f>
        <v>1</v>
      </c>
      <c r="FF46" s="1" t="b">
        <f>AND(P_Dennery_North!H29,"AAAAAHX9/6E=")</f>
        <v>1</v>
      </c>
      <c r="FG46" s="1" t="b">
        <f>AND(P_Dennery_North!I29,"AAAAAHX9/6I=")</f>
        <v>1</v>
      </c>
      <c r="FH46" s="1" t="b">
        <f>AND(P_Dennery_North!J29,"AAAAAHX9/6M=")</f>
        <v>1</v>
      </c>
      <c r="FI46" s="1" t="b">
        <f>AND(P_Dennery_North!K29,"AAAAAHX9/6Q=")</f>
        <v>1</v>
      </c>
      <c r="FJ46" s="1" t="b">
        <f>AND(P_Dennery_North!L29,"AAAAAHX9/6U=")</f>
        <v>1</v>
      </c>
      <c r="FK46" s="1">
        <f>IF(P_Dennery_North!30:30,"AAAAAHX9/6Y=",0)</f>
        <v>0</v>
      </c>
      <c r="FL46" s="1" t="e">
        <f>AND(P_Dennery_North!A30,"AAAAAHX9/6c=")</f>
        <v>#VALUE!</v>
      </c>
      <c r="FM46" s="1" t="b">
        <f>AND(P_Dennery_North!B30,"AAAAAHX9/6g=")</f>
        <v>1</v>
      </c>
      <c r="FN46" s="1" t="b">
        <f>AND(P_Dennery_North!C30,"AAAAAHX9/6k=")</f>
        <v>1</v>
      </c>
      <c r="FO46" s="1" t="b">
        <f>AND(P_Dennery_North!D30,"AAAAAHX9/6o=")</f>
        <v>1</v>
      </c>
      <c r="FP46" s="1" t="b">
        <f>AND(P_Dennery_North!E30,"AAAAAHX9/6s=")</f>
        <v>1</v>
      </c>
      <c r="FQ46" s="1" t="b">
        <f>AND(P_Dennery_North!F30,"AAAAAHX9/6w=")</f>
        <v>1</v>
      </c>
      <c r="FR46" s="1" t="e">
        <f>AND(P_Dennery_North!#REF!,"AAAAAHX9/60=")</f>
        <v>#REF!</v>
      </c>
      <c r="FS46" s="1" t="e">
        <f>AND(P_Dennery_North!#REF!,"AAAAAHX9/64=")</f>
        <v>#REF!</v>
      </c>
      <c r="FT46" s="1" t="e">
        <f>AND(P_Dennery_North!#REF!,"AAAAAHX9/68=")</f>
        <v>#REF!</v>
      </c>
      <c r="FU46" s="1" t="e">
        <f>AND(P_Dennery_North!#REF!,"AAAAAHX9/7A=")</f>
        <v>#REF!</v>
      </c>
      <c r="FV46" s="1" t="e">
        <f>AND(P_Dennery_North!#REF!,"AAAAAHX9/7E=")</f>
        <v>#REF!</v>
      </c>
      <c r="FW46" s="1" t="e">
        <f>AND(P_Dennery_North!#REF!,"AAAAAHX9/7I=")</f>
        <v>#REF!</v>
      </c>
      <c r="FX46" s="1" t="b">
        <f>AND(P_Dennery_North!G30,"AAAAAHX9/7M=")</f>
        <v>1</v>
      </c>
      <c r="FY46" s="1" t="b">
        <f>AND(P_Dennery_North!H30,"AAAAAHX9/7Q=")</f>
        <v>1</v>
      </c>
      <c r="FZ46" s="1" t="b">
        <f>AND(P_Dennery_North!I30,"AAAAAHX9/7U=")</f>
        <v>1</v>
      </c>
      <c r="GA46" s="1" t="b">
        <f>AND(P_Dennery_North!J30,"AAAAAHX9/7Y=")</f>
        <v>1</v>
      </c>
      <c r="GB46" s="1" t="b">
        <f>AND(P_Dennery_North!K30,"AAAAAHX9/7c=")</f>
        <v>1</v>
      </c>
      <c r="GC46" s="1" t="b">
        <f>AND(P_Dennery_North!L30,"AAAAAHX9/7g=")</f>
        <v>1</v>
      </c>
      <c r="GD46" s="1">
        <f>IF(P_Dennery_North!32:32,"AAAAAHX9/7k=",0)</f>
        <v>0</v>
      </c>
      <c r="GE46" s="1" t="e">
        <f>AND(P_Dennery_North!A32,"AAAAAHX9/7o=")</f>
        <v>#VALUE!</v>
      </c>
      <c r="GF46" s="1" t="e">
        <f>AND(P_Dennery_North!B32,"AAAAAHX9/7s=")</f>
        <v>#VALUE!</v>
      </c>
      <c r="GG46" s="1" t="e">
        <f>AND(P_Dennery_North!C32,"AAAAAHX9/7w=")</f>
        <v>#VALUE!</v>
      </c>
      <c r="GH46" s="1" t="e">
        <f>AND(P_Dennery_North!D32,"AAAAAHX9/70=")</f>
        <v>#VALUE!</v>
      </c>
      <c r="GI46" s="1" t="e">
        <f>AND(P_Dennery_North!E32,"AAAAAHX9/74=")</f>
        <v>#VALUE!</v>
      </c>
      <c r="GJ46" s="1" t="e">
        <f>AND(P_Dennery_North!F32,"AAAAAHX9/78=")</f>
        <v>#VALUE!</v>
      </c>
      <c r="GK46" s="1" t="e">
        <f>AND(P_Dennery_North!#REF!,"AAAAAHX9/8A=")</f>
        <v>#REF!</v>
      </c>
      <c r="GL46" s="1" t="e">
        <f>AND(P_Dennery_North!#REF!,"AAAAAHX9/8E=")</f>
        <v>#REF!</v>
      </c>
      <c r="GM46" s="1" t="e">
        <f>AND(P_Dennery_North!#REF!,"AAAAAHX9/8I=")</f>
        <v>#REF!</v>
      </c>
      <c r="GN46" s="1" t="e">
        <f>AND(P_Dennery_North!#REF!,"AAAAAHX9/8M=")</f>
        <v>#REF!</v>
      </c>
      <c r="GO46" s="1" t="e">
        <f>AND(P_Dennery_North!#REF!,"AAAAAHX9/8Q=")</f>
        <v>#REF!</v>
      </c>
      <c r="GP46" s="1" t="e">
        <f>AND(P_Dennery_North!#REF!,"AAAAAHX9/8U=")</f>
        <v>#REF!</v>
      </c>
      <c r="GQ46" s="1" t="e">
        <f>AND(P_Dennery_North!G32,"AAAAAHX9/8Y=")</f>
        <v>#VALUE!</v>
      </c>
      <c r="GR46" s="1" t="e">
        <f>AND(P_Dennery_North!H32,"AAAAAHX9/8c=")</f>
        <v>#VALUE!</v>
      </c>
      <c r="GS46" s="1" t="e">
        <f>AND(P_Dennery_North!I32,"AAAAAHX9/8g=")</f>
        <v>#VALUE!</v>
      </c>
      <c r="GT46" s="1" t="e">
        <f>AND(P_Dennery_North!J32,"AAAAAHX9/8k=")</f>
        <v>#VALUE!</v>
      </c>
      <c r="GU46" s="1" t="e">
        <f>AND(P_Dennery_North!K32,"AAAAAHX9/8o=")</f>
        <v>#VALUE!</v>
      </c>
      <c r="GV46" s="1" t="e">
        <f>AND(P_Dennery_North!L32,"AAAAAHX9/8s=")</f>
        <v>#VALUE!</v>
      </c>
      <c r="GW46" s="1">
        <f>IF(P_Dennery_North!33:33,"AAAAAHX9/8w=",0)</f>
        <v>0</v>
      </c>
      <c r="GX46" s="1" t="e">
        <f>AND(P_Dennery_North!A33,"AAAAAHX9/80=")</f>
        <v>#VALUE!</v>
      </c>
      <c r="GY46" s="1" t="b">
        <f>AND(P_Dennery_North!B33,"AAAAAHX9/84=")</f>
        <v>1</v>
      </c>
      <c r="GZ46" s="1" t="b">
        <f>AND(P_Dennery_North!C33,"AAAAAHX9/88=")</f>
        <v>1</v>
      </c>
      <c r="HA46" s="1" t="b">
        <f>AND(P_Dennery_North!D33,"AAAAAHX9/9A=")</f>
        <v>1</v>
      </c>
      <c r="HB46" s="1" t="b">
        <f>AND(P_Dennery_North!E33,"AAAAAHX9/9E=")</f>
        <v>1</v>
      </c>
      <c r="HC46" s="1" t="b">
        <f>AND(P_Dennery_North!F33,"AAAAAHX9/9I=")</f>
        <v>1</v>
      </c>
      <c r="HD46" s="1" t="e">
        <f>AND(P_Dennery_North!#REF!,"AAAAAHX9/9M=")</f>
        <v>#REF!</v>
      </c>
      <c r="HE46" s="1" t="e">
        <f>AND(P_Dennery_North!#REF!,"AAAAAHX9/9Q=")</f>
        <v>#REF!</v>
      </c>
      <c r="HF46" s="1" t="e">
        <f>AND(P_Dennery_North!#REF!,"AAAAAHX9/9U=")</f>
        <v>#REF!</v>
      </c>
      <c r="HG46" s="1" t="e">
        <f>AND(P_Dennery_North!#REF!,"AAAAAHX9/9Y=")</f>
        <v>#REF!</v>
      </c>
      <c r="HH46" s="1" t="e">
        <f>AND(P_Dennery_North!#REF!,"AAAAAHX9/9c=")</f>
        <v>#REF!</v>
      </c>
      <c r="HI46" s="1" t="e">
        <f>AND(P_Dennery_North!#REF!,"AAAAAHX9/9g=")</f>
        <v>#REF!</v>
      </c>
      <c r="HJ46" s="1" t="b">
        <f>AND(P_Dennery_North!G33,"AAAAAHX9/9k=")</f>
        <v>1</v>
      </c>
      <c r="HK46" s="1" t="b">
        <f>AND(P_Dennery_North!H33,"AAAAAHX9/9o=")</f>
        <v>1</v>
      </c>
      <c r="HL46" s="1" t="b">
        <f>AND(P_Dennery_North!I33,"AAAAAHX9/9s=")</f>
        <v>1</v>
      </c>
      <c r="HM46" s="1" t="b">
        <f>AND(P_Dennery_North!J33,"AAAAAHX9/9w=")</f>
        <v>1</v>
      </c>
      <c r="HN46" s="1" t="b">
        <f>AND(P_Dennery_North!K33,"AAAAAHX9/90=")</f>
        <v>1</v>
      </c>
      <c r="HO46" s="1" t="b">
        <f>AND(P_Dennery_North!L33,"AAAAAHX9/94=")</f>
        <v>1</v>
      </c>
      <c r="HP46" s="1">
        <f>IF(P_Dennery_North!34:34,"AAAAAHX9/98=",0)</f>
        <v>0</v>
      </c>
      <c r="HQ46" s="1" t="e">
        <f>AND(P_Dennery_North!A34,"AAAAAHX9/+A=")</f>
        <v>#VALUE!</v>
      </c>
      <c r="HR46" s="1" t="b">
        <f>AND(P_Dennery_North!B34,"AAAAAHX9/+E=")</f>
        <v>1</v>
      </c>
      <c r="HS46" s="1" t="b">
        <f>AND(P_Dennery_North!C34,"AAAAAHX9/+I=")</f>
        <v>1</v>
      </c>
      <c r="HT46" s="1" t="b">
        <f>AND(P_Dennery_North!D34,"AAAAAHX9/+M=")</f>
        <v>1</v>
      </c>
      <c r="HU46" s="1" t="b">
        <f>AND(P_Dennery_North!E34,"AAAAAHX9/+Q=")</f>
        <v>1</v>
      </c>
      <c r="HV46" s="1" t="b">
        <f>AND(P_Dennery_North!F34,"AAAAAHX9/+U=")</f>
        <v>1</v>
      </c>
      <c r="HW46" s="1" t="e">
        <f>AND(P_Dennery_North!#REF!,"AAAAAHX9/+Y=")</f>
        <v>#REF!</v>
      </c>
      <c r="HX46" s="1" t="e">
        <f>AND(P_Dennery_North!#REF!,"AAAAAHX9/+c=")</f>
        <v>#REF!</v>
      </c>
      <c r="HY46" s="1" t="e">
        <f>AND(P_Dennery_North!#REF!,"AAAAAHX9/+g=")</f>
        <v>#REF!</v>
      </c>
      <c r="HZ46" s="1" t="e">
        <f>AND(P_Dennery_North!#REF!,"AAAAAHX9/+k=")</f>
        <v>#REF!</v>
      </c>
      <c r="IA46" s="1" t="e">
        <f>AND(P_Dennery_North!#REF!,"AAAAAHX9/+o=")</f>
        <v>#REF!</v>
      </c>
      <c r="IB46" s="1" t="e">
        <f>AND(P_Dennery_North!#REF!,"AAAAAHX9/+s=")</f>
        <v>#REF!</v>
      </c>
      <c r="IC46" s="1" t="b">
        <f>AND(P_Dennery_North!G34,"AAAAAHX9/+w=")</f>
        <v>0</v>
      </c>
      <c r="ID46" s="1" t="b">
        <f>AND(P_Dennery_North!H34,"AAAAAHX9/+0=")</f>
        <v>0</v>
      </c>
      <c r="IE46" s="1" t="b">
        <f>AND(P_Dennery_North!I34,"AAAAAHX9/+4=")</f>
        <v>1</v>
      </c>
      <c r="IF46" s="1" t="b">
        <f>AND(P_Dennery_North!J34,"AAAAAHX9/+8=")</f>
        <v>1</v>
      </c>
      <c r="IG46" s="1" t="b">
        <f>AND(P_Dennery_North!K34,"AAAAAHX9//A=")</f>
        <v>1</v>
      </c>
      <c r="IH46" s="1" t="b">
        <f>AND(P_Dennery_North!L34,"AAAAAHX9//E=")</f>
        <v>1</v>
      </c>
      <c r="II46" s="1">
        <f>IF(P_Dennery_North!35:35,"AAAAAHX9//I=",0)</f>
        <v>0</v>
      </c>
      <c r="IJ46" s="1" t="e">
        <f>AND(P_Dennery_North!A35,"AAAAAHX9//M=")</f>
        <v>#VALUE!</v>
      </c>
      <c r="IK46" s="1" t="b">
        <f>AND(P_Dennery_North!B35,"AAAAAHX9//Q=")</f>
        <v>1</v>
      </c>
      <c r="IL46" s="1" t="b">
        <f>AND(P_Dennery_North!C35,"AAAAAHX9//U=")</f>
        <v>1</v>
      </c>
      <c r="IM46" s="1" t="b">
        <f>AND(P_Dennery_North!D35,"AAAAAHX9//Y=")</f>
        <v>1</v>
      </c>
      <c r="IN46" s="1" t="b">
        <f>AND(P_Dennery_North!E35,"AAAAAHX9//c=")</f>
        <v>1</v>
      </c>
      <c r="IO46" s="1" t="b">
        <f>AND(P_Dennery_North!F35,"AAAAAHX9//g=")</f>
        <v>1</v>
      </c>
      <c r="IP46" s="1" t="e">
        <f>AND(P_Dennery_North!#REF!,"AAAAAHX9//k=")</f>
        <v>#REF!</v>
      </c>
      <c r="IQ46" s="1" t="e">
        <f>AND(P_Dennery_North!#REF!,"AAAAAHX9//o=")</f>
        <v>#REF!</v>
      </c>
      <c r="IR46" s="1" t="e">
        <f>AND(P_Dennery_North!#REF!,"AAAAAHX9//s=")</f>
        <v>#REF!</v>
      </c>
      <c r="IS46" s="1" t="e">
        <f>AND(P_Dennery_North!#REF!,"AAAAAHX9//w=")</f>
        <v>#REF!</v>
      </c>
      <c r="IT46" s="1" t="e">
        <f>AND(P_Dennery_North!#REF!,"AAAAAHX9//0=")</f>
        <v>#REF!</v>
      </c>
      <c r="IU46" s="1" t="e">
        <f>AND(P_Dennery_North!#REF!,"AAAAAHX9//4=")</f>
        <v>#REF!</v>
      </c>
      <c r="IV46" s="1" t="b">
        <f>AND(P_Dennery_North!G35,"AAAAAHX9//8=")</f>
        <v>1</v>
      </c>
    </row>
    <row r="47" spans="1:256" ht="12" customHeight="1" x14ac:dyDescent="0.2">
      <c r="A47" s="1" t="b">
        <f>AND(P_Dennery_North!H35,"AAAAAG/z3gA=")</f>
        <v>1</v>
      </c>
      <c r="B47" s="1" t="b">
        <f>AND(P_Dennery_North!I35,"AAAAAG/z3gE=")</f>
        <v>1</v>
      </c>
      <c r="C47" s="1" t="b">
        <f>AND(P_Dennery_North!J35,"AAAAAG/z3gI=")</f>
        <v>1</v>
      </c>
      <c r="D47" s="1" t="b">
        <f>AND(P_Dennery_North!K35,"AAAAAG/z3gM=")</f>
        <v>1</v>
      </c>
      <c r="E47" s="1" t="b">
        <f>AND(P_Dennery_North!L35,"AAAAAG/z3gQ=")</f>
        <v>1</v>
      </c>
      <c r="F47" s="1" t="str">
        <f>IF(P_Dennery_North!36:36,"AAAAAG/z3gU=",0)</f>
        <v>AAAAAG/z3gU=</v>
      </c>
      <c r="G47" s="1" t="e">
        <f>AND(P_Dennery_North!A36,"AAAAAG/z3gY=")</f>
        <v>#VALUE!</v>
      </c>
      <c r="H47" s="1" t="b">
        <f>AND(P_Dennery_North!B36,"AAAAAG/z3gc=")</f>
        <v>1</v>
      </c>
      <c r="I47" s="1" t="b">
        <f>AND(P_Dennery_North!C36,"AAAAAG/z3gg=")</f>
        <v>1</v>
      </c>
      <c r="J47" s="1" t="b">
        <f>AND(P_Dennery_North!D36,"AAAAAG/z3gk=")</f>
        <v>1</v>
      </c>
      <c r="K47" s="1" t="b">
        <f>AND(P_Dennery_North!E36,"AAAAAG/z3go=")</f>
        <v>1</v>
      </c>
      <c r="L47" s="1" t="b">
        <f>AND(P_Dennery_North!F36,"AAAAAG/z3gs=")</f>
        <v>1</v>
      </c>
      <c r="M47" s="1" t="e">
        <f>AND(P_Dennery_North!#REF!,"AAAAAG/z3gw=")</f>
        <v>#REF!</v>
      </c>
      <c r="N47" s="1" t="e">
        <f>AND(P_Dennery_North!#REF!,"AAAAAG/z3g0=")</f>
        <v>#REF!</v>
      </c>
      <c r="O47" s="1" t="e">
        <f>AND(P_Dennery_North!#REF!,"AAAAAG/z3g4=")</f>
        <v>#REF!</v>
      </c>
      <c r="P47" s="1" t="e">
        <f>AND(P_Dennery_North!#REF!,"AAAAAG/z3g8=")</f>
        <v>#REF!</v>
      </c>
      <c r="Q47" s="1" t="e">
        <f>AND(P_Dennery_North!#REF!,"AAAAAG/z3hA=")</f>
        <v>#REF!</v>
      </c>
      <c r="R47" s="1" t="e">
        <f>AND(P_Dennery_North!#REF!,"AAAAAG/z3hE=")</f>
        <v>#REF!</v>
      </c>
      <c r="S47" s="1" t="b">
        <f>AND(P_Dennery_North!G36,"AAAAAG/z3hI=")</f>
        <v>0</v>
      </c>
      <c r="T47" s="1" t="b">
        <f>AND(P_Dennery_North!H36,"AAAAAG/z3hM=")</f>
        <v>0</v>
      </c>
      <c r="U47" s="1" t="b">
        <f>AND(P_Dennery_North!I36,"AAAAAG/z3hQ=")</f>
        <v>1</v>
      </c>
      <c r="V47" s="1" t="b">
        <f>AND(P_Dennery_North!J36,"AAAAAG/z3hU=")</f>
        <v>1</v>
      </c>
      <c r="W47" s="1" t="b">
        <f>AND(P_Dennery_North!K36,"AAAAAG/z3hY=")</f>
        <v>1</v>
      </c>
      <c r="X47" s="1" t="b">
        <f>AND(P_Dennery_North!L36,"AAAAAG/z3hc=")</f>
        <v>1</v>
      </c>
      <c r="Y47" s="1">
        <f>IF(P_Dennery_North!37:37,"AAAAAG/z3hg=",0)</f>
        <v>0</v>
      </c>
      <c r="Z47" s="1" t="e">
        <f>AND(P_Dennery_North!A37,"AAAAAG/z3hk=")</f>
        <v>#VALUE!</v>
      </c>
      <c r="AA47" s="1" t="b">
        <f>AND(P_Dennery_North!B37,"AAAAAG/z3ho=")</f>
        <v>1</v>
      </c>
      <c r="AB47" s="1" t="b">
        <f>AND(P_Dennery_North!C37,"AAAAAG/z3hs=")</f>
        <v>1</v>
      </c>
      <c r="AC47" s="1" t="b">
        <f>AND(P_Dennery_North!D37,"AAAAAG/z3hw=")</f>
        <v>1</v>
      </c>
      <c r="AD47" s="1" t="b">
        <f>AND(P_Dennery_North!E37,"AAAAAG/z3h0=")</f>
        <v>1</v>
      </c>
      <c r="AE47" s="1" t="b">
        <f>AND(P_Dennery_North!F37,"AAAAAG/z3h4=")</f>
        <v>1</v>
      </c>
      <c r="AF47" s="1" t="e">
        <f>AND(P_Dennery_North!#REF!,"AAAAAG/z3h8=")</f>
        <v>#REF!</v>
      </c>
      <c r="AG47" s="1" t="e">
        <f>AND(P_Dennery_North!#REF!,"AAAAAG/z3iA=")</f>
        <v>#REF!</v>
      </c>
      <c r="AH47" s="1" t="e">
        <f>AND(P_Dennery_North!#REF!,"AAAAAG/z3iE=")</f>
        <v>#REF!</v>
      </c>
      <c r="AI47" s="1" t="e">
        <f>AND(P_Dennery_North!#REF!,"AAAAAG/z3iI=")</f>
        <v>#REF!</v>
      </c>
      <c r="AJ47" s="1" t="e">
        <f>AND(P_Dennery_North!#REF!,"AAAAAG/z3iM=")</f>
        <v>#REF!</v>
      </c>
      <c r="AK47" s="1" t="e">
        <f>AND(P_Dennery_North!#REF!,"AAAAAG/z3iQ=")</f>
        <v>#REF!</v>
      </c>
      <c r="AL47" s="1" t="b">
        <f>AND(P_Dennery_North!G37,"AAAAAG/z3iU=")</f>
        <v>1</v>
      </c>
      <c r="AM47" s="1" t="b">
        <f>AND(P_Dennery_North!H37,"AAAAAG/z3iY=")</f>
        <v>1</v>
      </c>
      <c r="AN47" s="1" t="b">
        <f>AND(P_Dennery_North!I37,"AAAAAG/z3ic=")</f>
        <v>1</v>
      </c>
      <c r="AO47" s="1" t="b">
        <f>AND(P_Dennery_North!J37,"AAAAAG/z3ig=")</f>
        <v>1</v>
      </c>
      <c r="AP47" s="1" t="b">
        <f>AND(P_Dennery_North!K37,"AAAAAG/z3ik=")</f>
        <v>1</v>
      </c>
      <c r="AQ47" s="1" t="b">
        <f>AND(P_Dennery_North!L37,"AAAAAG/z3io=")</f>
        <v>1</v>
      </c>
      <c r="AR47" s="1" t="e">
        <f>IF(P_Dennery_North!#REF!,"AAAAAG/z3is=",0)</f>
        <v>#REF!</v>
      </c>
      <c r="AS47" s="1" t="e">
        <f>AND(P_Dennery_North!#REF!,"AAAAAG/z3iw=")</f>
        <v>#REF!</v>
      </c>
      <c r="AT47" s="1" t="e">
        <f>AND(P_Dennery_North!#REF!,"AAAAAG/z3i0=")</f>
        <v>#REF!</v>
      </c>
      <c r="AU47" s="1" t="e">
        <f>AND(P_Dennery_North!#REF!,"AAAAAG/z3i4=")</f>
        <v>#REF!</v>
      </c>
      <c r="AV47" s="1" t="e">
        <f>AND(P_Dennery_North!#REF!,"AAAAAG/z3i8=")</f>
        <v>#REF!</v>
      </c>
      <c r="AW47" s="1" t="e">
        <f>AND(P_Dennery_North!#REF!,"AAAAAG/z3jA=")</f>
        <v>#REF!</v>
      </c>
      <c r="AX47" s="1" t="e">
        <f>AND(P_Dennery_North!#REF!,"AAAAAG/z3jE=")</f>
        <v>#REF!</v>
      </c>
      <c r="AY47" s="1" t="e">
        <f>AND(P_Dennery_North!#REF!,"AAAAAG/z3jI=")</f>
        <v>#REF!</v>
      </c>
      <c r="AZ47" s="1" t="e">
        <f>AND(P_Dennery_North!#REF!,"AAAAAG/z3jM=")</f>
        <v>#REF!</v>
      </c>
      <c r="BA47" s="1" t="e">
        <f>AND(P_Dennery_North!#REF!,"AAAAAG/z3jQ=")</f>
        <v>#REF!</v>
      </c>
      <c r="BB47" s="1" t="e">
        <f>AND(P_Dennery_North!#REF!,"AAAAAG/z3jU=")</f>
        <v>#REF!</v>
      </c>
      <c r="BC47" s="1" t="e">
        <f>AND(P_Dennery_North!#REF!,"AAAAAG/z3jY=")</f>
        <v>#REF!</v>
      </c>
      <c r="BD47" s="1" t="e">
        <f>AND(P_Dennery_North!#REF!,"AAAAAG/z3jc=")</f>
        <v>#REF!</v>
      </c>
      <c r="BE47" s="1" t="e">
        <f>AND(P_Dennery_North!#REF!,"AAAAAG/z3jg=")</f>
        <v>#REF!</v>
      </c>
      <c r="BF47" s="1" t="e">
        <f>AND(P_Dennery_North!#REF!,"AAAAAG/z3jk=")</f>
        <v>#REF!</v>
      </c>
      <c r="BG47" s="1" t="e">
        <f>AND(P_Dennery_North!#REF!,"AAAAAG/z3jo=")</f>
        <v>#REF!</v>
      </c>
      <c r="BH47" s="1" t="e">
        <f>AND(P_Dennery_North!#REF!,"AAAAAG/z3js=")</f>
        <v>#REF!</v>
      </c>
      <c r="BI47" s="1" t="e">
        <f>AND(P_Dennery_North!#REF!,"AAAAAG/z3jw=")</f>
        <v>#REF!</v>
      </c>
      <c r="BJ47" s="1" t="e">
        <f>AND(P_Dennery_North!#REF!,"AAAAAG/z3j0=")</f>
        <v>#REF!</v>
      </c>
      <c r="BK47" s="1">
        <f>IF(P_Dennery_North!38:38,"AAAAAG/z3j4=",0)</f>
        <v>0</v>
      </c>
      <c r="BL47" s="1" t="e">
        <f>AND(P_Dennery_North!A38,"AAAAAG/z3j8=")</f>
        <v>#VALUE!</v>
      </c>
      <c r="BM47" s="1" t="b">
        <f>AND(P_Dennery_North!B38,"AAAAAG/z3kA=")</f>
        <v>1</v>
      </c>
      <c r="BN47" s="1" t="b">
        <f>AND(P_Dennery_North!C38,"AAAAAG/z3kE=")</f>
        <v>1</v>
      </c>
      <c r="BO47" s="1" t="b">
        <f>AND(P_Dennery_North!D38,"AAAAAG/z3kI=")</f>
        <v>1</v>
      </c>
      <c r="BP47" s="1" t="b">
        <f>AND(P_Dennery_North!E38,"AAAAAG/z3kM=")</f>
        <v>1</v>
      </c>
      <c r="BQ47" s="1" t="b">
        <f>AND(P_Dennery_North!F38,"AAAAAG/z3kQ=")</f>
        <v>1</v>
      </c>
      <c r="BR47" s="1" t="e">
        <f>AND(P_Dennery_North!#REF!,"AAAAAG/z3kU=")</f>
        <v>#REF!</v>
      </c>
      <c r="BS47" s="1" t="e">
        <f>AND(P_Dennery_North!#REF!,"AAAAAG/z3kY=")</f>
        <v>#REF!</v>
      </c>
      <c r="BT47" s="1" t="e">
        <f>AND(P_Dennery_North!#REF!,"AAAAAG/z3kc=")</f>
        <v>#REF!</v>
      </c>
      <c r="BU47" s="1" t="e">
        <f>AND(P_Dennery_North!#REF!,"AAAAAG/z3kg=")</f>
        <v>#REF!</v>
      </c>
      <c r="BV47" s="1" t="e">
        <f>AND(P_Dennery_North!#REF!,"AAAAAG/z3kk=")</f>
        <v>#REF!</v>
      </c>
      <c r="BW47" s="1" t="e">
        <f>AND(P_Dennery_North!#REF!,"AAAAAG/z3ko=")</f>
        <v>#REF!</v>
      </c>
      <c r="BX47" s="1" t="b">
        <f>AND(P_Dennery_North!G38,"AAAAAG/z3ks=")</f>
        <v>1</v>
      </c>
      <c r="BY47" s="1" t="b">
        <f>AND(P_Dennery_North!H38,"AAAAAG/z3kw=")</f>
        <v>1</v>
      </c>
      <c r="BZ47" s="1" t="b">
        <f>AND(P_Dennery_North!I38,"AAAAAG/z3k0=")</f>
        <v>1</v>
      </c>
      <c r="CA47" s="1" t="b">
        <f>AND(P_Dennery_North!J38,"AAAAAG/z3k4=")</f>
        <v>1</v>
      </c>
      <c r="CB47" s="1" t="b">
        <f>AND(P_Dennery_North!K38,"AAAAAG/z3k8=")</f>
        <v>1</v>
      </c>
      <c r="CC47" s="1" t="b">
        <f>AND(P_Dennery_North!L38,"AAAAAG/z3lA=")</f>
        <v>1</v>
      </c>
      <c r="CD47" s="1">
        <f>IF(P_Dennery_North!A:A,"AAAAAG/z3lE=",0)</f>
        <v>0</v>
      </c>
      <c r="CE47" s="1">
        <f>IF(P_Dennery_North!B:B,"AAAAAG/z3lI=",0)</f>
        <v>0</v>
      </c>
      <c r="CF47" s="1">
        <f>IF(P_Dennery_North!C:C,"AAAAAG/z3lM=",0)</f>
        <v>0</v>
      </c>
      <c r="CG47" s="1">
        <f>IF(P_Dennery_North!D:D,"AAAAAG/z3lQ=",0)</f>
        <v>0</v>
      </c>
      <c r="CH47" s="1">
        <f>IF(P_Dennery_North!E:E,"AAAAAG/z3lU=",0)</f>
        <v>0</v>
      </c>
      <c r="CI47" s="1">
        <f>IF(P_Dennery_North!F:F,"AAAAAG/z3lY=",0)</f>
        <v>0</v>
      </c>
      <c r="CJ47" s="1" t="e">
        <f>IF(P_Dennery_North!#REF!,"AAAAAG/z3lc=",0)</f>
        <v>#REF!</v>
      </c>
      <c r="CK47" s="1" t="e">
        <f>IF(P_Dennery_North!#REF!,"AAAAAG/z3lg=",0)</f>
        <v>#REF!</v>
      </c>
      <c r="CL47" s="1" t="e">
        <f>IF(P_Dennery_North!#REF!,"AAAAAG/z3lk=",0)</f>
        <v>#REF!</v>
      </c>
      <c r="CM47" s="1" t="e">
        <f>IF(P_Dennery_North!#REF!,"AAAAAG/z3lo=",0)</f>
        <v>#REF!</v>
      </c>
      <c r="CN47" s="1" t="e">
        <f>IF(P_Dennery_North!#REF!,"AAAAAG/z3ls=",0)</f>
        <v>#REF!</v>
      </c>
      <c r="CO47" s="1" t="e">
        <f>IF(P_Dennery_North!#REF!,"AAAAAG/z3lw=",0)</f>
        <v>#REF!</v>
      </c>
      <c r="CP47" s="1">
        <f>IF(P_Dennery_North!G:G,"AAAAAG/z3l0=",0)</f>
        <v>0</v>
      </c>
      <c r="CQ47" s="1">
        <f>IF(P_Dennery_North!H:H,"AAAAAG/z3l4=",0)</f>
        <v>0</v>
      </c>
      <c r="CR47" s="1">
        <f>IF(P_Dennery_North!I:I,"AAAAAG/z3l8=",0)</f>
        <v>0</v>
      </c>
      <c r="CS47" s="1">
        <f>IF(P_Dennery_North!J:J,"AAAAAG/z3mA=",0)</f>
        <v>0</v>
      </c>
      <c r="CT47" s="1">
        <f>IF(P_Dennery_North!K:K,"AAAAAG/z3mE=",0)</f>
        <v>0</v>
      </c>
      <c r="CU47" s="1">
        <f>IF(P_Dennery_North!L:L,"AAAAAG/z3mI=",0)</f>
        <v>0</v>
      </c>
      <c r="CV47" s="1">
        <f>IF(Q_Castries_South_East!2:2,"AAAAAG/z3mM=",0)</f>
        <v>0</v>
      </c>
      <c r="CW47" s="1" t="e">
        <f>AND(Q_Castries_South_East!A2,"AAAAAG/z3mQ=")</f>
        <v>#VALUE!</v>
      </c>
      <c r="CX47" s="1" t="e">
        <f>AND(Q_Castries_South_East!B2,"AAAAAG/z3mU=")</f>
        <v>#VALUE!</v>
      </c>
      <c r="CY47" s="1" t="e">
        <f>AND(Q_Castries_South_East!C2,"AAAAAG/z3mY=")</f>
        <v>#VALUE!</v>
      </c>
      <c r="CZ47" s="1" t="e">
        <f>AND(Q_Castries_South_East!D2,"AAAAAG/z3mc=")</f>
        <v>#VALUE!</v>
      </c>
      <c r="DA47" s="1" t="e">
        <f>AND(Q_Castries_South_East!E2,"AAAAAG/z3mg=")</f>
        <v>#VALUE!</v>
      </c>
      <c r="DB47" s="1" t="e">
        <f>AND(Q_Castries_South_East!F2,"AAAAAG/z3mk=")</f>
        <v>#VALUE!</v>
      </c>
      <c r="DC47" s="1" t="e">
        <f>AND(Q_Castries_South_East!G2,"AAAAAG/z3mo=")</f>
        <v>#VALUE!</v>
      </c>
      <c r="DD47" s="1" t="e">
        <f>AND(Q_Castries_South_East!H2,"AAAAAG/z3ms=")</f>
        <v>#VALUE!</v>
      </c>
      <c r="DE47" s="1" t="e">
        <f>AND(Q_Castries_South_East!I2,"AAAAAG/z3mw=")</f>
        <v>#VALUE!</v>
      </c>
      <c r="DF47" s="1" t="e">
        <f>AND(Q_Castries_South_East!J2,"AAAAAG/z3m0=")</f>
        <v>#VALUE!</v>
      </c>
      <c r="DG47" s="1" t="e">
        <f>AND(Q_Castries_South_East!K2,"AAAAAG/z3m4=")</f>
        <v>#VALUE!</v>
      </c>
      <c r="DH47" s="1" t="e">
        <f>AND(Q_Castries_South_East!L2,"AAAAAG/z3m8=")</f>
        <v>#VALUE!</v>
      </c>
      <c r="DI47" s="1">
        <f>IF(Q_Castries_South_East!3:3,"AAAAAG/z3nA=",0)</f>
        <v>0</v>
      </c>
      <c r="DJ47" s="1" t="e">
        <f>AND(Q_Castries_South_East!#REF!,"AAAAAG/z3nE=")</f>
        <v>#REF!</v>
      </c>
      <c r="DK47" s="1" t="e">
        <f>AND(Q_Castries_South_East!A3,"AAAAAG/z3nI=")</f>
        <v>#VALUE!</v>
      </c>
      <c r="DL47" s="1" t="e">
        <f>AND(Q_Castries_South_East!C3,"AAAAAG/z3nM=")</f>
        <v>#VALUE!</v>
      </c>
      <c r="DM47" s="1" t="e">
        <f>AND(Q_Castries_South_East!D3,"AAAAAG/z3nQ=")</f>
        <v>#VALUE!</v>
      </c>
      <c r="DN47" s="1" t="e">
        <f>AND(Q_Castries_South_East!E3,"AAAAAG/z3nU=")</f>
        <v>#VALUE!</v>
      </c>
      <c r="DO47" s="1" t="e">
        <f>AND(Q_Castries_South_East!F3,"AAAAAG/z3nY=")</f>
        <v>#VALUE!</v>
      </c>
      <c r="DP47" s="1" t="e">
        <f>AND(Q_Castries_South_East!G3,"AAAAAG/z3nc=")</f>
        <v>#VALUE!</v>
      </c>
      <c r="DQ47" s="1" t="e">
        <f>AND(Q_Castries_South_East!H3,"AAAAAG/z3ng=")</f>
        <v>#VALUE!</v>
      </c>
      <c r="DR47" s="1" t="e">
        <f>AND(Q_Castries_South_East!I3,"AAAAAG/z3nk=")</f>
        <v>#VALUE!</v>
      </c>
      <c r="DS47" s="1" t="e">
        <f>AND(Q_Castries_South_East!J3,"AAAAAG/z3no=")</f>
        <v>#VALUE!</v>
      </c>
      <c r="DT47" s="1" t="e">
        <f>AND(Q_Castries_South_East!K3,"AAAAAG/z3ns=")</f>
        <v>#VALUE!</v>
      </c>
      <c r="DU47" s="1" t="e">
        <f>AND(Q_Castries_South_East!L3,"AAAAAG/z3nw=")</f>
        <v>#VALUE!</v>
      </c>
      <c r="DV47" s="1">
        <f>IF(Q_Castries_South_East!4:4,"AAAAAG/z3n0=",0)</f>
        <v>0</v>
      </c>
      <c r="DW47" s="1" t="e">
        <f>AND(Q_Castries_South_East!A4,"AAAAAG/z3n4=")</f>
        <v>#VALUE!</v>
      </c>
      <c r="DX47" s="1" t="b">
        <f>AND(Q_Castries_South_East!B4,"AAAAAG/z3n8=")</f>
        <v>1</v>
      </c>
      <c r="DY47" s="1" t="b">
        <f>AND(Q_Castries_South_East!C4,"AAAAAG/z3oA=")</f>
        <v>1</v>
      </c>
      <c r="DZ47" s="1" t="b">
        <f>AND(Q_Castries_South_East!D4,"AAAAAG/z3oE=")</f>
        <v>1</v>
      </c>
      <c r="EA47" s="1" t="b">
        <f>AND(Q_Castries_South_East!E4,"AAAAAG/z3oI=")</f>
        <v>1</v>
      </c>
      <c r="EB47" s="1" t="b">
        <f>AND(Q_Castries_South_East!F4,"AAAAAG/z3oM=")</f>
        <v>1</v>
      </c>
      <c r="EC47" s="1" t="b">
        <f>AND(Q_Castries_South_East!G4,"AAAAAG/z3oQ=")</f>
        <v>1</v>
      </c>
      <c r="ED47" s="1" t="b">
        <f>AND(Q_Castries_South_East!H4,"AAAAAG/z3oU=")</f>
        <v>1</v>
      </c>
      <c r="EE47" s="1" t="b">
        <f>AND(Q_Castries_South_East!I4,"AAAAAG/z3oY=")</f>
        <v>1</v>
      </c>
      <c r="EF47" s="1" t="b">
        <f>AND(Q_Castries_South_East!J4,"AAAAAG/z3oc=")</f>
        <v>1</v>
      </c>
      <c r="EG47" s="1" t="b">
        <f>AND(Q_Castries_South_East!K4,"AAAAAG/z3og=")</f>
        <v>1</v>
      </c>
      <c r="EH47" s="1" t="b">
        <f>AND(Q_Castries_South_East!L4,"AAAAAG/z3ok=")</f>
        <v>1</v>
      </c>
      <c r="EI47" s="1">
        <f>IF(Q_Castries_South_East!5:5,"AAAAAG/z3oo=",0)</f>
        <v>0</v>
      </c>
      <c r="EJ47" s="1" t="e">
        <f>AND(Q_Castries_South_East!A5,"AAAAAG/z3os=")</f>
        <v>#VALUE!</v>
      </c>
      <c r="EK47" s="1" t="e">
        <f>AND(Q_Castries_South_East!B5,"AAAAAG/z3ow=")</f>
        <v>#VALUE!</v>
      </c>
      <c r="EL47" s="1" t="e">
        <f>AND(Q_Castries_South_East!C5,"AAAAAG/z3o0=")</f>
        <v>#VALUE!</v>
      </c>
      <c r="EM47" s="1" t="e">
        <f>AND(Q_Castries_South_East!D5,"AAAAAG/z3o4=")</f>
        <v>#VALUE!</v>
      </c>
      <c r="EN47" s="1" t="e">
        <f>AND(Q_Castries_South_East!E5,"AAAAAG/z3o8=")</f>
        <v>#VALUE!</v>
      </c>
      <c r="EO47" s="1" t="e">
        <f>AND(Q_Castries_South_East!F5,"AAAAAG/z3pA=")</f>
        <v>#VALUE!</v>
      </c>
      <c r="EP47" s="1" t="e">
        <f>AND(Q_Castries_South_East!G5,"AAAAAG/z3pE=")</f>
        <v>#VALUE!</v>
      </c>
      <c r="EQ47" s="1" t="e">
        <f>AND(Q_Castries_South_East!H5,"AAAAAG/z3pI=")</f>
        <v>#VALUE!</v>
      </c>
      <c r="ER47" s="1" t="e">
        <f>AND(Q_Castries_South_East!I5,"AAAAAG/z3pM=")</f>
        <v>#VALUE!</v>
      </c>
      <c r="ES47" s="1" t="e">
        <f>AND(Q_Castries_South_East!J5,"AAAAAG/z3pQ=")</f>
        <v>#VALUE!</v>
      </c>
      <c r="ET47" s="1" t="e">
        <f>AND(Q_Castries_South_East!K5,"AAAAAG/z3pU=")</f>
        <v>#VALUE!</v>
      </c>
      <c r="EU47" s="1" t="e">
        <f>AND(Q_Castries_South_East!L5,"AAAAAG/z3pY=")</f>
        <v>#VALUE!</v>
      </c>
      <c r="EV47" s="1" t="e">
        <f t="shared" ref="EV47:FH47" si="20">IF(Q_Castries_South_East!#REF!,"AAAAAG/z3pc=",0)</f>
        <v>#REF!</v>
      </c>
      <c r="EW47" s="1" t="e">
        <f t="shared" si="20"/>
        <v>#REF!</v>
      </c>
      <c r="EX47" s="1" t="e">
        <f t="shared" si="20"/>
        <v>#REF!</v>
      </c>
      <c r="EY47" s="1" t="e">
        <f t="shared" si="20"/>
        <v>#REF!</v>
      </c>
      <c r="EZ47" s="1" t="e">
        <f t="shared" si="20"/>
        <v>#REF!</v>
      </c>
      <c r="FA47" s="1" t="e">
        <f t="shared" si="20"/>
        <v>#REF!</v>
      </c>
      <c r="FB47" s="1" t="e">
        <f t="shared" si="20"/>
        <v>#REF!</v>
      </c>
      <c r="FC47" s="1" t="e">
        <f t="shared" si="20"/>
        <v>#REF!</v>
      </c>
      <c r="FD47" s="1" t="e">
        <f t="shared" si="20"/>
        <v>#REF!</v>
      </c>
      <c r="FE47" s="1" t="e">
        <f t="shared" si="20"/>
        <v>#REF!</v>
      </c>
      <c r="FF47" s="1" t="e">
        <f t="shared" si="20"/>
        <v>#REF!</v>
      </c>
      <c r="FG47" s="1" t="e">
        <f t="shared" si="20"/>
        <v>#REF!</v>
      </c>
      <c r="FH47" s="1" t="e">
        <f t="shared" si="20"/>
        <v>#REF!</v>
      </c>
      <c r="FI47" s="1">
        <f>IF(Q_Castries_South_East!6:6,"AAAAAG/z3qQ=",0)</f>
        <v>0</v>
      </c>
      <c r="FJ47" s="1" t="e">
        <f>AND(Q_Castries_South_East!A6,"AAAAAG/z3qU=")</f>
        <v>#VALUE!</v>
      </c>
      <c r="FK47" s="1" t="b">
        <f>AND(Q_Castries_South_East!B6,"AAAAAG/z3qY=")</f>
        <v>1</v>
      </c>
      <c r="FL47" s="1" t="b">
        <f>AND(Q_Castries_South_East!C6,"AAAAAG/z3qc=")</f>
        <v>1</v>
      </c>
      <c r="FM47" s="1" t="b">
        <f>AND(Q_Castries_South_East!D6,"AAAAAG/z3qg=")</f>
        <v>1</v>
      </c>
      <c r="FN47" s="1" t="b">
        <f>AND(Q_Castries_South_East!E6,"AAAAAG/z3qk=")</f>
        <v>1</v>
      </c>
      <c r="FO47" s="1" t="b">
        <f>AND(Q_Castries_South_East!F6,"AAAAAG/z3qo=")</f>
        <v>1</v>
      </c>
      <c r="FP47" s="1" t="b">
        <f>AND(Q_Castries_South_East!G6,"AAAAAG/z3qs=")</f>
        <v>1</v>
      </c>
      <c r="FQ47" s="1" t="b">
        <f>AND(Q_Castries_South_East!H6,"AAAAAG/z3qw=")</f>
        <v>1</v>
      </c>
      <c r="FR47" s="1" t="b">
        <f>AND(Q_Castries_South_East!I6,"AAAAAG/z3q0=")</f>
        <v>1</v>
      </c>
      <c r="FS47" s="1" t="b">
        <f>AND(Q_Castries_South_East!J6,"AAAAAG/z3q4=")</f>
        <v>1</v>
      </c>
      <c r="FT47" s="1" t="b">
        <f>AND(Q_Castries_South_East!K6,"AAAAAG/z3q8=")</f>
        <v>1</v>
      </c>
      <c r="FU47" s="1" t="b">
        <f>AND(Q_Castries_South_East!L6,"AAAAAG/z3rA=")</f>
        <v>1</v>
      </c>
      <c r="FV47" s="1">
        <f>IF(Q_Castries_South_East!7:7,"AAAAAG/z3rE=",0)</f>
        <v>0</v>
      </c>
      <c r="FW47" s="1" t="e">
        <f>AND(Q_Castries_South_East!A7,"AAAAAG/z3rI=")</f>
        <v>#VALUE!</v>
      </c>
      <c r="FX47" s="1" t="b">
        <f>AND(Q_Castries_South_East!B7,"AAAAAG/z3rM=")</f>
        <v>1</v>
      </c>
      <c r="FY47" s="1" t="b">
        <f>AND(Q_Castries_South_East!C7,"AAAAAG/z3rQ=")</f>
        <v>1</v>
      </c>
      <c r="FZ47" s="1" t="b">
        <f>AND(Q_Castries_South_East!D7,"AAAAAG/z3rU=")</f>
        <v>1</v>
      </c>
      <c r="GA47" s="1" t="b">
        <f>AND(Q_Castries_South_East!E7,"AAAAAG/z3rY=")</f>
        <v>1</v>
      </c>
      <c r="GB47" s="1" t="b">
        <f>AND(Q_Castries_South_East!F7,"AAAAAG/z3rc=")</f>
        <v>1</v>
      </c>
      <c r="GC47" s="1" t="b">
        <f>AND(Q_Castries_South_East!G7,"AAAAAG/z3rg=")</f>
        <v>1</v>
      </c>
      <c r="GD47" s="1" t="b">
        <f>AND(Q_Castries_South_East!H7,"AAAAAG/z3rk=")</f>
        <v>1</v>
      </c>
      <c r="GE47" s="1" t="b">
        <f>AND(Q_Castries_South_East!I7,"AAAAAG/z3ro=")</f>
        <v>1</v>
      </c>
      <c r="GF47" s="1" t="b">
        <f>AND(Q_Castries_South_East!J7,"AAAAAG/z3rs=")</f>
        <v>1</v>
      </c>
      <c r="GG47" s="1" t="b">
        <f>AND(Q_Castries_South_East!K7,"AAAAAG/z3rw=")</f>
        <v>1</v>
      </c>
      <c r="GH47" s="1" t="b">
        <f>AND(Q_Castries_South_East!L7,"AAAAAG/z3r0=")</f>
        <v>1</v>
      </c>
      <c r="GI47" s="1">
        <f>IF(Q_Castries_South_East!8:8,"AAAAAG/z3r4=",0)</f>
        <v>0</v>
      </c>
      <c r="GJ47" s="1" t="e">
        <f>AND(Q_Castries_South_East!A8,"AAAAAG/z3r8=")</f>
        <v>#VALUE!</v>
      </c>
      <c r="GK47" s="1" t="b">
        <f>AND(Q_Castries_South_East!B8,"AAAAAG/z3sA=")</f>
        <v>1</v>
      </c>
      <c r="GL47" s="1" t="b">
        <f>AND(Q_Castries_South_East!C8,"AAAAAG/z3sE=")</f>
        <v>1</v>
      </c>
      <c r="GM47" s="1" t="b">
        <f>AND(Q_Castries_South_East!D8,"AAAAAG/z3sI=")</f>
        <v>1</v>
      </c>
      <c r="GN47" s="1" t="b">
        <f>AND(Q_Castries_South_East!E8,"AAAAAG/z3sM=")</f>
        <v>1</v>
      </c>
      <c r="GO47" s="1" t="b">
        <f>AND(Q_Castries_South_East!F8,"AAAAAG/z3sQ=")</f>
        <v>1</v>
      </c>
      <c r="GP47" s="1" t="b">
        <f>AND(Q_Castries_South_East!G8,"AAAAAG/z3sU=")</f>
        <v>1</v>
      </c>
      <c r="GQ47" s="1" t="b">
        <f>AND(Q_Castries_South_East!H8,"AAAAAG/z3sY=")</f>
        <v>1</v>
      </c>
      <c r="GR47" s="1" t="b">
        <f>AND(Q_Castries_South_East!I8,"AAAAAG/z3sc=")</f>
        <v>1</v>
      </c>
      <c r="GS47" s="1" t="b">
        <f>AND(Q_Castries_South_East!J8,"AAAAAG/z3sg=")</f>
        <v>1</v>
      </c>
      <c r="GT47" s="1" t="b">
        <f>AND(Q_Castries_South_East!K8,"AAAAAG/z3sk=")</f>
        <v>1</v>
      </c>
      <c r="GU47" s="1" t="b">
        <f>AND(Q_Castries_South_East!L8,"AAAAAG/z3so=")</f>
        <v>1</v>
      </c>
      <c r="GV47" s="1">
        <f>IF(Q_Castries_South_East!9:9,"AAAAAG/z3ss=",0)</f>
        <v>0</v>
      </c>
      <c r="GW47" s="1" t="e">
        <f>AND(Q_Castries_South_East!A9,"AAAAAG/z3sw=")</f>
        <v>#VALUE!</v>
      </c>
      <c r="GX47" s="1" t="b">
        <f>AND(Q_Castries_South_East!B9,"AAAAAG/z3s0=")</f>
        <v>1</v>
      </c>
      <c r="GY47" s="1" t="b">
        <f>AND(Q_Castries_South_East!C9,"AAAAAG/z3s4=")</f>
        <v>1</v>
      </c>
      <c r="GZ47" s="1" t="b">
        <f>AND(Q_Castries_South_East!D9,"AAAAAG/z3s8=")</f>
        <v>1</v>
      </c>
      <c r="HA47" s="1" t="b">
        <f>AND(Q_Castries_South_East!E9,"AAAAAG/z3tA=")</f>
        <v>1</v>
      </c>
      <c r="HB47" s="1" t="b">
        <f>AND(Q_Castries_South_East!F9,"AAAAAG/z3tE=")</f>
        <v>1</v>
      </c>
      <c r="HC47" s="1" t="b">
        <f>AND(Q_Castries_South_East!G9,"AAAAAG/z3tI=")</f>
        <v>1</v>
      </c>
      <c r="HD47" s="1" t="b">
        <f>AND(Q_Castries_South_East!H9,"AAAAAG/z3tM=")</f>
        <v>1</v>
      </c>
      <c r="HE47" s="1" t="b">
        <f>AND(Q_Castries_South_East!I9,"AAAAAG/z3tQ=")</f>
        <v>1</v>
      </c>
      <c r="HF47" s="1" t="b">
        <f>AND(Q_Castries_South_East!J9,"AAAAAG/z3tU=")</f>
        <v>1</v>
      </c>
      <c r="HG47" s="1" t="b">
        <f>AND(Q_Castries_South_East!K9,"AAAAAG/z3tY=")</f>
        <v>1</v>
      </c>
      <c r="HH47" s="1" t="b">
        <f>AND(Q_Castries_South_East!L9,"AAAAAG/z3tc=")</f>
        <v>1</v>
      </c>
      <c r="HI47" s="1">
        <f>IF(Q_Castries_South_East!10:10,"AAAAAG/z3tg=",0)</f>
        <v>0</v>
      </c>
      <c r="HJ47" s="1" t="e">
        <f>AND(Q_Castries_South_East!A10,"AAAAAG/z3tk=")</f>
        <v>#VALUE!</v>
      </c>
      <c r="HK47" s="1" t="b">
        <f>AND(Q_Castries_South_East!B10,"AAAAAG/z3to=")</f>
        <v>1</v>
      </c>
      <c r="HL47" s="1" t="b">
        <f>AND(Q_Castries_South_East!C10,"AAAAAG/z3ts=")</f>
        <v>1</v>
      </c>
      <c r="HM47" s="1" t="b">
        <f>AND(Q_Castries_South_East!D10,"AAAAAG/z3tw=")</f>
        <v>1</v>
      </c>
      <c r="HN47" s="1" t="b">
        <f>AND(Q_Castries_South_East!E10,"AAAAAG/z3t0=")</f>
        <v>1</v>
      </c>
      <c r="HO47" s="1" t="b">
        <f>AND(Q_Castries_South_East!F10,"AAAAAG/z3t4=")</f>
        <v>1</v>
      </c>
      <c r="HP47" s="1" t="b">
        <f>AND(Q_Castries_South_East!G10,"AAAAAG/z3t8=")</f>
        <v>1</v>
      </c>
      <c r="HQ47" s="1" t="b">
        <f>AND(Q_Castries_South_East!H10,"AAAAAG/z3uA=")</f>
        <v>1</v>
      </c>
      <c r="HR47" s="1" t="b">
        <f>AND(Q_Castries_South_East!I10,"AAAAAG/z3uE=")</f>
        <v>1</v>
      </c>
      <c r="HS47" s="1" t="b">
        <f>AND(Q_Castries_South_East!J10,"AAAAAG/z3uI=")</f>
        <v>1</v>
      </c>
      <c r="HT47" s="1" t="b">
        <f>AND(Q_Castries_South_East!K10,"AAAAAG/z3uM=")</f>
        <v>1</v>
      </c>
      <c r="HU47" s="1" t="b">
        <f>AND(Q_Castries_South_East!L10,"AAAAAG/z3uQ=")</f>
        <v>1</v>
      </c>
      <c r="HV47" s="1">
        <f>IF(Q_Castries_South_East!11:11,"AAAAAG/z3uU=",0)</f>
        <v>0</v>
      </c>
      <c r="HW47" s="1" t="e">
        <f>AND(Q_Castries_South_East!A11,"AAAAAG/z3uY=")</f>
        <v>#VALUE!</v>
      </c>
      <c r="HX47" s="1" t="b">
        <f>AND(Q_Castries_South_East!B11,"AAAAAG/z3uc=")</f>
        <v>1</v>
      </c>
      <c r="HY47" s="1" t="b">
        <f>AND(Q_Castries_South_East!C11,"AAAAAG/z3ug=")</f>
        <v>1</v>
      </c>
      <c r="HZ47" s="1" t="b">
        <f>AND(Q_Castries_South_East!D11,"AAAAAG/z3uk=")</f>
        <v>1</v>
      </c>
      <c r="IA47" s="1" t="b">
        <f>AND(Q_Castries_South_East!E11,"AAAAAG/z3uo=")</f>
        <v>1</v>
      </c>
      <c r="IB47" s="1" t="b">
        <f>AND(Q_Castries_South_East!F11,"AAAAAG/z3us=")</f>
        <v>1</v>
      </c>
      <c r="IC47" s="1" t="b">
        <f>AND(Q_Castries_South_East!G11,"AAAAAG/z3uw=")</f>
        <v>1</v>
      </c>
      <c r="ID47" s="1" t="b">
        <f>AND(Q_Castries_South_East!H11,"AAAAAG/z3u0=")</f>
        <v>1</v>
      </c>
      <c r="IE47" s="1" t="b">
        <f>AND(Q_Castries_South_East!I11,"AAAAAG/z3u4=")</f>
        <v>1</v>
      </c>
      <c r="IF47" s="1" t="b">
        <f>AND(Q_Castries_South_East!J11,"AAAAAG/z3u8=")</f>
        <v>1</v>
      </c>
      <c r="IG47" s="1" t="b">
        <f>AND(Q_Castries_South_East!K11,"AAAAAG/z3vA=")</f>
        <v>1</v>
      </c>
      <c r="IH47" s="1" t="b">
        <f>AND(Q_Castries_South_East!L11,"AAAAAG/z3vE=")</f>
        <v>1</v>
      </c>
      <c r="II47" s="1" t="e">
        <f>IF(Q_Castries_South_East!#REF!,"AAAAAG/z3vI=",0)</f>
        <v>#REF!</v>
      </c>
      <c r="IJ47" s="1" t="e">
        <f>AND(Q_Castries_South_East!#REF!,"AAAAAG/z3vM=")</f>
        <v>#REF!</v>
      </c>
      <c r="IK47" s="1" t="e">
        <f>AND(Q_Castries_South_East!#REF!,"AAAAAG/z3vQ=")</f>
        <v>#REF!</v>
      </c>
      <c r="IL47" s="1" t="e">
        <f>AND(Q_Castries_South_East!#REF!,"AAAAAG/z3vU=")</f>
        <v>#REF!</v>
      </c>
      <c r="IM47" s="1" t="e">
        <f>AND(Q_Castries_South_East!#REF!,"AAAAAG/z3vY=")</f>
        <v>#REF!</v>
      </c>
      <c r="IN47" s="1" t="e">
        <f>AND(Q_Castries_South_East!#REF!,"AAAAAG/z3vc=")</f>
        <v>#REF!</v>
      </c>
      <c r="IO47" s="1" t="e">
        <f>AND(Q_Castries_South_East!#REF!,"AAAAAG/z3vg=")</f>
        <v>#REF!</v>
      </c>
      <c r="IP47" s="1" t="e">
        <f>AND(Q_Castries_South_East!#REF!,"AAAAAG/z3vk=")</f>
        <v>#REF!</v>
      </c>
      <c r="IQ47" s="1" t="e">
        <f>AND(Q_Castries_South_East!#REF!,"AAAAAG/z3vo=")</f>
        <v>#REF!</v>
      </c>
      <c r="IR47" s="1" t="e">
        <f>AND(Q_Castries_South_East!#REF!,"AAAAAG/z3vs=")</f>
        <v>#REF!</v>
      </c>
      <c r="IS47" s="1" t="e">
        <f>AND(Q_Castries_South_East!#REF!,"AAAAAG/z3vw=")</f>
        <v>#REF!</v>
      </c>
      <c r="IT47" s="1" t="e">
        <f>AND(Q_Castries_South_East!#REF!,"AAAAAG/z3v0=")</f>
        <v>#REF!</v>
      </c>
      <c r="IU47" s="1" t="e">
        <f>AND(Q_Castries_South_East!#REF!,"AAAAAG/z3v4=")</f>
        <v>#REF!</v>
      </c>
      <c r="IV47" s="1">
        <f>IF(Q_Castries_South_East!12:12,"AAAAAG/z3v8=",0)</f>
        <v>0</v>
      </c>
    </row>
    <row r="48" spans="1:256" ht="12" customHeight="1" x14ac:dyDescent="0.2">
      <c r="A48" s="1" t="e">
        <f>AND(Q_Castries_South_East!A12,"AAAAAHm7mQA=")</f>
        <v>#VALUE!</v>
      </c>
      <c r="B48" s="1" t="b">
        <f>AND(Q_Castries_South_East!B12,"AAAAAHm7mQE=")</f>
        <v>1</v>
      </c>
      <c r="C48" s="1" t="b">
        <f>AND(Q_Castries_South_East!C12,"AAAAAHm7mQI=")</f>
        <v>1</v>
      </c>
      <c r="D48" s="1" t="b">
        <f>AND(Q_Castries_South_East!D12,"AAAAAHm7mQM=")</f>
        <v>1</v>
      </c>
      <c r="E48" s="1" t="b">
        <f>AND(Q_Castries_South_East!E12,"AAAAAHm7mQQ=")</f>
        <v>1</v>
      </c>
      <c r="F48" s="1" t="b">
        <f>AND(Q_Castries_South_East!F12,"AAAAAHm7mQU=")</f>
        <v>1</v>
      </c>
      <c r="G48" s="1" t="b">
        <f>AND(Q_Castries_South_East!G12,"AAAAAHm7mQY=")</f>
        <v>1</v>
      </c>
      <c r="H48" s="1" t="b">
        <f>AND(Q_Castries_South_East!H12,"AAAAAHm7mQc=")</f>
        <v>1</v>
      </c>
      <c r="I48" s="1" t="b">
        <f>AND(Q_Castries_South_East!I12,"AAAAAHm7mQg=")</f>
        <v>1</v>
      </c>
      <c r="J48" s="1" t="b">
        <f>AND(Q_Castries_South_East!J12,"AAAAAHm7mQk=")</f>
        <v>1</v>
      </c>
      <c r="K48" s="1" t="b">
        <f>AND(Q_Castries_South_East!K12,"AAAAAHm7mQo=")</f>
        <v>1</v>
      </c>
      <c r="L48" s="1" t="b">
        <f>AND(Q_Castries_South_East!L12,"AAAAAHm7mQs=")</f>
        <v>1</v>
      </c>
      <c r="M48" s="1">
        <f>IF(Q_Castries_South_East!14:14,"AAAAAHm7mQw=",0)</f>
        <v>0</v>
      </c>
      <c r="N48" s="1" t="e">
        <f>AND(Q_Castries_South_East!A14,"AAAAAHm7mQ0=")</f>
        <v>#VALUE!</v>
      </c>
      <c r="O48" s="1" t="e">
        <f>AND(Q_Castries_South_East!B14,"AAAAAHm7mQ4=")</f>
        <v>#VALUE!</v>
      </c>
      <c r="P48" s="1" t="e">
        <f>AND(Q_Castries_South_East!C14,"AAAAAHm7mQ8=")</f>
        <v>#VALUE!</v>
      </c>
      <c r="Q48" s="1" t="e">
        <f>AND(Q_Castries_South_East!D14,"AAAAAHm7mRA=")</f>
        <v>#VALUE!</v>
      </c>
      <c r="R48" s="1" t="e">
        <f>AND(Q_Castries_South_East!E14,"AAAAAHm7mRE=")</f>
        <v>#VALUE!</v>
      </c>
      <c r="S48" s="1" t="e">
        <f>AND(Q_Castries_South_East!F14,"AAAAAHm7mRI=")</f>
        <v>#VALUE!</v>
      </c>
      <c r="T48" s="1" t="e">
        <f>AND(Q_Castries_South_East!G14,"AAAAAHm7mRM=")</f>
        <v>#VALUE!</v>
      </c>
      <c r="U48" s="1" t="e">
        <f>AND(Q_Castries_South_East!H14,"AAAAAHm7mRQ=")</f>
        <v>#VALUE!</v>
      </c>
      <c r="V48" s="1" t="e">
        <f>AND(Q_Castries_South_East!I14,"AAAAAHm7mRU=")</f>
        <v>#VALUE!</v>
      </c>
      <c r="W48" s="1" t="e">
        <f>AND(Q_Castries_South_East!J14,"AAAAAHm7mRY=")</f>
        <v>#VALUE!</v>
      </c>
      <c r="X48" s="1" t="e">
        <f>AND(Q_Castries_South_East!K14,"AAAAAHm7mRc=")</f>
        <v>#VALUE!</v>
      </c>
      <c r="Y48" s="1" t="e">
        <f>AND(Q_Castries_South_East!L14,"AAAAAHm7mRg=")</f>
        <v>#VALUE!</v>
      </c>
      <c r="Z48" s="1">
        <f>IF(Q_Castries_South_East!15:15,"AAAAAHm7mRk=",0)</f>
        <v>0</v>
      </c>
      <c r="AA48" s="1" t="e">
        <f>AND(Q_Castries_South_East!A15,"AAAAAHm7mRo=")</f>
        <v>#VALUE!</v>
      </c>
      <c r="AB48" s="1" t="b">
        <f>AND(Q_Castries_South_East!B15,"AAAAAHm7mRs=")</f>
        <v>1</v>
      </c>
      <c r="AC48" s="1" t="b">
        <f>AND(Q_Castries_South_East!C15,"AAAAAHm7mRw=")</f>
        <v>1</v>
      </c>
      <c r="AD48" s="1" t="b">
        <f>AND(Q_Castries_South_East!D15,"AAAAAHm7mR0=")</f>
        <v>1</v>
      </c>
      <c r="AE48" s="1" t="b">
        <f>AND(Q_Castries_South_East!E15,"AAAAAHm7mR4=")</f>
        <v>1</v>
      </c>
      <c r="AF48" s="1" t="b">
        <f>AND(Q_Castries_South_East!F15,"AAAAAHm7mR8=")</f>
        <v>1</v>
      </c>
      <c r="AG48" s="1" t="b">
        <f>AND(Q_Castries_South_East!G15,"AAAAAHm7mSA=")</f>
        <v>1</v>
      </c>
      <c r="AH48" s="1" t="b">
        <f>AND(Q_Castries_South_East!H15,"AAAAAHm7mSE=")</f>
        <v>1</v>
      </c>
      <c r="AI48" s="1" t="b">
        <f>AND(Q_Castries_South_East!I15,"AAAAAHm7mSI=")</f>
        <v>1</v>
      </c>
      <c r="AJ48" s="1" t="b">
        <f>AND(Q_Castries_South_East!J15,"AAAAAHm7mSM=")</f>
        <v>1</v>
      </c>
      <c r="AK48" s="1" t="b">
        <f>AND(Q_Castries_South_East!K15,"AAAAAHm7mSQ=")</f>
        <v>1</v>
      </c>
      <c r="AL48" s="1" t="b">
        <f>AND(Q_Castries_South_East!L15,"AAAAAHm7mSU=")</f>
        <v>1</v>
      </c>
      <c r="AM48" s="1">
        <f>IF(Q_Castries_South_East!16:16,"AAAAAHm7mSY=",0)</f>
        <v>0</v>
      </c>
      <c r="AN48" s="1" t="e">
        <f>AND(Q_Castries_South_East!A16,"AAAAAHm7mSc=")</f>
        <v>#VALUE!</v>
      </c>
      <c r="AO48" s="1" t="b">
        <f>AND(Q_Castries_South_East!B16,"AAAAAHm7mSg=")</f>
        <v>1</v>
      </c>
      <c r="AP48" s="1" t="b">
        <f>AND(Q_Castries_South_East!C16,"AAAAAHm7mSk=")</f>
        <v>1</v>
      </c>
      <c r="AQ48" s="1" t="b">
        <f>AND(Q_Castries_South_East!D16,"AAAAAHm7mSo=")</f>
        <v>1</v>
      </c>
      <c r="AR48" s="1" t="b">
        <f>AND(Q_Castries_South_East!E16,"AAAAAHm7mSs=")</f>
        <v>1</v>
      </c>
      <c r="AS48" s="1" t="b">
        <f>AND(Q_Castries_South_East!F16,"AAAAAHm7mSw=")</f>
        <v>1</v>
      </c>
      <c r="AT48" s="1" t="b">
        <f>AND(Q_Castries_South_East!G16,"AAAAAHm7mS0=")</f>
        <v>0</v>
      </c>
      <c r="AU48" s="1" t="b">
        <f>AND(Q_Castries_South_East!H16,"AAAAAHm7mS4=")</f>
        <v>0</v>
      </c>
      <c r="AV48" s="1" t="b">
        <f>AND(Q_Castries_South_East!I16,"AAAAAHm7mS8=")</f>
        <v>1</v>
      </c>
      <c r="AW48" s="1" t="b">
        <f>AND(Q_Castries_South_East!J16,"AAAAAHm7mTA=")</f>
        <v>1</v>
      </c>
      <c r="AX48" s="1" t="b">
        <f>AND(Q_Castries_South_East!K16,"AAAAAHm7mTE=")</f>
        <v>1</v>
      </c>
      <c r="AY48" s="1" t="b">
        <f>AND(Q_Castries_South_East!L16,"AAAAAHm7mTI=")</f>
        <v>1</v>
      </c>
      <c r="AZ48" s="1">
        <f>IF(Q_Castries_South_East!17:17,"AAAAAHm7mTM=",0)</f>
        <v>0</v>
      </c>
      <c r="BA48" s="1" t="e">
        <f>AND(Q_Castries_South_East!A17,"AAAAAHm7mTQ=")</f>
        <v>#VALUE!</v>
      </c>
      <c r="BB48" s="1" t="b">
        <f>AND(Q_Castries_South_East!B17,"AAAAAHm7mTU=")</f>
        <v>1</v>
      </c>
      <c r="BC48" s="1" t="b">
        <f>AND(Q_Castries_South_East!C17,"AAAAAHm7mTY=")</f>
        <v>1</v>
      </c>
      <c r="BD48" s="1" t="b">
        <f>AND(Q_Castries_South_East!D17,"AAAAAHm7mTc=")</f>
        <v>1</v>
      </c>
      <c r="BE48" s="1" t="b">
        <f>AND(Q_Castries_South_East!E17,"AAAAAHm7mTg=")</f>
        <v>1</v>
      </c>
      <c r="BF48" s="1" t="b">
        <f>AND(Q_Castries_South_East!F17,"AAAAAHm7mTk=")</f>
        <v>1</v>
      </c>
      <c r="BG48" s="1" t="b">
        <f>AND(Q_Castries_South_East!G17,"AAAAAHm7mTo=")</f>
        <v>1</v>
      </c>
      <c r="BH48" s="1" t="b">
        <f>AND(Q_Castries_South_East!H17,"AAAAAHm7mTs=")</f>
        <v>1</v>
      </c>
      <c r="BI48" s="1" t="b">
        <f>AND(Q_Castries_South_East!I17,"AAAAAHm7mTw=")</f>
        <v>1</v>
      </c>
      <c r="BJ48" s="1" t="b">
        <f>AND(Q_Castries_South_East!J17,"AAAAAHm7mT0=")</f>
        <v>1</v>
      </c>
      <c r="BK48" s="1" t="b">
        <f>AND(Q_Castries_South_East!K17,"AAAAAHm7mT4=")</f>
        <v>1</v>
      </c>
      <c r="BL48" s="1" t="b">
        <f>AND(Q_Castries_South_East!L17,"AAAAAHm7mT8=")</f>
        <v>1</v>
      </c>
      <c r="BM48" s="1">
        <f>IF(Q_Castries_South_East!18:18,"AAAAAHm7mUA=",0)</f>
        <v>0</v>
      </c>
      <c r="BN48" s="1" t="e">
        <f>AND(Q_Castries_South_East!A18,"AAAAAHm7mUE=")</f>
        <v>#VALUE!</v>
      </c>
      <c r="BO48" s="1" t="b">
        <f>AND(Q_Castries_South_East!B18,"AAAAAHm7mUI=")</f>
        <v>1</v>
      </c>
      <c r="BP48" s="1" t="b">
        <f>AND(Q_Castries_South_East!C18,"AAAAAHm7mUM=")</f>
        <v>1</v>
      </c>
      <c r="BQ48" s="1" t="b">
        <f>AND(Q_Castries_South_East!D18,"AAAAAHm7mUQ=")</f>
        <v>1</v>
      </c>
      <c r="BR48" s="1" t="b">
        <f>AND(Q_Castries_South_East!E18,"AAAAAHm7mUU=")</f>
        <v>1</v>
      </c>
      <c r="BS48" s="1" t="b">
        <f>AND(Q_Castries_South_East!F18,"AAAAAHm7mUY=")</f>
        <v>1</v>
      </c>
      <c r="BT48" s="1" t="b">
        <f>AND(Q_Castries_South_East!G18,"AAAAAHm7mUc=")</f>
        <v>1</v>
      </c>
      <c r="BU48" s="1" t="b">
        <f>AND(Q_Castries_South_East!H18,"AAAAAHm7mUg=")</f>
        <v>1</v>
      </c>
      <c r="BV48" s="1" t="b">
        <f>AND(Q_Castries_South_East!I18,"AAAAAHm7mUk=")</f>
        <v>1</v>
      </c>
      <c r="BW48" s="1" t="b">
        <f>AND(Q_Castries_South_East!J18,"AAAAAHm7mUo=")</f>
        <v>1</v>
      </c>
      <c r="BX48" s="1" t="b">
        <f>AND(Q_Castries_South_East!K18,"AAAAAHm7mUs=")</f>
        <v>1</v>
      </c>
      <c r="BY48" s="1" t="b">
        <f>AND(Q_Castries_South_East!L18,"AAAAAHm7mUw=")</f>
        <v>1</v>
      </c>
      <c r="BZ48" s="1">
        <f>IF(Q_Castries_South_East!19:19,"AAAAAHm7mU0=",0)</f>
        <v>0</v>
      </c>
      <c r="CA48" s="1" t="e">
        <f>AND(Q_Castries_South_East!A19,"AAAAAHm7mU4=")</f>
        <v>#VALUE!</v>
      </c>
      <c r="CB48" s="1" t="b">
        <f>AND(Q_Castries_South_East!B19,"AAAAAHm7mU8=")</f>
        <v>1</v>
      </c>
      <c r="CC48" s="1" t="b">
        <f>AND(Q_Castries_South_East!C19,"AAAAAHm7mVA=")</f>
        <v>1</v>
      </c>
      <c r="CD48" s="1" t="b">
        <f>AND(Q_Castries_South_East!D19,"AAAAAHm7mVE=")</f>
        <v>1</v>
      </c>
      <c r="CE48" s="1" t="b">
        <f>AND(Q_Castries_South_East!E19,"AAAAAHm7mVI=")</f>
        <v>1</v>
      </c>
      <c r="CF48" s="1" t="b">
        <f>AND(Q_Castries_South_East!F19,"AAAAAHm7mVM=")</f>
        <v>1</v>
      </c>
      <c r="CG48" s="1" t="b">
        <f>AND(Q_Castries_South_East!G19,"AAAAAHm7mVQ=")</f>
        <v>1</v>
      </c>
      <c r="CH48" s="1" t="b">
        <f>AND(Q_Castries_South_East!H19,"AAAAAHm7mVU=")</f>
        <v>1</v>
      </c>
      <c r="CI48" s="1" t="b">
        <f>AND(Q_Castries_South_East!I19,"AAAAAHm7mVY=")</f>
        <v>1</v>
      </c>
      <c r="CJ48" s="1" t="b">
        <f>AND(Q_Castries_South_East!J19,"AAAAAHm7mVc=")</f>
        <v>1</v>
      </c>
      <c r="CK48" s="1" t="b">
        <f>AND(Q_Castries_South_East!K19,"AAAAAHm7mVg=")</f>
        <v>1</v>
      </c>
      <c r="CL48" s="1" t="b">
        <f>AND(Q_Castries_South_East!L19,"AAAAAHm7mVk=")</f>
        <v>1</v>
      </c>
      <c r="CM48" s="1" t="e">
        <f>IF(Q_Castries_South_East!#REF!,"AAAAAHm7mVo=",0)</f>
        <v>#REF!</v>
      </c>
      <c r="CN48" s="1" t="e">
        <f>AND(Q_Castries_South_East!#REF!,"AAAAAHm7mVs=")</f>
        <v>#REF!</v>
      </c>
      <c r="CO48" s="1" t="e">
        <f>AND(Q_Castries_South_East!#REF!,"AAAAAHm7mVw=")</f>
        <v>#REF!</v>
      </c>
      <c r="CP48" s="1" t="e">
        <f>AND(Q_Castries_South_East!#REF!,"AAAAAHm7mV0=")</f>
        <v>#REF!</v>
      </c>
      <c r="CQ48" s="1" t="e">
        <f>AND(Q_Castries_South_East!#REF!,"AAAAAHm7mV4=")</f>
        <v>#REF!</v>
      </c>
      <c r="CR48" s="1" t="e">
        <f>AND(Q_Castries_South_East!#REF!,"AAAAAHm7mV8=")</f>
        <v>#REF!</v>
      </c>
      <c r="CS48" s="1" t="e">
        <f>AND(Q_Castries_South_East!#REF!,"AAAAAHm7mWA=")</f>
        <v>#REF!</v>
      </c>
      <c r="CT48" s="1" t="e">
        <f>AND(Q_Castries_South_East!#REF!,"AAAAAHm7mWE=")</f>
        <v>#REF!</v>
      </c>
      <c r="CU48" s="1" t="e">
        <f>AND(Q_Castries_South_East!#REF!,"AAAAAHm7mWI=")</f>
        <v>#REF!</v>
      </c>
      <c r="CV48" s="1" t="e">
        <f>AND(Q_Castries_South_East!#REF!,"AAAAAHm7mWM=")</f>
        <v>#REF!</v>
      </c>
      <c r="CW48" s="1" t="e">
        <f>AND(Q_Castries_South_East!#REF!,"AAAAAHm7mWQ=")</f>
        <v>#REF!</v>
      </c>
      <c r="CX48" s="1" t="e">
        <f>AND(Q_Castries_South_East!#REF!,"AAAAAHm7mWU=")</f>
        <v>#REF!</v>
      </c>
      <c r="CY48" s="1" t="e">
        <f>AND(Q_Castries_South_East!#REF!,"AAAAAHm7mWY=")</f>
        <v>#REF!</v>
      </c>
      <c r="CZ48" s="1">
        <f>IF(Q_Castries_South_East!20:20,"AAAAAHm7mWc=",0)</f>
        <v>0</v>
      </c>
      <c r="DA48" s="1" t="e">
        <f>AND(Q_Castries_South_East!A20,"AAAAAHm7mWg=")</f>
        <v>#VALUE!</v>
      </c>
      <c r="DB48" s="1" t="b">
        <f>AND(Q_Castries_South_East!B20,"AAAAAHm7mWk=")</f>
        <v>1</v>
      </c>
      <c r="DC48" s="1" t="b">
        <f>AND(Q_Castries_South_East!C20,"AAAAAHm7mWo=")</f>
        <v>1</v>
      </c>
      <c r="DD48" s="1" t="b">
        <f>AND(Q_Castries_South_East!D20,"AAAAAHm7mWs=")</f>
        <v>1</v>
      </c>
      <c r="DE48" s="1" t="b">
        <f>AND(Q_Castries_South_East!E20,"AAAAAHm7mWw=")</f>
        <v>1</v>
      </c>
      <c r="DF48" s="1" t="b">
        <f>AND(Q_Castries_South_East!F20,"AAAAAHm7mW0=")</f>
        <v>1</v>
      </c>
      <c r="DG48" s="1" t="b">
        <f>AND(Q_Castries_South_East!G20,"AAAAAHm7mW4=")</f>
        <v>1</v>
      </c>
      <c r="DH48" s="1" t="b">
        <f>AND(Q_Castries_South_East!H20,"AAAAAHm7mW8=")</f>
        <v>1</v>
      </c>
      <c r="DI48" s="1" t="b">
        <f>AND(Q_Castries_South_East!I20,"AAAAAHm7mXA=")</f>
        <v>1</v>
      </c>
      <c r="DJ48" s="1" t="b">
        <f>AND(Q_Castries_South_East!J20,"AAAAAHm7mXE=")</f>
        <v>1</v>
      </c>
      <c r="DK48" s="1" t="b">
        <f>AND(Q_Castries_South_East!K20,"AAAAAHm7mXI=")</f>
        <v>1</v>
      </c>
      <c r="DL48" s="1" t="b">
        <f>AND(Q_Castries_South_East!L20,"AAAAAHm7mXM=")</f>
        <v>1</v>
      </c>
      <c r="DM48" s="1">
        <f>IF(Q_Castries_South_East!22:22,"AAAAAHm7mXQ=",0)</f>
        <v>0</v>
      </c>
      <c r="DN48" s="1" t="e">
        <f>AND(Q_Castries_South_East!A22,"AAAAAHm7mXU=")</f>
        <v>#VALUE!</v>
      </c>
      <c r="DO48" s="1" t="e">
        <f>AND(Q_Castries_South_East!B22,"AAAAAHm7mXY=")</f>
        <v>#VALUE!</v>
      </c>
      <c r="DP48" s="1" t="e">
        <f>AND(Q_Castries_South_East!C22,"AAAAAHm7mXc=")</f>
        <v>#VALUE!</v>
      </c>
      <c r="DQ48" s="1" t="e">
        <f>AND(Q_Castries_South_East!D22,"AAAAAHm7mXg=")</f>
        <v>#VALUE!</v>
      </c>
      <c r="DR48" s="1" t="e">
        <f>AND(Q_Castries_South_East!E22,"AAAAAHm7mXk=")</f>
        <v>#VALUE!</v>
      </c>
      <c r="DS48" s="1" t="e">
        <f>AND(Q_Castries_South_East!F22,"AAAAAHm7mXo=")</f>
        <v>#VALUE!</v>
      </c>
      <c r="DT48" s="1" t="e">
        <f>AND(Q_Castries_South_East!G22,"AAAAAHm7mXs=")</f>
        <v>#VALUE!</v>
      </c>
      <c r="DU48" s="1" t="e">
        <f>AND(Q_Castries_South_East!H22,"AAAAAHm7mXw=")</f>
        <v>#VALUE!</v>
      </c>
      <c r="DV48" s="1" t="e">
        <f>AND(Q_Castries_South_East!I22,"AAAAAHm7mX0=")</f>
        <v>#VALUE!</v>
      </c>
      <c r="DW48" s="1" t="e">
        <f>AND(Q_Castries_South_East!J22,"AAAAAHm7mX4=")</f>
        <v>#VALUE!</v>
      </c>
      <c r="DX48" s="1" t="e">
        <f>AND(Q_Castries_South_East!K22,"AAAAAHm7mX8=")</f>
        <v>#VALUE!</v>
      </c>
      <c r="DY48" s="1" t="e">
        <f>AND(Q_Castries_South_East!L22,"AAAAAHm7mYA=")</f>
        <v>#VALUE!</v>
      </c>
      <c r="DZ48" s="1">
        <f>IF(Q_Castries_South_East!23:23,"AAAAAHm7mYE=",0)</f>
        <v>0</v>
      </c>
      <c r="EA48" s="1" t="e">
        <f>AND(Q_Castries_South_East!A23,"AAAAAHm7mYI=")</f>
        <v>#VALUE!</v>
      </c>
      <c r="EB48" s="1" t="b">
        <f>AND(Q_Castries_South_East!B23,"AAAAAHm7mYM=")</f>
        <v>1</v>
      </c>
      <c r="EC48" s="1" t="b">
        <f>AND(Q_Castries_South_East!C23,"AAAAAHm7mYQ=")</f>
        <v>1</v>
      </c>
      <c r="ED48" s="1" t="b">
        <f>AND(Q_Castries_South_East!D23,"AAAAAHm7mYU=")</f>
        <v>1</v>
      </c>
      <c r="EE48" s="1" t="b">
        <f>AND(Q_Castries_South_East!E23,"AAAAAHm7mYY=")</f>
        <v>1</v>
      </c>
      <c r="EF48" s="1" t="b">
        <f>AND(Q_Castries_South_East!F23,"AAAAAHm7mYc=")</f>
        <v>1</v>
      </c>
      <c r="EG48" s="1" t="b">
        <f>AND(Q_Castries_South_East!G23,"AAAAAHm7mYg=")</f>
        <v>1</v>
      </c>
      <c r="EH48" s="1" t="b">
        <f>AND(Q_Castries_South_East!H23,"AAAAAHm7mYk=")</f>
        <v>1</v>
      </c>
      <c r="EI48" s="1" t="b">
        <f>AND(Q_Castries_South_East!I23,"AAAAAHm7mYo=")</f>
        <v>1</v>
      </c>
      <c r="EJ48" s="1" t="b">
        <f>AND(Q_Castries_South_East!J23,"AAAAAHm7mYs=")</f>
        <v>1</v>
      </c>
      <c r="EK48" s="1" t="b">
        <f>AND(Q_Castries_South_East!K23,"AAAAAHm7mYw=")</f>
        <v>1</v>
      </c>
      <c r="EL48" s="1" t="b">
        <f>AND(Q_Castries_South_East!L23,"AAAAAHm7mY0=")</f>
        <v>1</v>
      </c>
      <c r="EM48" s="1">
        <f>IF(Q_Castries_South_East!24:24,"AAAAAHm7mY4=",0)</f>
        <v>0</v>
      </c>
      <c r="EN48" s="1" t="e">
        <f>AND(Q_Castries_South_East!A24,"AAAAAHm7mY8=")</f>
        <v>#VALUE!</v>
      </c>
      <c r="EO48" s="1" t="b">
        <f>AND(Q_Castries_South_East!B24,"AAAAAHm7mZA=")</f>
        <v>1</v>
      </c>
      <c r="EP48" s="1" t="b">
        <f>AND(Q_Castries_South_East!C24,"AAAAAHm7mZE=")</f>
        <v>1</v>
      </c>
      <c r="EQ48" s="1" t="b">
        <f>AND(Q_Castries_South_East!D24,"AAAAAHm7mZI=")</f>
        <v>1</v>
      </c>
      <c r="ER48" s="1" t="b">
        <f>AND(Q_Castries_South_East!E24,"AAAAAHm7mZM=")</f>
        <v>1</v>
      </c>
      <c r="ES48" s="1" t="b">
        <f>AND(Q_Castries_South_East!F24,"AAAAAHm7mZQ=")</f>
        <v>1</v>
      </c>
      <c r="ET48" s="1" t="b">
        <f>AND(Q_Castries_South_East!G24,"AAAAAHm7mZU=")</f>
        <v>1</v>
      </c>
      <c r="EU48" s="1" t="b">
        <f>AND(Q_Castries_South_East!H24,"AAAAAHm7mZY=")</f>
        <v>1</v>
      </c>
      <c r="EV48" s="1" t="b">
        <f>AND(Q_Castries_South_East!I24,"AAAAAHm7mZc=")</f>
        <v>1</v>
      </c>
      <c r="EW48" s="1" t="b">
        <f>AND(Q_Castries_South_East!J24,"AAAAAHm7mZg=")</f>
        <v>1</v>
      </c>
      <c r="EX48" s="1" t="b">
        <f>AND(Q_Castries_South_East!K24,"AAAAAHm7mZk=")</f>
        <v>1</v>
      </c>
      <c r="EY48" s="1" t="b">
        <f>AND(Q_Castries_South_East!L24,"AAAAAHm7mZo=")</f>
        <v>1</v>
      </c>
      <c r="EZ48" s="1">
        <f>IF(Q_Castries_South_East!25:25,"AAAAAHm7mZs=",0)</f>
        <v>0</v>
      </c>
      <c r="FA48" s="1" t="e">
        <f>AND(Q_Castries_South_East!A25,"AAAAAHm7mZw=")</f>
        <v>#VALUE!</v>
      </c>
      <c r="FB48" s="1" t="b">
        <f>AND(Q_Castries_South_East!B25,"AAAAAHm7mZ0=")</f>
        <v>1</v>
      </c>
      <c r="FC48" s="1" t="b">
        <f>AND(Q_Castries_South_East!C25,"AAAAAHm7mZ4=")</f>
        <v>1</v>
      </c>
      <c r="FD48" s="1" t="b">
        <f>AND(Q_Castries_South_East!D25,"AAAAAHm7mZ8=")</f>
        <v>1</v>
      </c>
      <c r="FE48" s="1" t="b">
        <f>AND(Q_Castries_South_East!E25,"AAAAAHm7maA=")</f>
        <v>1</v>
      </c>
      <c r="FF48" s="1" t="b">
        <f>AND(Q_Castries_South_East!F25,"AAAAAHm7maE=")</f>
        <v>1</v>
      </c>
      <c r="FG48" s="1" t="b">
        <f>AND(Q_Castries_South_East!G25,"AAAAAHm7maI=")</f>
        <v>1</v>
      </c>
      <c r="FH48" s="1" t="b">
        <f>AND(Q_Castries_South_East!H25,"AAAAAHm7maM=")</f>
        <v>1</v>
      </c>
      <c r="FI48" s="1" t="b">
        <f>AND(Q_Castries_South_East!I25,"AAAAAHm7maQ=")</f>
        <v>1</v>
      </c>
      <c r="FJ48" s="1" t="b">
        <f>AND(Q_Castries_South_East!J25,"AAAAAHm7maU=")</f>
        <v>1</v>
      </c>
      <c r="FK48" s="1" t="b">
        <f>AND(Q_Castries_South_East!K25,"AAAAAHm7maY=")</f>
        <v>1</v>
      </c>
      <c r="FL48" s="1" t="b">
        <f>AND(Q_Castries_South_East!L25,"AAAAAHm7mac=")</f>
        <v>1</v>
      </c>
      <c r="FM48" s="1">
        <f>IF(Q_Castries_South_East!26:26,"AAAAAHm7mag=",0)</f>
        <v>0</v>
      </c>
      <c r="FN48" s="1" t="e">
        <f>AND(Q_Castries_South_East!A26,"AAAAAHm7mak=")</f>
        <v>#VALUE!</v>
      </c>
      <c r="FO48" s="1" t="b">
        <f>AND(Q_Castries_South_East!B26,"AAAAAHm7mao=")</f>
        <v>1</v>
      </c>
      <c r="FP48" s="1" t="b">
        <f>AND(Q_Castries_South_East!C26,"AAAAAHm7mas=")</f>
        <v>1</v>
      </c>
      <c r="FQ48" s="1" t="b">
        <f>AND(Q_Castries_South_East!D26,"AAAAAHm7maw=")</f>
        <v>1</v>
      </c>
      <c r="FR48" s="1" t="b">
        <f>AND(Q_Castries_South_East!E26,"AAAAAHm7ma0=")</f>
        <v>1</v>
      </c>
      <c r="FS48" s="1" t="b">
        <f>AND(Q_Castries_South_East!F26,"AAAAAHm7ma4=")</f>
        <v>1</v>
      </c>
      <c r="FT48" s="1" t="b">
        <f>AND(Q_Castries_South_East!G26,"AAAAAHm7ma8=")</f>
        <v>1</v>
      </c>
      <c r="FU48" s="1" t="b">
        <f>AND(Q_Castries_South_East!H26,"AAAAAHm7mbA=")</f>
        <v>1</v>
      </c>
      <c r="FV48" s="1" t="b">
        <f>AND(Q_Castries_South_East!I26,"AAAAAHm7mbE=")</f>
        <v>1</v>
      </c>
      <c r="FW48" s="1" t="b">
        <f>AND(Q_Castries_South_East!J26,"AAAAAHm7mbI=")</f>
        <v>1</v>
      </c>
      <c r="FX48" s="1" t="b">
        <f>AND(Q_Castries_South_East!K26,"AAAAAHm7mbM=")</f>
        <v>1</v>
      </c>
      <c r="FY48" s="1" t="b">
        <f>AND(Q_Castries_South_East!L26,"AAAAAHm7mbQ=")</f>
        <v>1</v>
      </c>
      <c r="FZ48" s="1">
        <f>IF(Q_Castries_South_East!27:27,"AAAAAHm7mbU=",0)</f>
        <v>0</v>
      </c>
      <c r="GA48" s="1" t="e">
        <f>AND(Q_Castries_South_East!A27,"AAAAAHm7mbY=")</f>
        <v>#VALUE!</v>
      </c>
      <c r="GB48" s="1" t="b">
        <f>AND(Q_Castries_South_East!B27,"AAAAAHm7mbc=")</f>
        <v>1</v>
      </c>
      <c r="GC48" s="1" t="b">
        <f>AND(Q_Castries_South_East!C27,"AAAAAHm7mbg=")</f>
        <v>1</v>
      </c>
      <c r="GD48" s="1" t="b">
        <f>AND(Q_Castries_South_East!D27,"AAAAAHm7mbk=")</f>
        <v>1</v>
      </c>
      <c r="GE48" s="1" t="b">
        <f>AND(Q_Castries_South_East!E27,"AAAAAHm7mbo=")</f>
        <v>1</v>
      </c>
      <c r="GF48" s="1" t="b">
        <f>AND(Q_Castries_South_East!F27,"AAAAAHm7mbs=")</f>
        <v>1</v>
      </c>
      <c r="GG48" s="1" t="b">
        <f>AND(Q_Castries_South_East!G27,"AAAAAHm7mbw=")</f>
        <v>1</v>
      </c>
      <c r="GH48" s="1" t="b">
        <f>AND(Q_Castries_South_East!H27,"AAAAAHm7mb0=")</f>
        <v>1</v>
      </c>
      <c r="GI48" s="1" t="b">
        <f>AND(Q_Castries_South_East!I27,"AAAAAHm7mb4=")</f>
        <v>1</v>
      </c>
      <c r="GJ48" s="1" t="b">
        <f>AND(Q_Castries_South_East!J27,"AAAAAHm7mb8=")</f>
        <v>1</v>
      </c>
      <c r="GK48" s="1" t="b">
        <f>AND(Q_Castries_South_East!K27,"AAAAAHm7mcA=")</f>
        <v>1</v>
      </c>
      <c r="GL48" s="1" t="b">
        <f>AND(Q_Castries_South_East!L27,"AAAAAHm7mcE=")</f>
        <v>1</v>
      </c>
      <c r="GM48" s="1">
        <f>IF(Q_Castries_South_East!28:28,"AAAAAHm7mcI=",0)</f>
        <v>0</v>
      </c>
      <c r="GN48" s="1" t="e">
        <f>AND(Q_Castries_South_East!A28,"AAAAAHm7mcM=")</f>
        <v>#VALUE!</v>
      </c>
      <c r="GO48" s="1" t="b">
        <f>AND(Q_Castries_South_East!B28,"AAAAAHm7mcQ=")</f>
        <v>1</v>
      </c>
      <c r="GP48" s="1" t="b">
        <f>AND(Q_Castries_South_East!C28,"AAAAAHm7mcU=")</f>
        <v>1</v>
      </c>
      <c r="GQ48" s="1" t="b">
        <f>AND(Q_Castries_South_East!D28,"AAAAAHm7mcY=")</f>
        <v>1</v>
      </c>
      <c r="GR48" s="1" t="b">
        <f>AND(Q_Castries_South_East!E28,"AAAAAHm7mcc=")</f>
        <v>1</v>
      </c>
      <c r="GS48" s="1" t="b">
        <f>AND(Q_Castries_South_East!F28,"AAAAAHm7mcg=")</f>
        <v>1</v>
      </c>
      <c r="GT48" s="1" t="b">
        <f>AND(Q_Castries_South_East!G28,"AAAAAHm7mck=")</f>
        <v>1</v>
      </c>
      <c r="GU48" s="1" t="b">
        <f>AND(Q_Castries_South_East!H28,"AAAAAHm7mco=")</f>
        <v>1</v>
      </c>
      <c r="GV48" s="1" t="b">
        <f>AND(Q_Castries_South_East!I28,"AAAAAHm7mcs=")</f>
        <v>1</v>
      </c>
      <c r="GW48" s="1" t="b">
        <f>AND(Q_Castries_South_East!J28,"AAAAAHm7mcw=")</f>
        <v>1</v>
      </c>
      <c r="GX48" s="1" t="b">
        <f>AND(Q_Castries_South_East!K28,"AAAAAHm7mc0=")</f>
        <v>1</v>
      </c>
      <c r="GY48" s="1" t="b">
        <f>AND(Q_Castries_South_East!L28,"AAAAAHm7mc4=")</f>
        <v>1</v>
      </c>
      <c r="GZ48" s="1" t="e">
        <f>IF(Q_Castries_South_East!#REF!,"AAAAAHm7mc8=",0)</f>
        <v>#REF!</v>
      </c>
      <c r="HA48" s="1" t="e">
        <f>AND(Q_Castries_South_East!#REF!,"AAAAAHm7mdA=")</f>
        <v>#REF!</v>
      </c>
      <c r="HB48" s="1" t="e">
        <f>AND(Q_Castries_South_East!#REF!,"AAAAAHm7mdE=")</f>
        <v>#REF!</v>
      </c>
      <c r="HC48" s="1" t="e">
        <f>AND(Q_Castries_South_East!#REF!,"AAAAAHm7mdI=")</f>
        <v>#REF!</v>
      </c>
      <c r="HD48" s="1" t="e">
        <f>AND(Q_Castries_South_East!#REF!,"AAAAAHm7mdM=")</f>
        <v>#REF!</v>
      </c>
      <c r="HE48" s="1" t="e">
        <f>AND(Q_Castries_South_East!#REF!,"AAAAAHm7mdQ=")</f>
        <v>#REF!</v>
      </c>
      <c r="HF48" s="1" t="e">
        <f>AND(Q_Castries_South_East!#REF!,"AAAAAHm7mdU=")</f>
        <v>#REF!</v>
      </c>
      <c r="HG48" s="1" t="e">
        <f>AND(Q_Castries_South_East!#REF!,"AAAAAHm7mdY=")</f>
        <v>#REF!</v>
      </c>
      <c r="HH48" s="1" t="e">
        <f>AND(Q_Castries_South_East!#REF!,"AAAAAHm7mdc=")</f>
        <v>#REF!</v>
      </c>
      <c r="HI48" s="1" t="e">
        <f>AND(Q_Castries_South_East!#REF!,"AAAAAHm7mdg=")</f>
        <v>#REF!</v>
      </c>
      <c r="HJ48" s="1" t="e">
        <f>AND(Q_Castries_South_East!#REF!,"AAAAAHm7mdk=")</f>
        <v>#REF!</v>
      </c>
      <c r="HK48" s="1" t="e">
        <f>AND(Q_Castries_South_East!#REF!,"AAAAAHm7mdo=")</f>
        <v>#REF!</v>
      </c>
      <c r="HL48" s="1" t="e">
        <f>AND(Q_Castries_South_East!#REF!,"AAAAAHm7mds=")</f>
        <v>#REF!</v>
      </c>
      <c r="HM48" s="1">
        <f>IF(Q_Castries_South_East!29:29,"AAAAAHm7mdw=",0)</f>
        <v>0</v>
      </c>
      <c r="HN48" s="1" t="e">
        <f>AND(Q_Castries_South_East!A29,"AAAAAHm7md0=")</f>
        <v>#VALUE!</v>
      </c>
      <c r="HO48" s="1" t="b">
        <f>AND(Q_Castries_South_East!B29,"AAAAAHm7md4=")</f>
        <v>1</v>
      </c>
      <c r="HP48" s="1" t="b">
        <f>AND(Q_Castries_South_East!C29,"AAAAAHm7md8=")</f>
        <v>1</v>
      </c>
      <c r="HQ48" s="1" t="b">
        <f>AND(Q_Castries_South_East!D29,"AAAAAHm7meA=")</f>
        <v>1</v>
      </c>
      <c r="HR48" s="1" t="b">
        <f>AND(Q_Castries_South_East!E29,"AAAAAHm7meE=")</f>
        <v>1</v>
      </c>
      <c r="HS48" s="1" t="b">
        <f>AND(Q_Castries_South_East!F29,"AAAAAHm7meI=")</f>
        <v>1</v>
      </c>
      <c r="HT48" s="1" t="b">
        <f>AND(Q_Castries_South_East!G29,"AAAAAHm7meM=")</f>
        <v>1</v>
      </c>
      <c r="HU48" s="1" t="b">
        <f>AND(Q_Castries_South_East!H29,"AAAAAHm7meQ=")</f>
        <v>1</v>
      </c>
      <c r="HV48" s="1" t="b">
        <f>AND(Q_Castries_South_East!I29,"AAAAAHm7meU=")</f>
        <v>1</v>
      </c>
      <c r="HW48" s="1" t="b">
        <f>AND(Q_Castries_South_East!J29,"AAAAAHm7meY=")</f>
        <v>1</v>
      </c>
      <c r="HX48" s="1" t="b">
        <f>AND(Q_Castries_South_East!K29,"AAAAAHm7mec=")</f>
        <v>1</v>
      </c>
      <c r="HY48" s="1" t="b">
        <f>AND(Q_Castries_South_East!L29,"AAAAAHm7meg=")</f>
        <v>1</v>
      </c>
      <c r="HZ48" s="1">
        <f>IF(Q_Castries_South_East!31:31,"AAAAAHm7mek=",0)</f>
        <v>0</v>
      </c>
      <c r="IA48" s="1" t="e">
        <f>AND(Q_Castries_South_East!A31,"AAAAAHm7meo=")</f>
        <v>#VALUE!</v>
      </c>
      <c r="IB48" s="1" t="e">
        <f>AND(Q_Castries_South_East!B31,"AAAAAHm7mes=")</f>
        <v>#VALUE!</v>
      </c>
      <c r="IC48" s="1" t="e">
        <f>AND(Q_Castries_South_East!C31,"AAAAAHm7mew=")</f>
        <v>#VALUE!</v>
      </c>
      <c r="ID48" s="1" t="e">
        <f>AND(Q_Castries_South_East!D31,"AAAAAHm7me0=")</f>
        <v>#VALUE!</v>
      </c>
      <c r="IE48" s="1" t="e">
        <f>AND(Q_Castries_South_East!E31,"AAAAAHm7me4=")</f>
        <v>#VALUE!</v>
      </c>
      <c r="IF48" s="1" t="e">
        <f>AND(Q_Castries_South_East!F31,"AAAAAHm7me8=")</f>
        <v>#VALUE!</v>
      </c>
      <c r="IG48" s="1" t="e">
        <f>AND(Q_Castries_South_East!G31,"AAAAAHm7mfA=")</f>
        <v>#VALUE!</v>
      </c>
      <c r="IH48" s="1" t="e">
        <f>AND(Q_Castries_South_East!H31,"AAAAAHm7mfE=")</f>
        <v>#VALUE!</v>
      </c>
      <c r="II48" s="1" t="e">
        <f>AND(Q_Castries_South_East!I31,"AAAAAHm7mfI=")</f>
        <v>#VALUE!</v>
      </c>
      <c r="IJ48" s="1" t="e">
        <f>AND(Q_Castries_South_East!J31,"AAAAAHm7mfM=")</f>
        <v>#VALUE!</v>
      </c>
      <c r="IK48" s="1" t="e">
        <f>AND(Q_Castries_South_East!K31,"AAAAAHm7mfQ=")</f>
        <v>#VALUE!</v>
      </c>
      <c r="IL48" s="1" t="e">
        <f>AND(Q_Castries_South_East!L31,"AAAAAHm7mfU=")</f>
        <v>#VALUE!</v>
      </c>
      <c r="IM48" s="1">
        <f>IF(Q_Castries_South_East!32:32,"AAAAAHm7mfY=",0)</f>
        <v>0</v>
      </c>
      <c r="IN48" s="1" t="e">
        <f>AND(Q_Castries_South_East!A32,"AAAAAHm7mfc=")</f>
        <v>#VALUE!</v>
      </c>
      <c r="IO48" s="1" t="b">
        <f>AND(Q_Castries_South_East!B32,"AAAAAHm7mfg=")</f>
        <v>1</v>
      </c>
      <c r="IP48" s="1" t="b">
        <f>AND(Q_Castries_South_East!C32,"AAAAAHm7mfk=")</f>
        <v>1</v>
      </c>
      <c r="IQ48" s="1" t="b">
        <f>AND(Q_Castries_South_East!D32,"AAAAAHm7mfo=")</f>
        <v>1</v>
      </c>
      <c r="IR48" s="1" t="b">
        <f>AND(Q_Castries_South_East!E32,"AAAAAHm7mfs=")</f>
        <v>1</v>
      </c>
      <c r="IS48" s="1" t="b">
        <f>AND(Q_Castries_South_East!F32,"AAAAAHm7mfw=")</f>
        <v>1</v>
      </c>
      <c r="IT48" s="1" t="b">
        <f>AND(Q_Castries_South_East!G32,"AAAAAHm7mf0=")</f>
        <v>1</v>
      </c>
      <c r="IU48" s="1" t="b">
        <f>AND(Q_Castries_South_East!H32,"AAAAAHm7mf4=")</f>
        <v>1</v>
      </c>
      <c r="IV48" s="1" t="b">
        <f>AND(Q_Castries_South_East!I32,"AAAAAHm7mf8=")</f>
        <v>1</v>
      </c>
    </row>
    <row r="49" spans="1:256" ht="12" customHeight="1" x14ac:dyDescent="0.2">
      <c r="A49" s="1" t="b">
        <f>AND(Q_Castries_South_East!J32,"AAAAAD7tngA=")</f>
        <v>1</v>
      </c>
      <c r="B49" s="1" t="b">
        <f>AND(Q_Castries_South_East!K32,"AAAAAD7tngE=")</f>
        <v>1</v>
      </c>
      <c r="C49" s="1" t="b">
        <f>AND(Q_Castries_South_East!L32,"AAAAAD7tngI=")</f>
        <v>1</v>
      </c>
      <c r="D49" s="1" t="str">
        <f>IF(Q_Castries_South_East!33:33,"AAAAAD7tngM=",0)</f>
        <v>AAAAAD7tngM=</v>
      </c>
      <c r="E49" s="1" t="e">
        <f>AND(Q_Castries_South_East!A33,"AAAAAD7tngQ=")</f>
        <v>#VALUE!</v>
      </c>
      <c r="F49" s="1" t="b">
        <f>AND(Q_Castries_South_East!B33,"AAAAAD7tngU=")</f>
        <v>1</v>
      </c>
      <c r="G49" s="1" t="b">
        <f>AND(Q_Castries_South_East!C33,"AAAAAD7tngY=")</f>
        <v>1</v>
      </c>
      <c r="H49" s="1" t="b">
        <f>AND(Q_Castries_South_East!D33,"AAAAAD7tngc=")</f>
        <v>1</v>
      </c>
      <c r="I49" s="1" t="b">
        <f>AND(Q_Castries_South_East!E33,"AAAAAD7tngg=")</f>
        <v>1</v>
      </c>
      <c r="J49" s="1" t="b">
        <f>AND(Q_Castries_South_East!F33,"AAAAAD7tngk=")</f>
        <v>1</v>
      </c>
      <c r="K49" s="1" t="b">
        <f>AND(Q_Castries_South_East!G33,"AAAAAD7tngo=")</f>
        <v>1</v>
      </c>
      <c r="L49" s="1" t="b">
        <f>AND(Q_Castries_South_East!H33,"AAAAAD7tngs=")</f>
        <v>1</v>
      </c>
      <c r="M49" s="1" t="b">
        <f>AND(Q_Castries_South_East!I33,"AAAAAD7tngw=")</f>
        <v>1</v>
      </c>
      <c r="N49" s="1" t="b">
        <f>AND(Q_Castries_South_East!J33,"AAAAAD7tng0=")</f>
        <v>1</v>
      </c>
      <c r="O49" s="1" t="b">
        <f>AND(Q_Castries_South_East!K33,"AAAAAD7tng4=")</f>
        <v>1</v>
      </c>
      <c r="P49" s="1" t="b">
        <f>AND(Q_Castries_South_East!L33,"AAAAAD7tng8=")</f>
        <v>1</v>
      </c>
      <c r="Q49" s="1">
        <f>IF(Q_Castries_South_East!34:34,"AAAAAD7tnhA=",0)</f>
        <v>0</v>
      </c>
      <c r="R49" s="1" t="e">
        <f>AND(Q_Castries_South_East!A34,"AAAAAD7tnhE=")</f>
        <v>#VALUE!</v>
      </c>
      <c r="S49" s="1" t="b">
        <f>AND(Q_Castries_South_East!B34,"AAAAAD7tnhI=")</f>
        <v>1</v>
      </c>
      <c r="T49" s="1" t="b">
        <f>AND(Q_Castries_South_East!C34,"AAAAAD7tnhM=")</f>
        <v>1</v>
      </c>
      <c r="U49" s="1" t="b">
        <f>AND(Q_Castries_South_East!D34,"AAAAAD7tnhQ=")</f>
        <v>1</v>
      </c>
      <c r="V49" s="1" t="b">
        <f>AND(Q_Castries_South_East!E34,"AAAAAD7tnhU=")</f>
        <v>1</v>
      </c>
      <c r="W49" s="1" t="b">
        <f>AND(Q_Castries_South_East!F34,"AAAAAD7tnhY=")</f>
        <v>1</v>
      </c>
      <c r="X49" s="1" t="b">
        <f>AND(Q_Castries_South_East!G34,"AAAAAD7tnhc=")</f>
        <v>1</v>
      </c>
      <c r="Y49" s="1" t="b">
        <f>AND(Q_Castries_South_East!H34,"AAAAAD7tnhg=")</f>
        <v>1</v>
      </c>
      <c r="Z49" s="1" t="b">
        <f>AND(Q_Castries_South_East!I34,"AAAAAD7tnhk=")</f>
        <v>1</v>
      </c>
      <c r="AA49" s="1" t="b">
        <f>AND(Q_Castries_South_East!J34,"AAAAAD7tnho=")</f>
        <v>1</v>
      </c>
      <c r="AB49" s="1" t="b">
        <f>AND(Q_Castries_South_East!K34,"AAAAAD7tnhs=")</f>
        <v>1</v>
      </c>
      <c r="AC49" s="1" t="b">
        <f>AND(Q_Castries_South_East!L34,"AAAAAD7tnhw=")</f>
        <v>1</v>
      </c>
      <c r="AD49" s="1" t="e">
        <f>IF(Q_Castries_South_East!#REF!,"AAAAAD7tnh0=",0)</f>
        <v>#REF!</v>
      </c>
      <c r="AE49" s="1" t="e">
        <f>AND(Q_Castries_South_East!#REF!,"AAAAAD7tnh4=")</f>
        <v>#REF!</v>
      </c>
      <c r="AF49" s="1" t="e">
        <f>AND(Q_Castries_South_East!#REF!,"AAAAAD7tnh8=")</f>
        <v>#REF!</v>
      </c>
      <c r="AG49" s="1" t="e">
        <f>AND(Q_Castries_South_East!#REF!,"AAAAAD7tniA=")</f>
        <v>#REF!</v>
      </c>
      <c r="AH49" s="1" t="e">
        <f>AND(Q_Castries_South_East!#REF!,"AAAAAD7tniE=")</f>
        <v>#REF!</v>
      </c>
      <c r="AI49" s="1" t="e">
        <f>AND(Q_Castries_South_East!#REF!,"AAAAAD7tniI=")</f>
        <v>#REF!</v>
      </c>
      <c r="AJ49" s="1" t="e">
        <f>AND(Q_Castries_South_East!#REF!,"AAAAAD7tniM=")</f>
        <v>#REF!</v>
      </c>
      <c r="AK49" s="1" t="e">
        <f>AND(Q_Castries_South_East!#REF!,"AAAAAD7tniQ=")</f>
        <v>#REF!</v>
      </c>
      <c r="AL49" s="1" t="e">
        <f>AND(Q_Castries_South_East!#REF!,"AAAAAD7tniU=")</f>
        <v>#REF!</v>
      </c>
      <c r="AM49" s="1" t="e">
        <f>AND(Q_Castries_South_East!#REF!,"AAAAAD7tniY=")</f>
        <v>#REF!</v>
      </c>
      <c r="AN49" s="1" t="e">
        <f>AND(Q_Castries_South_East!#REF!,"AAAAAD7tnic=")</f>
        <v>#REF!</v>
      </c>
      <c r="AO49" s="1" t="e">
        <f>AND(Q_Castries_South_East!#REF!,"AAAAAD7tnig=")</f>
        <v>#REF!</v>
      </c>
      <c r="AP49" s="1" t="e">
        <f>AND(Q_Castries_South_East!#REF!,"AAAAAD7tnik=")</f>
        <v>#REF!</v>
      </c>
      <c r="AQ49" s="1" t="e">
        <f>IF(Q_Castries_South_East!#REF!,"AAAAAD7tnio=",0)</f>
        <v>#REF!</v>
      </c>
      <c r="AR49" s="1" t="e">
        <f>AND(Q_Castries_South_East!#REF!,"AAAAAD7tnis=")</f>
        <v>#REF!</v>
      </c>
      <c r="AS49" s="1" t="e">
        <f>AND(Q_Castries_South_East!#REF!,"AAAAAD7tniw=")</f>
        <v>#REF!</v>
      </c>
      <c r="AT49" s="1" t="e">
        <f>AND(Q_Castries_South_East!#REF!,"AAAAAD7tni0=")</f>
        <v>#REF!</v>
      </c>
      <c r="AU49" s="1" t="e">
        <f>AND(Q_Castries_South_East!#REF!,"AAAAAD7tni4=")</f>
        <v>#REF!</v>
      </c>
      <c r="AV49" s="1" t="e">
        <f>AND(Q_Castries_South_East!#REF!,"AAAAAD7tni8=")</f>
        <v>#REF!</v>
      </c>
      <c r="AW49" s="1" t="e">
        <f>AND(Q_Castries_South_East!#REF!,"AAAAAD7tnjA=")</f>
        <v>#REF!</v>
      </c>
      <c r="AX49" s="1" t="e">
        <f>AND(Q_Castries_South_East!#REF!,"AAAAAD7tnjE=")</f>
        <v>#REF!</v>
      </c>
      <c r="AY49" s="1" t="e">
        <f>AND(Q_Castries_South_East!#REF!,"AAAAAD7tnjI=")</f>
        <v>#REF!</v>
      </c>
      <c r="AZ49" s="1" t="e">
        <f>AND(Q_Castries_South_East!#REF!,"AAAAAD7tnjM=")</f>
        <v>#REF!</v>
      </c>
      <c r="BA49" s="1" t="e">
        <f>AND(Q_Castries_South_East!#REF!,"AAAAAD7tnjQ=")</f>
        <v>#REF!</v>
      </c>
      <c r="BB49" s="1" t="e">
        <f>AND(Q_Castries_South_East!#REF!,"AAAAAD7tnjU=")</f>
        <v>#REF!</v>
      </c>
      <c r="BC49" s="1" t="e">
        <f>AND(Q_Castries_South_East!#REF!,"AAAAAD7tnjY=")</f>
        <v>#REF!</v>
      </c>
      <c r="BD49" s="1">
        <f>IF(Q_Castries_South_East!35:35,"AAAAAD7tnjc=",0)</f>
        <v>0</v>
      </c>
      <c r="BE49" s="1" t="e">
        <f>AND(Q_Castries_South_East!A35,"AAAAAD7tnjg=")</f>
        <v>#VALUE!</v>
      </c>
      <c r="BF49" s="1" t="b">
        <f>AND(Q_Castries_South_East!B35,"AAAAAD7tnjk=")</f>
        <v>1</v>
      </c>
      <c r="BG49" s="1" t="b">
        <f>AND(Q_Castries_South_East!C35,"AAAAAD7tnjo=")</f>
        <v>1</v>
      </c>
      <c r="BH49" s="1" t="b">
        <f>AND(Q_Castries_South_East!D35,"AAAAAD7tnjs=")</f>
        <v>1</v>
      </c>
      <c r="BI49" s="1" t="b">
        <f>AND(Q_Castries_South_East!E35,"AAAAAD7tnjw=")</f>
        <v>1</v>
      </c>
      <c r="BJ49" s="1" t="b">
        <f>AND(Q_Castries_South_East!F35,"AAAAAD7tnj0=")</f>
        <v>1</v>
      </c>
      <c r="BK49" s="1" t="b">
        <f>AND(Q_Castries_South_East!G35,"AAAAAD7tnj4=")</f>
        <v>1</v>
      </c>
      <c r="BL49" s="1" t="b">
        <f>AND(Q_Castries_South_East!H35,"AAAAAD7tnj8=")</f>
        <v>1</v>
      </c>
      <c r="BM49" s="1" t="b">
        <f>AND(Q_Castries_South_East!I35,"AAAAAD7tnkA=")</f>
        <v>1</v>
      </c>
      <c r="BN49" s="1" t="b">
        <f>AND(Q_Castries_South_East!J35,"AAAAAD7tnkE=")</f>
        <v>1</v>
      </c>
      <c r="BO49" s="1" t="b">
        <f>AND(Q_Castries_South_East!K35,"AAAAAD7tnkI=")</f>
        <v>1</v>
      </c>
      <c r="BP49" s="1" t="b">
        <f>AND(Q_Castries_South_East!L35,"AAAAAD7tnkM=")</f>
        <v>1</v>
      </c>
      <c r="BQ49" s="1">
        <f>IF(Q_Castries_South_East!36:36,"AAAAAD7tnkQ=",0)</f>
        <v>0</v>
      </c>
      <c r="BR49" s="1" t="e">
        <f>AND(Q_Castries_South_East!A36,"AAAAAD7tnkU=")</f>
        <v>#VALUE!</v>
      </c>
      <c r="BS49" s="1" t="b">
        <f>AND(Q_Castries_South_East!B36,"AAAAAD7tnkY=")</f>
        <v>1</v>
      </c>
      <c r="BT49" s="1" t="b">
        <f>AND(Q_Castries_South_East!C36,"AAAAAD7tnkc=")</f>
        <v>1</v>
      </c>
      <c r="BU49" s="1" t="b">
        <f>AND(Q_Castries_South_East!D36,"AAAAAD7tnkg=")</f>
        <v>1</v>
      </c>
      <c r="BV49" s="1" t="b">
        <f>AND(Q_Castries_South_East!E36,"AAAAAD7tnkk=")</f>
        <v>1</v>
      </c>
      <c r="BW49" s="1" t="b">
        <f>AND(Q_Castries_South_East!F36,"AAAAAD7tnko=")</f>
        <v>1</v>
      </c>
      <c r="BX49" s="1" t="b">
        <f>AND(Q_Castries_South_East!G36,"AAAAAD7tnks=")</f>
        <v>1</v>
      </c>
      <c r="BY49" s="1" t="b">
        <f>AND(Q_Castries_South_East!H36,"AAAAAD7tnkw=")</f>
        <v>1</v>
      </c>
      <c r="BZ49" s="1" t="b">
        <f>AND(Q_Castries_South_East!I36,"AAAAAD7tnk0=")</f>
        <v>1</v>
      </c>
      <c r="CA49" s="1" t="b">
        <f>AND(Q_Castries_South_East!J36,"AAAAAD7tnk4=")</f>
        <v>1</v>
      </c>
      <c r="CB49" s="1" t="b">
        <f>AND(Q_Castries_South_East!K36,"AAAAAD7tnk8=")</f>
        <v>1</v>
      </c>
      <c r="CC49" s="1" t="b">
        <f>AND(Q_Castries_South_East!L36,"AAAAAD7tnlA=")</f>
        <v>1</v>
      </c>
      <c r="CD49" s="1">
        <f>IF(Q_Castries_South_East!38:38,"AAAAAD7tnlE=",0)</f>
        <v>0</v>
      </c>
      <c r="CE49" s="1" t="e">
        <f>AND(Q_Castries_South_East!A38,"AAAAAD7tnlI=")</f>
        <v>#VALUE!</v>
      </c>
      <c r="CF49" s="1" t="e">
        <f>AND(Q_Castries_South_East!B38,"AAAAAD7tnlM=")</f>
        <v>#VALUE!</v>
      </c>
      <c r="CG49" s="1" t="e">
        <f>AND(Q_Castries_South_East!C38,"AAAAAD7tnlQ=")</f>
        <v>#VALUE!</v>
      </c>
      <c r="CH49" s="1" t="e">
        <f>AND(Q_Castries_South_East!D38,"AAAAAD7tnlU=")</f>
        <v>#VALUE!</v>
      </c>
      <c r="CI49" s="1" t="e">
        <f>AND(Q_Castries_South_East!E38,"AAAAAD7tnlY=")</f>
        <v>#VALUE!</v>
      </c>
      <c r="CJ49" s="1" t="e">
        <f>AND(Q_Castries_South_East!F38,"AAAAAD7tnlc=")</f>
        <v>#VALUE!</v>
      </c>
      <c r="CK49" s="1" t="e">
        <f>AND(Q_Castries_South_East!G38,"AAAAAD7tnlg=")</f>
        <v>#VALUE!</v>
      </c>
      <c r="CL49" s="1" t="e">
        <f>AND(Q_Castries_South_East!H38,"AAAAAD7tnlk=")</f>
        <v>#VALUE!</v>
      </c>
      <c r="CM49" s="1" t="e">
        <f>AND(Q_Castries_South_East!I38,"AAAAAD7tnlo=")</f>
        <v>#VALUE!</v>
      </c>
      <c r="CN49" s="1" t="e">
        <f>AND(Q_Castries_South_East!J38,"AAAAAD7tnls=")</f>
        <v>#VALUE!</v>
      </c>
      <c r="CO49" s="1" t="e">
        <f>AND(Q_Castries_South_East!K38,"AAAAAD7tnlw=")</f>
        <v>#VALUE!</v>
      </c>
      <c r="CP49" s="1" t="e">
        <f>AND(Q_Castries_South_East!L38,"AAAAAD7tnl0=")</f>
        <v>#VALUE!</v>
      </c>
      <c r="CQ49" s="1">
        <f>IF(Q_Castries_South_East!39:39,"AAAAAD7tnl4=",0)</f>
        <v>0</v>
      </c>
      <c r="CR49" s="1" t="e">
        <f>AND(Q_Castries_South_East!A39,"AAAAAD7tnl8=")</f>
        <v>#VALUE!</v>
      </c>
      <c r="CS49" s="1" t="b">
        <f>AND(Q_Castries_South_East!B39,"AAAAAD7tnmA=")</f>
        <v>1</v>
      </c>
      <c r="CT49" s="1" t="b">
        <f>AND(Q_Castries_South_East!C39,"AAAAAD7tnmE=")</f>
        <v>1</v>
      </c>
      <c r="CU49" s="1" t="b">
        <f>AND(Q_Castries_South_East!D39,"AAAAAD7tnmI=")</f>
        <v>1</v>
      </c>
      <c r="CV49" s="1" t="b">
        <f>AND(Q_Castries_South_East!E39,"AAAAAD7tnmM=")</f>
        <v>1</v>
      </c>
      <c r="CW49" s="1" t="b">
        <f>AND(Q_Castries_South_East!F39,"AAAAAD7tnmQ=")</f>
        <v>1</v>
      </c>
      <c r="CX49" s="1" t="b">
        <f>AND(Q_Castries_South_East!G39,"AAAAAD7tnmU=")</f>
        <v>1</v>
      </c>
      <c r="CY49" s="1" t="b">
        <f>AND(Q_Castries_South_East!H39,"AAAAAD7tnmY=")</f>
        <v>1</v>
      </c>
      <c r="CZ49" s="1" t="b">
        <f>AND(Q_Castries_South_East!I39,"AAAAAD7tnmc=")</f>
        <v>1</v>
      </c>
      <c r="DA49" s="1" t="b">
        <f>AND(Q_Castries_South_East!J39,"AAAAAD7tnmg=")</f>
        <v>1</v>
      </c>
      <c r="DB49" s="1" t="b">
        <f>AND(Q_Castries_South_East!K39,"AAAAAD7tnmk=")</f>
        <v>1</v>
      </c>
      <c r="DC49" s="1" t="b">
        <f>AND(Q_Castries_South_East!L39,"AAAAAD7tnmo=")</f>
        <v>1</v>
      </c>
      <c r="DD49" s="1">
        <f>IF(Q_Castries_South_East!40:40,"AAAAAD7tnms=",0)</f>
        <v>0</v>
      </c>
      <c r="DE49" s="1" t="e">
        <f>AND(Q_Castries_South_East!A40,"AAAAAD7tnmw=")</f>
        <v>#VALUE!</v>
      </c>
      <c r="DF49" s="1" t="b">
        <f>AND(Q_Castries_South_East!B40,"AAAAAD7tnm0=")</f>
        <v>1</v>
      </c>
      <c r="DG49" s="1" t="b">
        <f>AND(Q_Castries_South_East!C40,"AAAAAD7tnm4=")</f>
        <v>1</v>
      </c>
      <c r="DH49" s="1" t="b">
        <f>AND(Q_Castries_South_East!D40,"AAAAAD7tnm8=")</f>
        <v>1</v>
      </c>
      <c r="DI49" s="1" t="b">
        <f>AND(Q_Castries_South_East!E40,"AAAAAD7tnnA=")</f>
        <v>1</v>
      </c>
      <c r="DJ49" s="1" t="b">
        <f>AND(Q_Castries_South_East!F40,"AAAAAD7tnnE=")</f>
        <v>1</v>
      </c>
      <c r="DK49" s="1" t="b">
        <f>AND(Q_Castries_South_East!G40,"AAAAAD7tnnI=")</f>
        <v>1</v>
      </c>
      <c r="DL49" s="1" t="b">
        <f>AND(Q_Castries_South_East!H40,"AAAAAD7tnnM=")</f>
        <v>1</v>
      </c>
      <c r="DM49" s="1" t="b">
        <f>AND(Q_Castries_South_East!I40,"AAAAAD7tnnQ=")</f>
        <v>1</v>
      </c>
      <c r="DN49" s="1" t="b">
        <f>AND(Q_Castries_South_East!J40,"AAAAAD7tnnU=")</f>
        <v>1</v>
      </c>
      <c r="DO49" s="1" t="b">
        <f>AND(Q_Castries_South_East!K40,"AAAAAD7tnnY=")</f>
        <v>1</v>
      </c>
      <c r="DP49" s="1" t="b">
        <f>AND(Q_Castries_South_East!L40,"AAAAAD7tnnc=")</f>
        <v>1</v>
      </c>
      <c r="DQ49" s="1">
        <f>IF(Q_Castries_South_East!41:41,"AAAAAD7tnng=",0)</f>
        <v>0</v>
      </c>
      <c r="DR49" s="1" t="e">
        <f>AND(Q_Castries_South_East!A41,"AAAAAD7tnnk=")</f>
        <v>#VALUE!</v>
      </c>
      <c r="DS49" s="1" t="b">
        <f>AND(Q_Castries_South_East!B41,"AAAAAD7tnno=")</f>
        <v>1</v>
      </c>
      <c r="DT49" s="1" t="b">
        <f>AND(Q_Castries_South_East!C41,"AAAAAD7tnns=")</f>
        <v>1</v>
      </c>
      <c r="DU49" s="1" t="b">
        <f>AND(Q_Castries_South_East!D41,"AAAAAD7tnnw=")</f>
        <v>1</v>
      </c>
      <c r="DV49" s="1" t="b">
        <f>AND(Q_Castries_South_East!E41,"AAAAAD7tnn0=")</f>
        <v>1</v>
      </c>
      <c r="DW49" s="1" t="b">
        <f>AND(Q_Castries_South_East!F41,"AAAAAD7tnn4=")</f>
        <v>1</v>
      </c>
      <c r="DX49" s="1" t="b">
        <f>AND(Q_Castries_South_East!G41,"AAAAAD7tnn8=")</f>
        <v>1</v>
      </c>
      <c r="DY49" s="1" t="b">
        <f>AND(Q_Castries_South_East!H41,"AAAAAD7tnoA=")</f>
        <v>1</v>
      </c>
      <c r="DZ49" s="1" t="b">
        <f>AND(Q_Castries_South_East!I41,"AAAAAD7tnoE=")</f>
        <v>1</v>
      </c>
      <c r="EA49" s="1" t="b">
        <f>AND(Q_Castries_South_East!J41,"AAAAAD7tnoI=")</f>
        <v>1</v>
      </c>
      <c r="EB49" s="1" t="b">
        <f>AND(Q_Castries_South_East!K41,"AAAAAD7tnoM=")</f>
        <v>1</v>
      </c>
      <c r="EC49" s="1" t="b">
        <f>AND(Q_Castries_South_East!L41,"AAAAAD7tnoQ=")</f>
        <v>1</v>
      </c>
      <c r="ED49" s="1">
        <f>IF(Q_Castries_South_East!42:42,"AAAAAD7tnoU=",0)</f>
        <v>0</v>
      </c>
      <c r="EE49" s="1" t="e">
        <f>AND(Q_Castries_South_East!A42,"AAAAAD7tnoY=")</f>
        <v>#VALUE!</v>
      </c>
      <c r="EF49" s="1" t="b">
        <f>AND(Q_Castries_South_East!B42,"AAAAAD7tnoc=")</f>
        <v>1</v>
      </c>
      <c r="EG49" s="1" t="b">
        <f>AND(Q_Castries_South_East!C42,"AAAAAD7tnog=")</f>
        <v>1</v>
      </c>
      <c r="EH49" s="1" t="b">
        <f>AND(Q_Castries_South_East!D42,"AAAAAD7tnok=")</f>
        <v>1</v>
      </c>
      <c r="EI49" s="1" t="b">
        <f>AND(Q_Castries_South_East!E42,"AAAAAD7tnoo=")</f>
        <v>1</v>
      </c>
      <c r="EJ49" s="1" t="b">
        <f>AND(Q_Castries_South_East!F42,"AAAAAD7tnos=")</f>
        <v>1</v>
      </c>
      <c r="EK49" s="1" t="b">
        <f>AND(Q_Castries_South_East!G42,"AAAAAD7tnow=")</f>
        <v>1</v>
      </c>
      <c r="EL49" s="1" t="b">
        <f>AND(Q_Castries_South_East!H42,"AAAAAD7tno0=")</f>
        <v>1</v>
      </c>
      <c r="EM49" s="1" t="b">
        <f>AND(Q_Castries_South_East!I42,"AAAAAD7tno4=")</f>
        <v>1</v>
      </c>
      <c r="EN49" s="1" t="b">
        <f>AND(Q_Castries_South_East!J42,"AAAAAD7tno8=")</f>
        <v>1</v>
      </c>
      <c r="EO49" s="1" t="b">
        <f>AND(Q_Castries_South_East!K42,"AAAAAD7tnpA=")</f>
        <v>1</v>
      </c>
      <c r="EP49" s="1" t="b">
        <f>AND(Q_Castries_South_East!L42,"AAAAAD7tnpE=")</f>
        <v>1</v>
      </c>
      <c r="EQ49" s="1" t="e">
        <f>IF(Q_Castries_South_East!#REF!,"AAAAAD7tnpI=",0)</f>
        <v>#REF!</v>
      </c>
      <c r="ER49" s="1" t="e">
        <f>AND(Q_Castries_South_East!#REF!,"AAAAAD7tnpM=")</f>
        <v>#REF!</v>
      </c>
      <c r="ES49" s="1" t="e">
        <f>AND(Q_Castries_South_East!#REF!,"AAAAAD7tnpQ=")</f>
        <v>#REF!</v>
      </c>
      <c r="ET49" s="1" t="e">
        <f>AND(Q_Castries_South_East!#REF!,"AAAAAD7tnpU=")</f>
        <v>#REF!</v>
      </c>
      <c r="EU49" s="1" t="e">
        <f>AND(Q_Castries_South_East!#REF!,"AAAAAD7tnpY=")</f>
        <v>#REF!</v>
      </c>
      <c r="EV49" s="1" t="e">
        <f>AND(Q_Castries_South_East!#REF!,"AAAAAD7tnpc=")</f>
        <v>#REF!</v>
      </c>
      <c r="EW49" s="1" t="e">
        <f>AND(Q_Castries_South_East!#REF!,"AAAAAD7tnpg=")</f>
        <v>#REF!</v>
      </c>
      <c r="EX49" s="1" t="e">
        <f>AND(Q_Castries_South_East!#REF!,"AAAAAD7tnpk=")</f>
        <v>#REF!</v>
      </c>
      <c r="EY49" s="1" t="e">
        <f>AND(Q_Castries_South_East!#REF!,"AAAAAD7tnpo=")</f>
        <v>#REF!</v>
      </c>
      <c r="EZ49" s="1" t="e">
        <f>AND(Q_Castries_South_East!#REF!,"AAAAAD7tnps=")</f>
        <v>#REF!</v>
      </c>
      <c r="FA49" s="1" t="e">
        <f>AND(Q_Castries_South_East!#REF!,"AAAAAD7tnpw=")</f>
        <v>#REF!</v>
      </c>
      <c r="FB49" s="1" t="e">
        <f>AND(Q_Castries_South_East!#REF!,"AAAAAD7tnp0=")</f>
        <v>#REF!</v>
      </c>
      <c r="FC49" s="1" t="e">
        <f>AND(Q_Castries_South_East!#REF!,"AAAAAD7tnp4=")</f>
        <v>#REF!</v>
      </c>
      <c r="FD49" s="1">
        <f>IF(Q_Castries_South_East!43:43,"AAAAAD7tnp8=",0)</f>
        <v>0</v>
      </c>
      <c r="FE49" s="1" t="e">
        <f>AND(Q_Castries_South_East!A43,"AAAAAD7tnqA=")</f>
        <v>#VALUE!</v>
      </c>
      <c r="FF49" s="1" t="b">
        <f>AND(Q_Castries_South_East!B43,"AAAAAD7tnqE=")</f>
        <v>1</v>
      </c>
      <c r="FG49" s="1" t="b">
        <f>AND(Q_Castries_South_East!C43,"AAAAAD7tnqI=")</f>
        <v>1</v>
      </c>
      <c r="FH49" s="1" t="b">
        <f>AND(Q_Castries_South_East!D43,"AAAAAD7tnqM=")</f>
        <v>1</v>
      </c>
      <c r="FI49" s="1" t="b">
        <f>AND(Q_Castries_South_East!E43,"AAAAAD7tnqQ=")</f>
        <v>1</v>
      </c>
      <c r="FJ49" s="1" t="b">
        <f>AND(Q_Castries_South_East!F43,"AAAAAD7tnqU=")</f>
        <v>1</v>
      </c>
      <c r="FK49" s="1" t="b">
        <f>AND(Q_Castries_South_East!G43,"AAAAAD7tnqY=")</f>
        <v>1</v>
      </c>
      <c r="FL49" s="1" t="b">
        <f>AND(Q_Castries_South_East!H43,"AAAAAD7tnqc=")</f>
        <v>1</v>
      </c>
      <c r="FM49" s="1" t="b">
        <f>AND(Q_Castries_South_East!I43,"AAAAAD7tnqg=")</f>
        <v>1</v>
      </c>
      <c r="FN49" s="1" t="b">
        <f>AND(Q_Castries_South_East!J43,"AAAAAD7tnqk=")</f>
        <v>1</v>
      </c>
      <c r="FO49" s="1" t="b">
        <f>AND(Q_Castries_South_East!K43,"AAAAAD7tnqo=")</f>
        <v>1</v>
      </c>
      <c r="FP49" s="1" t="b">
        <f>AND(Q_Castries_South_East!L43,"AAAAAD7tnqs=")</f>
        <v>1</v>
      </c>
      <c r="FQ49" s="1">
        <f>IF(Q_Castries_South_East!44:44,"AAAAAD7tnqw=",0)</f>
        <v>0</v>
      </c>
      <c r="FR49" s="1" t="e">
        <f>AND(Q_Castries_South_East!A44,"AAAAAD7tnq0=")</f>
        <v>#VALUE!</v>
      </c>
      <c r="FS49" s="1" t="b">
        <f>AND(Q_Castries_South_East!B44,"AAAAAD7tnq4=")</f>
        <v>1</v>
      </c>
      <c r="FT49" s="1" t="b">
        <f>AND(Q_Castries_South_East!C44,"AAAAAD7tnq8=")</f>
        <v>1</v>
      </c>
      <c r="FU49" s="1" t="b">
        <f>AND(Q_Castries_South_East!D44,"AAAAAD7tnrA=")</f>
        <v>1</v>
      </c>
      <c r="FV49" s="1" t="b">
        <f>AND(Q_Castries_South_East!E44,"AAAAAD7tnrE=")</f>
        <v>1</v>
      </c>
      <c r="FW49" s="1" t="b">
        <f>AND(Q_Castries_South_East!F44,"AAAAAD7tnrI=")</f>
        <v>1</v>
      </c>
      <c r="FX49" s="1" t="b">
        <f>AND(Q_Castries_South_East!G44,"AAAAAD7tnrM=")</f>
        <v>1</v>
      </c>
      <c r="FY49" s="1" t="b">
        <f>AND(Q_Castries_South_East!H44,"AAAAAD7tnrQ=")</f>
        <v>1</v>
      </c>
      <c r="FZ49" s="1" t="b">
        <f>AND(Q_Castries_South_East!I44,"AAAAAD7tnrU=")</f>
        <v>1</v>
      </c>
      <c r="GA49" s="1" t="b">
        <f>AND(Q_Castries_South_East!J44,"AAAAAD7tnrY=")</f>
        <v>1</v>
      </c>
      <c r="GB49" s="1" t="b">
        <f>AND(Q_Castries_South_East!K44,"AAAAAD7tnrc=")</f>
        <v>1</v>
      </c>
      <c r="GC49" s="1" t="b">
        <f>AND(Q_Castries_South_East!L44,"AAAAAD7tnrg=")</f>
        <v>1</v>
      </c>
      <c r="GD49" s="1">
        <f>IF(Q_Castries_South_East!46:46,"AAAAAD7tnrk=",0)</f>
        <v>0</v>
      </c>
      <c r="GE49" s="1" t="e">
        <f>AND(Q_Castries_South_East!A46,"AAAAAD7tnro=")</f>
        <v>#VALUE!</v>
      </c>
      <c r="GF49" s="1" t="e">
        <f>AND(Q_Castries_South_East!B46,"AAAAAD7tnrs=")</f>
        <v>#VALUE!</v>
      </c>
      <c r="GG49" s="1" t="e">
        <f>AND(Q_Castries_South_East!C46,"AAAAAD7tnrw=")</f>
        <v>#VALUE!</v>
      </c>
      <c r="GH49" s="1" t="e">
        <f>AND(Q_Castries_South_East!D46,"AAAAAD7tnr0=")</f>
        <v>#VALUE!</v>
      </c>
      <c r="GI49" s="1" t="e">
        <f>AND(Q_Castries_South_East!E46,"AAAAAD7tnr4=")</f>
        <v>#VALUE!</v>
      </c>
      <c r="GJ49" s="1" t="e">
        <f>AND(Q_Castries_South_East!F46,"AAAAAD7tnr8=")</f>
        <v>#VALUE!</v>
      </c>
      <c r="GK49" s="1" t="e">
        <f>AND(Q_Castries_South_East!G46,"AAAAAD7tnsA=")</f>
        <v>#VALUE!</v>
      </c>
      <c r="GL49" s="1" t="e">
        <f>AND(Q_Castries_South_East!H46,"AAAAAD7tnsE=")</f>
        <v>#VALUE!</v>
      </c>
      <c r="GM49" s="1" t="e">
        <f>AND(Q_Castries_South_East!I46,"AAAAAD7tnsI=")</f>
        <v>#VALUE!</v>
      </c>
      <c r="GN49" s="1" t="e">
        <f>AND(Q_Castries_South_East!J46,"AAAAAD7tnsM=")</f>
        <v>#VALUE!</v>
      </c>
      <c r="GO49" s="1" t="e">
        <f>AND(Q_Castries_South_East!K46,"AAAAAD7tnsQ=")</f>
        <v>#VALUE!</v>
      </c>
      <c r="GP49" s="1" t="e">
        <f>AND(Q_Castries_South_East!L46,"AAAAAD7tnsU=")</f>
        <v>#VALUE!</v>
      </c>
      <c r="GQ49" s="1">
        <f>IF(Q_Castries_South_East!47:47,"AAAAAD7tnsY=",0)</f>
        <v>0</v>
      </c>
      <c r="GR49" s="1" t="e">
        <f>AND(Q_Castries_South_East!A47,"AAAAAD7tnsc=")</f>
        <v>#VALUE!</v>
      </c>
      <c r="GS49" s="1" t="b">
        <f>AND(Q_Castries_South_East!B47,"AAAAAD7tnsg=")</f>
        <v>1</v>
      </c>
      <c r="GT49" s="1" t="b">
        <f>AND(Q_Castries_South_East!C47,"AAAAAD7tnsk=")</f>
        <v>1</v>
      </c>
      <c r="GU49" s="1" t="b">
        <f>AND(Q_Castries_South_East!D47,"AAAAAD7tnso=")</f>
        <v>1</v>
      </c>
      <c r="GV49" s="1" t="b">
        <f>AND(Q_Castries_South_East!E47,"AAAAAD7tnss=")</f>
        <v>1</v>
      </c>
      <c r="GW49" s="1" t="b">
        <f>AND(Q_Castries_South_East!F47,"AAAAAD7tnsw=")</f>
        <v>1</v>
      </c>
      <c r="GX49" s="1" t="b">
        <f>AND(Q_Castries_South_East!G47,"AAAAAD7tns0=")</f>
        <v>1</v>
      </c>
      <c r="GY49" s="1" t="b">
        <f>AND(Q_Castries_South_East!H47,"AAAAAD7tns4=")</f>
        <v>1</v>
      </c>
      <c r="GZ49" s="1" t="b">
        <f>AND(Q_Castries_South_East!I47,"AAAAAD7tns8=")</f>
        <v>1</v>
      </c>
      <c r="HA49" s="1" t="b">
        <f>AND(Q_Castries_South_East!J47,"AAAAAD7tntA=")</f>
        <v>1</v>
      </c>
      <c r="HB49" s="1" t="b">
        <f>AND(Q_Castries_South_East!K47,"AAAAAD7tntE=")</f>
        <v>1</v>
      </c>
      <c r="HC49" s="1" t="b">
        <f>AND(Q_Castries_South_East!L47,"AAAAAD7tntI=")</f>
        <v>1</v>
      </c>
      <c r="HD49" s="1">
        <f>IF(Q_Castries_South_East!48:48,"AAAAAD7tntM=",0)</f>
        <v>0</v>
      </c>
      <c r="HE49" s="1" t="e">
        <f>AND(Q_Castries_South_East!A48,"AAAAAD7tntQ=")</f>
        <v>#VALUE!</v>
      </c>
      <c r="HF49" s="1" t="b">
        <f>AND(Q_Castries_South_East!B48,"AAAAAD7tntU=")</f>
        <v>1</v>
      </c>
      <c r="HG49" s="1" t="b">
        <f>AND(Q_Castries_South_East!C48,"AAAAAD7tntY=")</f>
        <v>1</v>
      </c>
      <c r="HH49" s="1" t="b">
        <f>AND(Q_Castries_South_East!D48,"AAAAAD7tntc=")</f>
        <v>1</v>
      </c>
      <c r="HI49" s="1" t="b">
        <f>AND(Q_Castries_South_East!E48,"AAAAAD7tntg=")</f>
        <v>1</v>
      </c>
      <c r="HJ49" s="1" t="b">
        <f>AND(Q_Castries_South_East!F48,"AAAAAD7tntk=")</f>
        <v>1</v>
      </c>
      <c r="HK49" s="1" t="b">
        <f>AND(Q_Castries_South_East!G48,"AAAAAD7tnto=")</f>
        <v>1</v>
      </c>
      <c r="HL49" s="1" t="b">
        <f>AND(Q_Castries_South_East!H48,"AAAAAD7tnts=")</f>
        <v>1</v>
      </c>
      <c r="HM49" s="1" t="b">
        <f>AND(Q_Castries_South_East!I48,"AAAAAD7tntw=")</f>
        <v>1</v>
      </c>
      <c r="HN49" s="1" t="b">
        <f>AND(Q_Castries_South_East!J48,"AAAAAD7tnt0=")</f>
        <v>1</v>
      </c>
      <c r="HO49" s="1" t="b">
        <f>AND(Q_Castries_South_East!K48,"AAAAAD7tnt4=")</f>
        <v>1</v>
      </c>
      <c r="HP49" s="1" t="b">
        <f>AND(Q_Castries_South_East!L48,"AAAAAD7tnt8=")</f>
        <v>1</v>
      </c>
      <c r="HQ49" s="1">
        <f>IF(Q_Castries_South_East!49:49,"AAAAAD7tnuA=",0)</f>
        <v>0</v>
      </c>
      <c r="HR49" s="1" t="e">
        <f>AND(Q_Castries_South_East!A49,"AAAAAD7tnuE=")</f>
        <v>#VALUE!</v>
      </c>
      <c r="HS49" s="1" t="b">
        <f>AND(Q_Castries_South_East!B49,"AAAAAD7tnuI=")</f>
        <v>1</v>
      </c>
      <c r="HT49" s="1" t="b">
        <f>AND(Q_Castries_South_East!C49,"AAAAAD7tnuM=")</f>
        <v>1</v>
      </c>
      <c r="HU49" s="1" t="b">
        <f>AND(Q_Castries_South_East!D49,"AAAAAD7tnuQ=")</f>
        <v>1</v>
      </c>
      <c r="HV49" s="1" t="b">
        <f>AND(Q_Castries_South_East!E49,"AAAAAD7tnuU=")</f>
        <v>1</v>
      </c>
      <c r="HW49" s="1" t="b">
        <f>AND(Q_Castries_South_East!F49,"AAAAAD7tnuY=")</f>
        <v>1</v>
      </c>
      <c r="HX49" s="1" t="b">
        <f>AND(Q_Castries_South_East!G49,"AAAAAD7tnuc=")</f>
        <v>1</v>
      </c>
      <c r="HY49" s="1" t="b">
        <f>AND(Q_Castries_South_East!H49,"AAAAAD7tnug=")</f>
        <v>1</v>
      </c>
      <c r="HZ49" s="1" t="b">
        <f>AND(Q_Castries_South_East!I49,"AAAAAD7tnuk=")</f>
        <v>1</v>
      </c>
      <c r="IA49" s="1" t="b">
        <f>AND(Q_Castries_South_East!J49,"AAAAAD7tnuo=")</f>
        <v>1</v>
      </c>
      <c r="IB49" s="1" t="b">
        <f>AND(Q_Castries_South_East!K49,"AAAAAD7tnus=")</f>
        <v>1</v>
      </c>
      <c r="IC49" s="1" t="b">
        <f>AND(Q_Castries_South_East!L49,"AAAAAD7tnuw=")</f>
        <v>1</v>
      </c>
      <c r="ID49" s="1" t="e">
        <f>IF(Q_Castries_South_East!#REF!,"AAAAAD7tnu0=",0)</f>
        <v>#REF!</v>
      </c>
      <c r="IE49" s="1" t="e">
        <f>AND(Q_Castries_South_East!#REF!,"AAAAAD7tnu4=")</f>
        <v>#REF!</v>
      </c>
      <c r="IF49" s="1" t="e">
        <f>AND(Q_Castries_South_East!#REF!,"AAAAAD7tnu8=")</f>
        <v>#REF!</v>
      </c>
      <c r="IG49" s="1" t="e">
        <f>AND(Q_Castries_South_East!#REF!,"AAAAAD7tnvA=")</f>
        <v>#REF!</v>
      </c>
      <c r="IH49" s="1" t="e">
        <f>AND(Q_Castries_South_East!#REF!,"AAAAAD7tnvE=")</f>
        <v>#REF!</v>
      </c>
      <c r="II49" s="1" t="e">
        <f>AND(Q_Castries_South_East!#REF!,"AAAAAD7tnvI=")</f>
        <v>#REF!</v>
      </c>
      <c r="IJ49" s="1" t="e">
        <f>AND(Q_Castries_South_East!#REF!,"AAAAAD7tnvM=")</f>
        <v>#REF!</v>
      </c>
      <c r="IK49" s="1" t="e">
        <f>AND(Q_Castries_South_East!#REF!,"AAAAAD7tnvQ=")</f>
        <v>#REF!</v>
      </c>
      <c r="IL49" s="1" t="e">
        <f>AND(Q_Castries_South_East!#REF!,"AAAAAD7tnvU=")</f>
        <v>#REF!</v>
      </c>
      <c r="IM49" s="1" t="e">
        <f>AND(Q_Castries_South_East!#REF!,"AAAAAD7tnvY=")</f>
        <v>#REF!</v>
      </c>
      <c r="IN49" s="1" t="e">
        <f>AND(Q_Castries_South_East!#REF!,"AAAAAD7tnvc=")</f>
        <v>#REF!</v>
      </c>
      <c r="IO49" s="1" t="e">
        <f>AND(Q_Castries_South_East!#REF!,"AAAAAD7tnvg=")</f>
        <v>#REF!</v>
      </c>
      <c r="IP49" s="1" t="e">
        <f>AND(Q_Castries_South_East!#REF!,"AAAAAD7tnvk=")</f>
        <v>#REF!</v>
      </c>
      <c r="IQ49" s="1">
        <f>IF(Q_Castries_South_East!50:50,"AAAAAD7tnvo=",0)</f>
        <v>0</v>
      </c>
      <c r="IR49" s="1" t="e">
        <f>AND(Q_Castries_South_East!A50,"AAAAAD7tnvs=")</f>
        <v>#VALUE!</v>
      </c>
      <c r="IS49" s="1" t="b">
        <f>AND(Q_Castries_South_East!B50,"AAAAAD7tnvw=")</f>
        <v>1</v>
      </c>
      <c r="IT49" s="1" t="b">
        <f>AND(Q_Castries_South_East!C50,"AAAAAD7tnv0=")</f>
        <v>1</v>
      </c>
      <c r="IU49" s="1" t="b">
        <f>AND(Q_Castries_South_East!D50,"AAAAAD7tnv4=")</f>
        <v>1</v>
      </c>
      <c r="IV49" s="1" t="b">
        <f>AND(Q_Castries_South_East!E50,"AAAAAD7tnv8=")</f>
        <v>1</v>
      </c>
    </row>
    <row r="50" spans="1:256" ht="12" customHeight="1" x14ac:dyDescent="0.2">
      <c r="A50" s="1" t="b">
        <f>AND(Q_Castries_South_East!F50,"AAAAAHvPpwA=")</f>
        <v>1</v>
      </c>
      <c r="B50" s="1" t="b">
        <f>AND(Q_Castries_South_East!G50,"AAAAAHvPpwE=")</f>
        <v>1</v>
      </c>
      <c r="C50" s="1" t="b">
        <f>AND(Q_Castries_South_East!H50,"AAAAAHvPpwI=")</f>
        <v>1</v>
      </c>
      <c r="D50" s="1" t="b">
        <f>AND(Q_Castries_South_East!I50,"AAAAAHvPpwM=")</f>
        <v>1</v>
      </c>
      <c r="E50" s="1" t="b">
        <f>AND(Q_Castries_South_East!J50,"AAAAAHvPpwQ=")</f>
        <v>1</v>
      </c>
      <c r="F50" s="1" t="b">
        <f>AND(Q_Castries_South_East!K50,"AAAAAHvPpwU=")</f>
        <v>1</v>
      </c>
      <c r="G50" s="1" t="b">
        <f>AND(Q_Castries_South_East!L50,"AAAAAHvPpwY=")</f>
        <v>1</v>
      </c>
      <c r="H50" s="1">
        <f>IF(Q_Castries_South_East!52:52,"AAAAAHvPpwc=",0)</f>
        <v>0</v>
      </c>
      <c r="I50" s="1" t="e">
        <f>AND(Q_Castries_South_East!A52,"AAAAAHvPpwg=")</f>
        <v>#VALUE!</v>
      </c>
      <c r="J50" s="1" t="e">
        <f>AND(Q_Castries_South_East!B52,"AAAAAHvPpwk=")</f>
        <v>#VALUE!</v>
      </c>
      <c r="K50" s="1" t="e">
        <f>AND(Q_Castries_South_East!C52,"AAAAAHvPpwo=")</f>
        <v>#VALUE!</v>
      </c>
      <c r="L50" s="1" t="e">
        <f>AND(Q_Castries_South_East!D52,"AAAAAHvPpws=")</f>
        <v>#VALUE!</v>
      </c>
      <c r="M50" s="1" t="e">
        <f>AND(Q_Castries_South_East!E52,"AAAAAHvPpww=")</f>
        <v>#VALUE!</v>
      </c>
      <c r="N50" s="1" t="e">
        <f>AND(Q_Castries_South_East!F52,"AAAAAHvPpw0=")</f>
        <v>#VALUE!</v>
      </c>
      <c r="O50" s="1" t="e">
        <f>AND(Q_Castries_South_East!G52,"AAAAAHvPpw4=")</f>
        <v>#VALUE!</v>
      </c>
      <c r="P50" s="1" t="e">
        <f>AND(Q_Castries_South_East!H52,"AAAAAHvPpw8=")</f>
        <v>#VALUE!</v>
      </c>
      <c r="Q50" s="1" t="e">
        <f>AND(Q_Castries_South_East!I52,"AAAAAHvPpxA=")</f>
        <v>#VALUE!</v>
      </c>
      <c r="R50" s="1" t="e">
        <f>AND(Q_Castries_South_East!J52,"AAAAAHvPpxE=")</f>
        <v>#VALUE!</v>
      </c>
      <c r="S50" s="1" t="e">
        <f>AND(Q_Castries_South_East!K52,"AAAAAHvPpxI=")</f>
        <v>#VALUE!</v>
      </c>
      <c r="T50" s="1" t="e">
        <f>AND(Q_Castries_South_East!L52,"AAAAAHvPpxM=")</f>
        <v>#VALUE!</v>
      </c>
      <c r="U50" s="1">
        <f>IF(Q_Castries_South_East!53:53,"AAAAAHvPpxQ=",0)</f>
        <v>0</v>
      </c>
      <c r="V50" s="1" t="e">
        <f>AND(Q_Castries_South_East!A53,"AAAAAHvPpxU=")</f>
        <v>#VALUE!</v>
      </c>
      <c r="W50" s="1" t="b">
        <f>AND(Q_Castries_South_East!B53,"AAAAAHvPpxY=")</f>
        <v>1</v>
      </c>
      <c r="X50" s="1" t="b">
        <f>AND(Q_Castries_South_East!C53,"AAAAAHvPpxc=")</f>
        <v>1</v>
      </c>
      <c r="Y50" s="1" t="b">
        <f>AND(Q_Castries_South_East!D53,"AAAAAHvPpxg=")</f>
        <v>1</v>
      </c>
      <c r="Z50" s="1" t="b">
        <f>AND(Q_Castries_South_East!E53,"AAAAAHvPpxk=")</f>
        <v>1</v>
      </c>
      <c r="AA50" s="1" t="b">
        <f>AND(Q_Castries_South_East!F53,"AAAAAHvPpxo=")</f>
        <v>1</v>
      </c>
      <c r="AB50" s="1" t="b">
        <f>AND(Q_Castries_South_East!G53,"AAAAAHvPpxs=")</f>
        <v>1</v>
      </c>
      <c r="AC50" s="1" t="b">
        <f>AND(Q_Castries_South_East!H53,"AAAAAHvPpxw=")</f>
        <v>1</v>
      </c>
      <c r="AD50" s="1" t="b">
        <f>AND(Q_Castries_South_East!I53,"AAAAAHvPpx0=")</f>
        <v>1</v>
      </c>
      <c r="AE50" s="1" t="b">
        <f>AND(Q_Castries_South_East!J53,"AAAAAHvPpx4=")</f>
        <v>1</v>
      </c>
      <c r="AF50" s="1" t="b">
        <f>AND(Q_Castries_South_East!K53,"AAAAAHvPpx8=")</f>
        <v>1</v>
      </c>
      <c r="AG50" s="1" t="b">
        <f>AND(Q_Castries_South_East!L53,"AAAAAHvPpyA=")</f>
        <v>1</v>
      </c>
      <c r="AH50" s="1">
        <f>IF(Q_Castries_South_East!55:55,"AAAAAHvPpyE=",0)</f>
        <v>0</v>
      </c>
      <c r="AI50" s="1" t="e">
        <f>AND(Q_Castries_South_East!A55,"AAAAAHvPpyI=")</f>
        <v>#VALUE!</v>
      </c>
      <c r="AJ50" s="1" t="e">
        <f>AND(Q_Castries_South_East!B55,"AAAAAHvPpyM=")</f>
        <v>#VALUE!</v>
      </c>
      <c r="AK50" s="1" t="e">
        <f>AND(Q_Castries_South_East!C55,"AAAAAHvPpyQ=")</f>
        <v>#VALUE!</v>
      </c>
      <c r="AL50" s="1" t="e">
        <f>AND(Q_Castries_South_East!D55,"AAAAAHvPpyU=")</f>
        <v>#VALUE!</v>
      </c>
      <c r="AM50" s="1" t="e">
        <f>AND(Q_Castries_South_East!E55,"AAAAAHvPpyY=")</f>
        <v>#VALUE!</v>
      </c>
      <c r="AN50" s="1" t="e">
        <f>AND(Q_Castries_South_East!F55,"AAAAAHvPpyc=")</f>
        <v>#VALUE!</v>
      </c>
      <c r="AO50" s="1" t="e">
        <f>AND(Q_Castries_South_East!G55,"AAAAAHvPpyg=")</f>
        <v>#VALUE!</v>
      </c>
      <c r="AP50" s="1" t="e">
        <f>AND(Q_Castries_South_East!H55,"AAAAAHvPpyk=")</f>
        <v>#VALUE!</v>
      </c>
      <c r="AQ50" s="1" t="e">
        <f>AND(Q_Castries_South_East!I55,"AAAAAHvPpyo=")</f>
        <v>#VALUE!</v>
      </c>
      <c r="AR50" s="1" t="e">
        <f>AND(Q_Castries_South_East!J55,"AAAAAHvPpys=")</f>
        <v>#VALUE!</v>
      </c>
      <c r="AS50" s="1" t="e">
        <f>AND(Q_Castries_South_East!K55,"AAAAAHvPpyw=")</f>
        <v>#VALUE!</v>
      </c>
      <c r="AT50" s="1" t="e">
        <f>AND(Q_Castries_South_East!L55,"AAAAAHvPpy0=")</f>
        <v>#VALUE!</v>
      </c>
      <c r="AU50" s="1">
        <f>IF(Q_Castries_South_East!56:56,"AAAAAHvPpy4=",0)</f>
        <v>0</v>
      </c>
      <c r="AV50" s="1" t="e">
        <f>AND(Q_Castries_South_East!A56,"AAAAAHvPpy8=")</f>
        <v>#VALUE!</v>
      </c>
      <c r="AW50" s="1" t="b">
        <f>AND(Q_Castries_South_East!B56,"AAAAAHvPpzA=")</f>
        <v>1</v>
      </c>
      <c r="AX50" s="1" t="b">
        <f>AND(Q_Castries_South_East!C56,"AAAAAHvPpzE=")</f>
        <v>1</v>
      </c>
      <c r="AY50" s="1" t="b">
        <f>AND(Q_Castries_South_East!D56,"AAAAAHvPpzI=")</f>
        <v>1</v>
      </c>
      <c r="AZ50" s="1" t="b">
        <f>AND(Q_Castries_South_East!E56,"AAAAAHvPpzM=")</f>
        <v>1</v>
      </c>
      <c r="BA50" s="1" t="b">
        <f>AND(Q_Castries_South_East!F56,"AAAAAHvPpzQ=")</f>
        <v>1</v>
      </c>
      <c r="BB50" s="1" t="b">
        <f>AND(Q_Castries_South_East!G56,"AAAAAHvPpzU=")</f>
        <v>1</v>
      </c>
      <c r="BC50" s="1" t="b">
        <f>AND(Q_Castries_South_East!H56,"AAAAAHvPpzY=")</f>
        <v>1</v>
      </c>
      <c r="BD50" s="1" t="b">
        <f>AND(Q_Castries_South_East!I56,"AAAAAHvPpzc=")</f>
        <v>1</v>
      </c>
      <c r="BE50" s="1" t="b">
        <f>AND(Q_Castries_South_East!J56,"AAAAAHvPpzg=")</f>
        <v>1</v>
      </c>
      <c r="BF50" s="1" t="b">
        <f>AND(Q_Castries_South_East!K56,"AAAAAHvPpzk=")</f>
        <v>1</v>
      </c>
      <c r="BG50" s="1" t="b">
        <f>AND(Q_Castries_South_East!L56,"AAAAAHvPpzo=")</f>
        <v>1</v>
      </c>
      <c r="BH50" s="1">
        <f>IF(Q_Castries_South_East!57:57,"AAAAAHvPpzs=",0)</f>
        <v>0</v>
      </c>
      <c r="BI50" s="1" t="e">
        <f>AND(Q_Castries_South_East!A57,"AAAAAHvPpzw=")</f>
        <v>#VALUE!</v>
      </c>
      <c r="BJ50" s="1" t="b">
        <f>AND(Q_Castries_South_East!B57,"AAAAAHvPpz0=")</f>
        <v>1</v>
      </c>
      <c r="BK50" s="1" t="b">
        <f>AND(Q_Castries_South_East!C57,"AAAAAHvPpz4=")</f>
        <v>1</v>
      </c>
      <c r="BL50" s="1" t="b">
        <f>AND(Q_Castries_South_East!D57,"AAAAAHvPpz8=")</f>
        <v>1</v>
      </c>
      <c r="BM50" s="1" t="b">
        <f>AND(Q_Castries_South_East!E57,"AAAAAHvPp0A=")</f>
        <v>1</v>
      </c>
      <c r="BN50" s="1" t="b">
        <f>AND(Q_Castries_South_East!F57,"AAAAAHvPp0E=")</f>
        <v>1</v>
      </c>
      <c r="BO50" s="1" t="b">
        <f>AND(Q_Castries_South_East!G57,"AAAAAHvPp0I=")</f>
        <v>0</v>
      </c>
      <c r="BP50" s="1" t="b">
        <f>AND(Q_Castries_South_East!H57,"AAAAAHvPp0M=")</f>
        <v>0</v>
      </c>
      <c r="BQ50" s="1" t="b">
        <f>AND(Q_Castries_South_East!I57,"AAAAAHvPp0Q=")</f>
        <v>1</v>
      </c>
      <c r="BR50" s="1" t="b">
        <f>AND(Q_Castries_South_East!J57,"AAAAAHvPp0U=")</f>
        <v>1</v>
      </c>
      <c r="BS50" s="1" t="b">
        <f>AND(Q_Castries_South_East!K57,"AAAAAHvPp0Y=")</f>
        <v>1</v>
      </c>
      <c r="BT50" s="1" t="b">
        <f>AND(Q_Castries_South_East!L57,"AAAAAHvPp0c=")</f>
        <v>1</v>
      </c>
      <c r="BU50" s="1">
        <f>IF(Q_Castries_South_East!58:58,"AAAAAHvPp0g=",0)</f>
        <v>0</v>
      </c>
      <c r="BV50" s="1" t="e">
        <f>AND(Q_Castries_South_East!A58,"AAAAAHvPp0k=")</f>
        <v>#VALUE!</v>
      </c>
      <c r="BW50" s="1" t="b">
        <f>AND(Q_Castries_South_East!B58,"AAAAAHvPp0o=")</f>
        <v>1</v>
      </c>
      <c r="BX50" s="1" t="b">
        <f>AND(Q_Castries_South_East!C58,"AAAAAHvPp0s=")</f>
        <v>1</v>
      </c>
      <c r="BY50" s="1" t="b">
        <f>AND(Q_Castries_South_East!D58,"AAAAAHvPp0w=")</f>
        <v>1</v>
      </c>
      <c r="BZ50" s="1" t="b">
        <f>AND(Q_Castries_South_East!E58,"AAAAAHvPp00=")</f>
        <v>1</v>
      </c>
      <c r="CA50" s="1" t="b">
        <f>AND(Q_Castries_South_East!F58,"AAAAAHvPp04=")</f>
        <v>1</v>
      </c>
      <c r="CB50" s="1" t="b">
        <f>AND(Q_Castries_South_East!G58,"AAAAAHvPp08=")</f>
        <v>1</v>
      </c>
      <c r="CC50" s="1" t="b">
        <f>AND(Q_Castries_South_East!H58,"AAAAAHvPp1A=")</f>
        <v>1</v>
      </c>
      <c r="CD50" s="1" t="b">
        <f>AND(Q_Castries_South_East!I58,"AAAAAHvPp1E=")</f>
        <v>1</v>
      </c>
      <c r="CE50" s="1" t="b">
        <f>AND(Q_Castries_South_East!J58,"AAAAAHvPp1I=")</f>
        <v>1</v>
      </c>
      <c r="CF50" s="1" t="b">
        <f>AND(Q_Castries_South_East!K58,"AAAAAHvPp1M=")</f>
        <v>1</v>
      </c>
      <c r="CG50" s="1" t="b">
        <f>AND(Q_Castries_South_East!L58,"AAAAAHvPp1Q=")</f>
        <v>1</v>
      </c>
      <c r="CH50" s="1">
        <f>IF(Q_Castries_South_East!59:59,"AAAAAHvPp1U=",0)</f>
        <v>0</v>
      </c>
      <c r="CI50" s="1" t="e">
        <f>AND(Q_Castries_South_East!A59,"AAAAAHvPp1Y=")</f>
        <v>#VALUE!</v>
      </c>
      <c r="CJ50" s="1" t="b">
        <f>AND(Q_Castries_South_East!B59,"AAAAAHvPp1c=")</f>
        <v>1</v>
      </c>
      <c r="CK50" s="1" t="b">
        <f>AND(Q_Castries_South_East!C59,"AAAAAHvPp1g=")</f>
        <v>1</v>
      </c>
      <c r="CL50" s="1" t="b">
        <f>AND(Q_Castries_South_East!D59,"AAAAAHvPp1k=")</f>
        <v>1</v>
      </c>
      <c r="CM50" s="1" t="b">
        <f>AND(Q_Castries_South_East!E59,"AAAAAHvPp1o=")</f>
        <v>1</v>
      </c>
      <c r="CN50" s="1" t="b">
        <f>AND(Q_Castries_South_East!F59,"AAAAAHvPp1s=")</f>
        <v>1</v>
      </c>
      <c r="CO50" s="1" t="b">
        <f>AND(Q_Castries_South_East!G59,"AAAAAHvPp1w=")</f>
        <v>1</v>
      </c>
      <c r="CP50" s="1" t="b">
        <f>AND(Q_Castries_South_East!H59,"AAAAAHvPp10=")</f>
        <v>1</v>
      </c>
      <c r="CQ50" s="1" t="b">
        <f>AND(Q_Castries_South_East!I59,"AAAAAHvPp14=")</f>
        <v>1</v>
      </c>
      <c r="CR50" s="1" t="b">
        <f>AND(Q_Castries_South_East!J59,"AAAAAHvPp18=")</f>
        <v>1</v>
      </c>
      <c r="CS50" s="1" t="b">
        <f>AND(Q_Castries_South_East!K59,"AAAAAHvPp2A=")</f>
        <v>1</v>
      </c>
      <c r="CT50" s="1" t="b">
        <f>AND(Q_Castries_South_East!L59,"AAAAAHvPp2E=")</f>
        <v>1</v>
      </c>
      <c r="CU50" s="1">
        <f>IF(Q_Castries_South_East!60:60,"AAAAAHvPp2I=",0)</f>
        <v>0</v>
      </c>
      <c r="CV50" s="1" t="e">
        <f>AND(Q_Castries_South_East!A60,"AAAAAHvPp2M=")</f>
        <v>#VALUE!</v>
      </c>
      <c r="CW50" s="1" t="b">
        <f>AND(Q_Castries_South_East!B60,"AAAAAHvPp2Q=")</f>
        <v>1</v>
      </c>
      <c r="CX50" s="1" t="b">
        <f>AND(Q_Castries_South_East!C60,"AAAAAHvPp2U=")</f>
        <v>1</v>
      </c>
      <c r="CY50" s="1" t="b">
        <f>AND(Q_Castries_South_East!D60,"AAAAAHvPp2Y=")</f>
        <v>1</v>
      </c>
      <c r="CZ50" s="1" t="b">
        <f>AND(Q_Castries_South_East!E60,"AAAAAHvPp2c=")</f>
        <v>1</v>
      </c>
      <c r="DA50" s="1" t="b">
        <f>AND(Q_Castries_South_East!F60,"AAAAAHvPp2g=")</f>
        <v>1</v>
      </c>
      <c r="DB50" s="1" t="b">
        <f>AND(Q_Castries_South_East!G60,"AAAAAHvPp2k=")</f>
        <v>1</v>
      </c>
      <c r="DC50" s="1" t="b">
        <f>AND(Q_Castries_South_East!H60,"AAAAAHvPp2o=")</f>
        <v>1</v>
      </c>
      <c r="DD50" s="1" t="b">
        <f>AND(Q_Castries_South_East!I60,"AAAAAHvPp2s=")</f>
        <v>1</v>
      </c>
      <c r="DE50" s="1" t="b">
        <f>AND(Q_Castries_South_East!J60,"AAAAAHvPp2w=")</f>
        <v>1</v>
      </c>
      <c r="DF50" s="1" t="b">
        <f>AND(Q_Castries_South_East!K60,"AAAAAHvPp20=")</f>
        <v>1</v>
      </c>
      <c r="DG50" s="1" t="b">
        <f>AND(Q_Castries_South_East!L60,"AAAAAHvPp24=")</f>
        <v>1</v>
      </c>
      <c r="DH50" s="1">
        <f>IF(Q_Castries_South_East!61:61,"AAAAAHvPp28=",0)</f>
        <v>0</v>
      </c>
      <c r="DI50" s="1" t="e">
        <f>AND(Q_Castries_South_East!A61,"AAAAAHvPp3A=")</f>
        <v>#VALUE!</v>
      </c>
      <c r="DJ50" s="1" t="b">
        <f>AND(Q_Castries_South_East!B61,"AAAAAHvPp3E=")</f>
        <v>1</v>
      </c>
      <c r="DK50" s="1" t="b">
        <f>AND(Q_Castries_South_East!C61,"AAAAAHvPp3I=")</f>
        <v>1</v>
      </c>
      <c r="DL50" s="1" t="b">
        <f>AND(Q_Castries_South_East!D61,"AAAAAHvPp3M=")</f>
        <v>1</v>
      </c>
      <c r="DM50" s="1" t="b">
        <f>AND(Q_Castries_South_East!E61,"AAAAAHvPp3Q=")</f>
        <v>1</v>
      </c>
      <c r="DN50" s="1" t="b">
        <f>AND(Q_Castries_South_East!F61,"AAAAAHvPp3U=")</f>
        <v>1</v>
      </c>
      <c r="DO50" s="1" t="b">
        <f>AND(Q_Castries_South_East!G61,"AAAAAHvPp3Y=")</f>
        <v>1</v>
      </c>
      <c r="DP50" s="1" t="b">
        <f>AND(Q_Castries_South_East!H61,"AAAAAHvPp3c=")</f>
        <v>1</v>
      </c>
      <c r="DQ50" s="1" t="b">
        <f>AND(Q_Castries_South_East!I61,"AAAAAHvPp3g=")</f>
        <v>1</v>
      </c>
      <c r="DR50" s="1" t="b">
        <f>AND(Q_Castries_South_East!J61,"AAAAAHvPp3k=")</f>
        <v>1</v>
      </c>
      <c r="DS50" s="1" t="b">
        <f>AND(Q_Castries_South_East!K61,"AAAAAHvPp3o=")</f>
        <v>1</v>
      </c>
      <c r="DT50" s="1" t="b">
        <f>AND(Q_Castries_South_East!L61,"AAAAAHvPp3s=")</f>
        <v>1</v>
      </c>
      <c r="DU50" s="1" t="e">
        <f>IF(Q_Castries_South_East!#REF!,"AAAAAHvPp3w=",0)</f>
        <v>#REF!</v>
      </c>
      <c r="DV50" s="1" t="e">
        <f>AND(Q_Castries_South_East!#REF!,"AAAAAHvPp30=")</f>
        <v>#REF!</v>
      </c>
      <c r="DW50" s="1" t="e">
        <f>AND(Q_Castries_South_East!#REF!,"AAAAAHvPp34=")</f>
        <v>#REF!</v>
      </c>
      <c r="DX50" s="1" t="e">
        <f>AND(Q_Castries_South_East!#REF!,"AAAAAHvPp38=")</f>
        <v>#REF!</v>
      </c>
      <c r="DY50" s="1" t="e">
        <f>AND(Q_Castries_South_East!#REF!,"AAAAAHvPp4A=")</f>
        <v>#REF!</v>
      </c>
      <c r="DZ50" s="1" t="e">
        <f>AND(Q_Castries_South_East!#REF!,"AAAAAHvPp4E=")</f>
        <v>#REF!</v>
      </c>
      <c r="EA50" s="1" t="e">
        <f>AND(Q_Castries_South_East!#REF!,"AAAAAHvPp4I=")</f>
        <v>#REF!</v>
      </c>
      <c r="EB50" s="1" t="e">
        <f>AND(Q_Castries_South_East!#REF!,"AAAAAHvPp4M=")</f>
        <v>#REF!</v>
      </c>
      <c r="EC50" s="1" t="e">
        <f>AND(Q_Castries_South_East!#REF!,"AAAAAHvPp4Q=")</f>
        <v>#REF!</v>
      </c>
      <c r="ED50" s="1" t="e">
        <f>AND(Q_Castries_South_East!#REF!,"AAAAAHvPp4U=")</f>
        <v>#REF!</v>
      </c>
      <c r="EE50" s="1" t="e">
        <f>AND(Q_Castries_South_East!#REF!,"AAAAAHvPp4Y=")</f>
        <v>#REF!</v>
      </c>
      <c r="EF50" s="1" t="e">
        <f>AND(Q_Castries_South_East!#REF!,"AAAAAHvPp4c=")</f>
        <v>#REF!</v>
      </c>
      <c r="EG50" s="1" t="e">
        <f>AND(Q_Castries_South_East!#REF!,"AAAAAHvPp4g=")</f>
        <v>#REF!</v>
      </c>
      <c r="EH50" s="1" t="e">
        <f>IF(Q_Castries_South_East!#REF!,"AAAAAHvPp4k=",0)</f>
        <v>#REF!</v>
      </c>
      <c r="EI50" s="1" t="e">
        <f>AND(Q_Castries_South_East!#REF!,"AAAAAHvPp4o=")</f>
        <v>#REF!</v>
      </c>
      <c r="EJ50" s="1" t="e">
        <f>AND(Q_Castries_South_East!#REF!,"AAAAAHvPp4s=")</f>
        <v>#REF!</v>
      </c>
      <c r="EK50" s="1" t="e">
        <f>AND(Q_Castries_South_East!#REF!,"AAAAAHvPp4w=")</f>
        <v>#REF!</v>
      </c>
      <c r="EL50" s="1" t="e">
        <f>AND(Q_Castries_South_East!#REF!,"AAAAAHvPp40=")</f>
        <v>#REF!</v>
      </c>
      <c r="EM50" s="1" t="e">
        <f>AND(Q_Castries_South_East!#REF!,"AAAAAHvPp44=")</f>
        <v>#REF!</v>
      </c>
      <c r="EN50" s="1" t="e">
        <f>AND(Q_Castries_South_East!#REF!,"AAAAAHvPp48=")</f>
        <v>#REF!</v>
      </c>
      <c r="EO50" s="1" t="e">
        <f>AND(Q_Castries_South_East!#REF!,"AAAAAHvPp5A=")</f>
        <v>#REF!</v>
      </c>
      <c r="EP50" s="1" t="e">
        <f>AND(Q_Castries_South_East!#REF!,"AAAAAHvPp5E=")</f>
        <v>#REF!</v>
      </c>
      <c r="EQ50" s="1" t="e">
        <f>AND(Q_Castries_South_East!#REF!,"AAAAAHvPp5I=")</f>
        <v>#REF!</v>
      </c>
      <c r="ER50" s="1" t="e">
        <f>AND(Q_Castries_South_East!#REF!,"AAAAAHvPp5M=")</f>
        <v>#REF!</v>
      </c>
      <c r="ES50" s="1" t="e">
        <f>AND(Q_Castries_South_East!#REF!,"AAAAAHvPp5Q=")</f>
        <v>#REF!</v>
      </c>
      <c r="ET50" s="1" t="e">
        <f>AND(Q_Castries_South_East!#REF!,"AAAAAHvPp5U=")</f>
        <v>#REF!</v>
      </c>
      <c r="EU50" s="1">
        <f>IF(Q_Castries_South_East!62:62,"AAAAAHvPp5Y=",0)</f>
        <v>0</v>
      </c>
      <c r="EV50" s="1" t="e">
        <f>AND(Q_Castries_South_East!A62,"AAAAAHvPp5c=")</f>
        <v>#VALUE!</v>
      </c>
      <c r="EW50" s="1" t="b">
        <f>AND(Q_Castries_South_East!B62,"AAAAAHvPp5g=")</f>
        <v>1</v>
      </c>
      <c r="EX50" s="1" t="b">
        <f>AND(Q_Castries_South_East!C62,"AAAAAHvPp5k=")</f>
        <v>1</v>
      </c>
      <c r="EY50" s="1" t="b">
        <f>AND(Q_Castries_South_East!D62,"AAAAAHvPp5o=")</f>
        <v>1</v>
      </c>
      <c r="EZ50" s="1" t="b">
        <f>AND(Q_Castries_South_East!E62,"AAAAAHvPp5s=")</f>
        <v>1</v>
      </c>
      <c r="FA50" s="1" t="b">
        <f>AND(Q_Castries_South_East!F62,"AAAAAHvPp5w=")</f>
        <v>1</v>
      </c>
      <c r="FB50" s="1" t="b">
        <f>AND(Q_Castries_South_East!G62,"AAAAAHvPp50=")</f>
        <v>1</v>
      </c>
      <c r="FC50" s="1" t="b">
        <f>AND(Q_Castries_South_East!H62,"AAAAAHvPp54=")</f>
        <v>1</v>
      </c>
      <c r="FD50" s="1" t="b">
        <f>AND(Q_Castries_South_East!I62,"AAAAAHvPp58=")</f>
        <v>1</v>
      </c>
      <c r="FE50" s="1" t="b">
        <f>AND(Q_Castries_South_East!J62,"AAAAAHvPp6A=")</f>
        <v>1</v>
      </c>
      <c r="FF50" s="1" t="b">
        <f>AND(Q_Castries_South_East!K62,"AAAAAHvPp6E=")</f>
        <v>1</v>
      </c>
      <c r="FG50" s="1" t="b">
        <f>AND(Q_Castries_South_East!L62,"AAAAAHvPp6I=")</f>
        <v>1</v>
      </c>
      <c r="FH50" s="1" t="e">
        <f>IF(Q_Castries_South_East!A:A,"AAAAAHvPp6M=",0)</f>
        <v>#VALUE!</v>
      </c>
      <c r="FI50" s="1" t="str">
        <f>IF(Q_Castries_South_East!B:B,"AAAAAHvPp6Q=",0)</f>
        <v>AAAAAHvPp6Q=</v>
      </c>
      <c r="FJ50" s="1" t="str">
        <f>IF(Q_Castries_South_East!C:C,"AAAAAHvPp6U=",0)</f>
        <v>AAAAAHvPp6U=</v>
      </c>
      <c r="FK50" s="1" t="str">
        <f>IF(Q_Castries_South_East!D:D,"AAAAAHvPp6Y=",0)</f>
        <v>AAAAAHvPp6Y=</v>
      </c>
      <c r="FL50" s="1" t="str">
        <f>IF(Q_Castries_South_East!E:E,"AAAAAHvPp6c=",0)</f>
        <v>AAAAAHvPp6c=</v>
      </c>
      <c r="FM50" s="1" t="str">
        <f>IF(Q_Castries_South_East!F:F,"AAAAAHvPp6g=",0)</f>
        <v>AAAAAHvPp6g=</v>
      </c>
      <c r="FN50" s="1" t="str">
        <f>IF(Q_Castries_South_East!G:G,"AAAAAHvPp6k=",0)</f>
        <v>AAAAAHvPp6k=</v>
      </c>
      <c r="FO50" s="1" t="str">
        <f>IF(Q_Castries_South_East!H:H,"AAAAAHvPp6o=",0)</f>
        <v>AAAAAHvPp6o=</v>
      </c>
      <c r="FP50" s="1" t="str">
        <f>IF(Q_Castries_South_East!I:I,"AAAAAHvPp6s=",0)</f>
        <v>AAAAAHvPp6s=</v>
      </c>
      <c r="FQ50" s="1" t="str">
        <f>IF(Q_Castries_South_East!J:J,"AAAAAHvPp6w=",0)</f>
        <v>AAAAAHvPp6w=</v>
      </c>
      <c r="FR50" s="1" t="str">
        <f>IF(Q_Castries_South_East!K:K,"AAAAAHvPp60=",0)</f>
        <v>AAAAAHvPp60=</v>
      </c>
      <c r="FS50" s="1" t="str">
        <f>IF(Q_Castries_South_East!L:L,"AAAAAHvPp64=",0)</f>
        <v>AAAAAHvPp64=</v>
      </c>
      <c r="FT50" s="1" t="s">
        <v>387</v>
      </c>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row>
    <row r="51" spans="1:256" ht="12" customHeight="1" x14ac:dyDescent="0.2">
      <c r="A51" s="1" t="e">
        <f>IF(B_Babonneau!1:1,"AAAAAH/qOgA=",0)</f>
        <v>#VALUE!</v>
      </c>
      <c r="B51" s="1" t="e">
        <f>AND(B_Babonneau!A1,"AAAAAH/qOgE=")</f>
        <v>#VALUE!</v>
      </c>
      <c r="C51" s="1" t="e">
        <f>AND(B_Babonneau!B1,"AAAAAH/qOgI=")</f>
        <v>#VALUE!</v>
      </c>
      <c r="D51" s="1" t="e">
        <f>AND(B_Babonneau!C1,"AAAAAH/qOgM=")</f>
        <v>#VALUE!</v>
      </c>
      <c r="E51" s="1" t="e">
        <f>AND(B_Babonneau!D1,"AAAAAH/qOgQ=")</f>
        <v>#VALUE!</v>
      </c>
      <c r="F51" s="1" t="e">
        <f>AND(B_Babonneau!E1,"AAAAAH/qOgU=")</f>
        <v>#VALUE!</v>
      </c>
      <c r="G51" s="1" t="e">
        <f>AND(B_Babonneau!F1,"AAAAAH/qOgY=")</f>
        <v>#VALUE!</v>
      </c>
      <c r="H51" s="1" t="e">
        <f>AND(B_Babonneau!G1,"AAAAAH/qOgc=")</f>
        <v>#VALUE!</v>
      </c>
      <c r="I51" s="1" t="e">
        <f>AND(B_Babonneau!H1,"AAAAAH/qOgg=")</f>
        <v>#VALUE!</v>
      </c>
      <c r="J51" s="1" t="e">
        <f>AND(B_Babonneau!I1,"AAAAAH/qOgk=")</f>
        <v>#VALUE!</v>
      </c>
      <c r="K51" s="1" t="e">
        <f>AND(B_Babonneau!J1,"AAAAAH/qOgo=")</f>
        <v>#VALUE!</v>
      </c>
      <c r="L51" s="1" t="e">
        <f>AND(B_Babonneau!K1,"AAAAAH/qOgs=")</f>
        <v>#VALUE!</v>
      </c>
      <c r="M51" s="1" t="e">
        <f>AND(B_Babonneau!L1,"AAAAAH/qOgw=")</f>
        <v>#VALUE!</v>
      </c>
      <c r="N51" s="1" t="e">
        <f>AND(B_Babonneau!B3,"AAAAAH/qOg0=")</f>
        <v>#VALUE!</v>
      </c>
      <c r="O51" s="1">
        <f>IF(C_Castries_North!1:1,"AAAAAH/qOg4=",0)</f>
        <v>0</v>
      </c>
      <c r="P51" s="1" t="e">
        <f>AND(C_Castries_North!A1,"AAAAAH/qOg8=")</f>
        <v>#VALUE!</v>
      </c>
      <c r="Q51" s="1" t="e">
        <f>AND(C_Castries_North!B1,"AAAAAH/qOhA=")</f>
        <v>#VALUE!</v>
      </c>
      <c r="R51" s="1" t="e">
        <f>AND(C_Castries_North!C1,"AAAAAH/qOhE=")</f>
        <v>#VALUE!</v>
      </c>
      <c r="S51" s="1" t="e">
        <f>AND(C_Castries_North!D1,"AAAAAH/qOhI=")</f>
        <v>#VALUE!</v>
      </c>
      <c r="T51" s="1" t="e">
        <f>AND(C_Castries_North!E1,"AAAAAH/qOhM=")</f>
        <v>#VALUE!</v>
      </c>
      <c r="U51" s="1" t="e">
        <f>AND(C_Castries_North!F1,"AAAAAH/qOhQ=")</f>
        <v>#VALUE!</v>
      </c>
      <c r="V51" s="1" t="e">
        <f>AND(C_Castries_North!#REF!,"AAAAAH/qOhU=")</f>
        <v>#REF!</v>
      </c>
      <c r="W51" s="1" t="e">
        <f>AND(C_Castries_North!#REF!,"AAAAAH/qOhY=")</f>
        <v>#REF!</v>
      </c>
      <c r="X51" s="1" t="e">
        <f>AND(C_Castries_North!G1,"AAAAAH/qOhc=")</f>
        <v>#VALUE!</v>
      </c>
      <c r="Y51" s="1" t="e">
        <f>AND(C_Castries_North!H1,"AAAAAH/qOhg=")</f>
        <v>#VALUE!</v>
      </c>
      <c r="Z51" s="1" t="e">
        <f>AND(C_Castries_North!I1,"AAAAAH/qOhk=")</f>
        <v>#VALUE!</v>
      </c>
      <c r="AA51" s="1" t="e">
        <f>AND(C_Castries_North!J1,"AAAAAH/qOho=")</f>
        <v>#VALUE!</v>
      </c>
      <c r="AB51" s="1" t="e">
        <f>AND(C_Castries_North!K1,"AAAAAH/qOhs=")</f>
        <v>#VALUE!</v>
      </c>
      <c r="AC51" s="1" t="e">
        <f>AND(C_Castries_North!L1,"AAAAAH/qOhw=")</f>
        <v>#VALUE!</v>
      </c>
      <c r="AD51" s="1" t="e">
        <f>AND(C_Castries_North!B3,"AAAAAH/qOh0=")</f>
        <v>#VALUE!</v>
      </c>
      <c r="AE51" s="1">
        <f>IF(D_Castries_East!1:1,"AAAAAH/qOh4=",0)</f>
        <v>0</v>
      </c>
      <c r="AF51" s="1" t="e">
        <f>AND(D_Castries_East!A1,"AAAAAH/qOh8=")</f>
        <v>#VALUE!</v>
      </c>
      <c r="AG51" s="1" t="e">
        <f>AND(D_Castries_East!B1,"AAAAAH/qOiA=")</f>
        <v>#VALUE!</v>
      </c>
      <c r="AH51" s="1" t="e">
        <f>AND(D_Castries_East!C1,"AAAAAH/qOiE=")</f>
        <v>#VALUE!</v>
      </c>
      <c r="AI51" s="1" t="e">
        <f>AND(D_Castries_East!D1,"AAAAAH/qOiI=")</f>
        <v>#VALUE!</v>
      </c>
      <c r="AJ51" s="1" t="e">
        <f>AND(D_Castries_East!E1,"AAAAAH/qOiM=")</f>
        <v>#VALUE!</v>
      </c>
      <c r="AK51" s="1" t="e">
        <f>AND(D_Castries_East!F1,"AAAAAH/qOiQ=")</f>
        <v>#VALUE!</v>
      </c>
      <c r="AL51" s="1" t="e">
        <f>AND(D_Castries_East!G1,"AAAAAH/qOiU=")</f>
        <v>#VALUE!</v>
      </c>
      <c r="AM51" s="1" t="e">
        <f>AND(D_Castries_East!H1,"AAAAAH/qOiY=")</f>
        <v>#VALUE!</v>
      </c>
      <c r="AN51" s="1" t="e">
        <f>AND(D_Castries_East!I1,"AAAAAH/qOic=")</f>
        <v>#VALUE!</v>
      </c>
      <c r="AO51" s="1" t="e">
        <f>AND(D_Castries_East!J1,"AAAAAH/qOig=")</f>
        <v>#VALUE!</v>
      </c>
      <c r="AP51" s="1" t="e">
        <f>AND(D_Castries_East!K1,"AAAAAH/qOik=")</f>
        <v>#VALUE!</v>
      </c>
      <c r="AQ51" s="1" t="e">
        <f>AND(D_Castries_East!L1,"AAAAAH/qOio=")</f>
        <v>#VALUE!</v>
      </c>
      <c r="AR51" s="1" t="e">
        <f>AND(D_Castries_East!B3,"AAAAAH/qOis=")</f>
        <v>#VALUE!</v>
      </c>
      <c r="AS51" s="1" t="e">
        <f>IF("N",,"AAAAAH/qOiw=")</f>
        <v>#VALUE!</v>
      </c>
      <c r="AT51" s="1" t="e">
        <f>IF("N",,"AAAAAH/qOi0=")</f>
        <v>#VALUE!</v>
      </c>
      <c r="AU51" s="1" t="e">
        <f>IF("N",,"AAAAAH/qOi4=")</f>
        <v>#VALUE!</v>
      </c>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row>
    <row r="52" spans="1:256" ht="12" customHeight="1" x14ac:dyDescent="0.2">
      <c r="A52" s="1" t="e">
        <f>IF(E_Castries_Central!1:1,"AAAAAD626wA=",0)</f>
        <v>#VALUE!</v>
      </c>
      <c r="B52" s="1" t="e">
        <f>AND(E_Castries_Central!A1,"AAAAAD626wE=")</f>
        <v>#VALUE!</v>
      </c>
      <c r="C52" s="1" t="e">
        <f>AND(E_Castries_Central!B1,"AAAAAD626wI=")</f>
        <v>#VALUE!</v>
      </c>
      <c r="D52" s="1" t="e">
        <f>AND(E_Castries_Central!C1,"AAAAAD626wM=")</f>
        <v>#VALUE!</v>
      </c>
      <c r="E52" s="1" t="e">
        <f>AND(E_Castries_Central!D1,"AAAAAD626wQ=")</f>
        <v>#VALUE!</v>
      </c>
      <c r="F52" s="1" t="e">
        <f>AND(E_Castries_Central!E1,"AAAAAD626wU=")</f>
        <v>#VALUE!</v>
      </c>
      <c r="G52" s="1" t="e">
        <f>AND(E_Castries_Central!F1,"AAAAAD626wY=")</f>
        <v>#VALUE!</v>
      </c>
      <c r="H52" s="1" t="e">
        <f>AND(E_Castries_Central!G1,"AAAAAD626wc=")</f>
        <v>#VALUE!</v>
      </c>
      <c r="I52" s="1" t="e">
        <f>AND(E_Castries_Central!H1,"AAAAAD626wg=")</f>
        <v>#VALUE!</v>
      </c>
      <c r="J52" s="1" t="e">
        <f>AND(E_Castries_Central!#REF!,"AAAAAD626wk=")</f>
        <v>#REF!</v>
      </c>
      <c r="K52" s="1" t="e">
        <f>AND(E_Castries_Central!#REF!,"AAAAAD626wo=")</f>
        <v>#REF!</v>
      </c>
      <c r="L52" s="1" t="e">
        <f>AND(E_Castries_Central!I1,"AAAAAD626ws=")</f>
        <v>#VALUE!</v>
      </c>
      <c r="M52" s="1" t="e">
        <f>AND(E_Castries_Central!J1,"AAAAAD626ww=")</f>
        <v>#VALUE!</v>
      </c>
      <c r="N52" s="1" t="e">
        <f>AND(E_Castries_Central!K1,"AAAAAD626w0=")</f>
        <v>#VALUE!</v>
      </c>
      <c r="O52" s="1" t="e">
        <f>AND(E_Castries_Central!L1,"AAAAAD626w4=")</f>
        <v>#VALUE!</v>
      </c>
      <c r="P52" s="1" t="e">
        <f>AND(E_Castries_Central!M1,"AAAAAD626w8=")</f>
        <v>#VALUE!</v>
      </c>
      <c r="Q52" s="1" t="e">
        <f>AND(E_Castries_Central!N1,"AAAAAD626xA=")</f>
        <v>#VALUE!</v>
      </c>
      <c r="R52" s="1" t="e">
        <f>AND(E_Castries_Central!B3,"AAAAAD626xE=")</f>
        <v>#VALUE!</v>
      </c>
      <c r="S52" s="1">
        <f>IF(F_Castries_South!1:1,"AAAAAD626xI=",0)</f>
        <v>0</v>
      </c>
      <c r="T52" s="1" t="e">
        <f>AND(F_Castries_South!A1,"AAAAAD626xM=")</f>
        <v>#VALUE!</v>
      </c>
      <c r="U52" s="1" t="e">
        <f>AND(F_Castries_South!B1,"AAAAAD626xQ=")</f>
        <v>#VALUE!</v>
      </c>
      <c r="V52" s="1" t="e">
        <f>AND(F_Castries_South!C1,"AAAAAD626xU=")</f>
        <v>#VALUE!</v>
      </c>
      <c r="W52" s="1" t="e">
        <f>AND(F_Castries_South!D1,"AAAAAD626xY=")</f>
        <v>#VALUE!</v>
      </c>
      <c r="X52" s="1" t="e">
        <f>AND(F_Castries_South!E1,"AAAAAD626xc=")</f>
        <v>#VALUE!</v>
      </c>
      <c r="Y52" s="1" t="e">
        <f>AND(F_Castries_South!F1,"AAAAAD626xg=")</f>
        <v>#VALUE!</v>
      </c>
      <c r="Z52" s="1" t="e">
        <f>AND(F_Castries_South!G1,"AAAAAD626xk=")</f>
        <v>#VALUE!</v>
      </c>
      <c r="AA52" s="1" t="e">
        <f>AND(F_Castries_South!H1,"AAAAAD626xo=")</f>
        <v>#VALUE!</v>
      </c>
      <c r="AB52" s="1" t="e">
        <f>AND(F_Castries_South!I1,"AAAAAD626xs=")</f>
        <v>#VALUE!</v>
      </c>
      <c r="AC52" s="1" t="e">
        <f>AND(F_Castries_South!J1,"AAAAAD626xw=")</f>
        <v>#VALUE!</v>
      </c>
      <c r="AD52" s="1" t="e">
        <f>AND(F_Castries_South!K1,"AAAAAD626x0=")</f>
        <v>#VALUE!</v>
      </c>
      <c r="AE52" s="1" t="e">
        <f>AND(F_Castries_South!L1,"AAAAAD626x4=")</f>
        <v>#VALUE!</v>
      </c>
      <c r="AF52" s="1" t="e">
        <f>AND(F_Castries_South!B3,"AAAAAD626x8=")</f>
        <v>#VALUE!</v>
      </c>
      <c r="AG52" s="1" t="e">
        <f>AND(G_Anse_La_Raye_and_Canaries!B3,"AAAAAD626yA=")</f>
        <v>#VALUE!</v>
      </c>
      <c r="AH52" s="1">
        <f>IF(H_Soufriere!1:1,"AAAAAD626yE=",0)</f>
        <v>0</v>
      </c>
      <c r="AI52" s="1" t="e">
        <f>AND(H_Soufriere!A1,"AAAAAD626yI=")</f>
        <v>#VALUE!</v>
      </c>
      <c r="AJ52" s="1" t="e">
        <f>AND(H_Soufriere!B1,"AAAAAD626yM=")</f>
        <v>#VALUE!</v>
      </c>
      <c r="AK52" s="1" t="e">
        <f>AND(H_Soufriere!C1,"AAAAAD626yQ=")</f>
        <v>#VALUE!</v>
      </c>
      <c r="AL52" s="1" t="e">
        <f>AND(H_Soufriere!D1,"AAAAAD626yU=")</f>
        <v>#VALUE!</v>
      </c>
      <c r="AM52" s="1" t="e">
        <f>AND(H_Soufriere!E1,"AAAAAD626yY=")</f>
        <v>#VALUE!</v>
      </c>
      <c r="AN52" s="1" t="e">
        <f>AND(H_Soufriere!F1,"AAAAAD626yc=")</f>
        <v>#VALUE!</v>
      </c>
      <c r="AO52" s="1" t="e">
        <f>AND(H_Soufriere!G1,"AAAAAD626yg=")</f>
        <v>#VALUE!</v>
      </c>
      <c r="AP52" s="1" t="e">
        <f>AND(H_Soufriere!H1,"AAAAAD626yk=")</f>
        <v>#VALUE!</v>
      </c>
      <c r="AQ52" s="1" t="e">
        <f>AND(H_Soufriere!#REF!,"AAAAAD626yo=")</f>
        <v>#REF!</v>
      </c>
      <c r="AR52" s="1" t="e">
        <f>AND(H_Soufriere!#REF!,"AAAAAD626ys=")</f>
        <v>#REF!</v>
      </c>
      <c r="AS52" s="1" t="e">
        <f>AND(H_Soufriere!I1,"AAAAAD626yw=")</f>
        <v>#VALUE!</v>
      </c>
      <c r="AT52" s="1" t="e">
        <f>AND(H_Soufriere!J1,"AAAAAD626y0=")</f>
        <v>#VALUE!</v>
      </c>
      <c r="AU52" s="1" t="e">
        <f>AND(H_Soufriere!K1,"AAAAAD626y4=")</f>
        <v>#VALUE!</v>
      </c>
      <c r="AV52" s="1" t="e">
        <f>AND(H_Soufriere!L1,"AAAAAD626y8=")</f>
        <v>#VALUE!</v>
      </c>
      <c r="AW52" s="1" t="e">
        <f>AND(H_Soufriere!M1,"AAAAAD626zA=")</f>
        <v>#VALUE!</v>
      </c>
      <c r="AX52" s="1" t="e">
        <f>AND(H_Soufriere!N1,"AAAAAD626zE=")</f>
        <v>#VALUE!</v>
      </c>
      <c r="AY52" s="1">
        <f>IF(I_Choiseul!1:1,"AAAAAD626zI=",0)</f>
        <v>0</v>
      </c>
      <c r="AZ52" s="1" t="e">
        <f>AND(I_Choiseul!A1,"AAAAAD626zM=")</f>
        <v>#VALUE!</v>
      </c>
      <c r="BA52" s="1" t="e">
        <f>AND(I_Choiseul!B1,"AAAAAD626zQ=")</f>
        <v>#VALUE!</v>
      </c>
      <c r="BB52" s="1" t="e">
        <f>AND(I_Choiseul!C1,"AAAAAD626zU=")</f>
        <v>#VALUE!</v>
      </c>
      <c r="BC52" s="1" t="e">
        <f>AND(I_Choiseul!D1,"AAAAAD626zY=")</f>
        <v>#VALUE!</v>
      </c>
      <c r="BD52" s="1" t="e">
        <f>AND(I_Choiseul!E1,"AAAAAD626zc=")</f>
        <v>#VALUE!</v>
      </c>
      <c r="BE52" s="1" t="e">
        <f>AND(I_Choiseul!F1,"AAAAAD626zg=")</f>
        <v>#VALUE!</v>
      </c>
      <c r="BF52" s="1" t="e">
        <f>AND(I_Choiseul!G1,"AAAAAD626zk=")</f>
        <v>#VALUE!</v>
      </c>
      <c r="BG52" s="1" t="e">
        <f>AND(I_Choiseul!H1,"AAAAAD626zo=")</f>
        <v>#VALUE!</v>
      </c>
      <c r="BH52" s="1" t="e">
        <f>AND(I_Choiseul!I1,"AAAAAD626zs=")</f>
        <v>#VALUE!</v>
      </c>
      <c r="BI52" s="1" t="e">
        <f>AND(I_Choiseul!J1,"AAAAAD626zw=")</f>
        <v>#VALUE!</v>
      </c>
      <c r="BJ52" s="1" t="e">
        <f>AND(I_Choiseul!K1,"AAAAAD626z0=")</f>
        <v>#VALUE!</v>
      </c>
      <c r="BK52" s="1" t="e">
        <f>AND(I_Choiseul!L1,"AAAAAD626z4=")</f>
        <v>#VALUE!</v>
      </c>
      <c r="BL52" s="1" t="e">
        <f>AND(I_Choiseul!B3,"AAAAAD626z8=")</f>
        <v>#VALUE!</v>
      </c>
      <c r="BM52" s="1">
        <f>IF(J_Laborie!1:1,"AAAAAD6260A=",0)</f>
        <v>0</v>
      </c>
      <c r="BN52" s="1" t="e">
        <f>AND(J_Laborie!A1,"AAAAAD6260E=")</f>
        <v>#VALUE!</v>
      </c>
      <c r="BO52" s="1" t="e">
        <f>AND(J_Laborie!B1,"AAAAAD6260I=")</f>
        <v>#VALUE!</v>
      </c>
      <c r="BP52" s="1" t="e">
        <f>AND(J_Laborie!C1,"AAAAAD6260M=")</f>
        <v>#VALUE!</v>
      </c>
      <c r="BQ52" s="1" t="e">
        <f>AND(J_Laborie!D1,"AAAAAD6260Q=")</f>
        <v>#VALUE!</v>
      </c>
      <c r="BR52" s="1" t="e">
        <f>AND(J_Laborie!E1,"AAAAAD6260U=")</f>
        <v>#VALUE!</v>
      </c>
      <c r="BS52" s="1" t="e">
        <f>AND(J_Laborie!F1,"AAAAAD6260Y=")</f>
        <v>#VALUE!</v>
      </c>
      <c r="BT52" s="1" t="e">
        <f>AND(J_Laborie!G1,"AAAAAD6260c=")</f>
        <v>#VALUE!</v>
      </c>
      <c r="BU52" s="1" t="e">
        <f>AND(J_Laborie!H1,"AAAAAD6260g=")</f>
        <v>#VALUE!</v>
      </c>
      <c r="BV52" s="1" t="e">
        <f>AND(J_Laborie!I1,"AAAAAD6260k=")</f>
        <v>#VALUE!</v>
      </c>
      <c r="BW52" s="1" t="e">
        <f>AND(J_Laborie!J1,"AAAAAD6260o=")</f>
        <v>#VALUE!</v>
      </c>
      <c r="BX52" s="1" t="e">
        <f>AND(J_Laborie!K1,"AAAAAD6260s=")</f>
        <v>#VALUE!</v>
      </c>
      <c r="BY52" s="1" t="e">
        <f>AND(J_Laborie!L1,"AAAAAD6260w=")</f>
        <v>#VALUE!</v>
      </c>
      <c r="BZ52" s="1" t="e">
        <f>AND(J_Laborie!B3,"AAAAAD62600=")</f>
        <v>#VALUE!</v>
      </c>
      <c r="CA52" s="1">
        <f>IF(K_Vieux_Fort_South!1:1,"AAAAAD62604=",0)</f>
        <v>0</v>
      </c>
      <c r="CB52" s="1" t="e">
        <f>AND(K_Vieux_Fort_South!A1,"AAAAAD62608=")</f>
        <v>#VALUE!</v>
      </c>
      <c r="CC52" s="1" t="e">
        <f>AND(K_Vieux_Fort_South!B1,"AAAAAD6261A=")</f>
        <v>#VALUE!</v>
      </c>
      <c r="CD52" s="1" t="e">
        <f>AND(K_Vieux_Fort_South!C1,"AAAAAD6261E=")</f>
        <v>#VALUE!</v>
      </c>
      <c r="CE52" s="1" t="e">
        <f>AND(K_Vieux_Fort_South!D1,"AAAAAD6261I=")</f>
        <v>#VALUE!</v>
      </c>
      <c r="CF52" s="1" t="e">
        <f>AND(K_Vieux_Fort_South!E1,"AAAAAD6261M=")</f>
        <v>#VALUE!</v>
      </c>
      <c r="CG52" s="1" t="e">
        <f>AND(K_Vieux_Fort_South!F1,"AAAAAD6261Q=")</f>
        <v>#VALUE!</v>
      </c>
      <c r="CH52" s="1" t="e">
        <f>AND(K_Vieux_Fort_South!#REF!,"AAAAAD6261U=")</f>
        <v>#REF!</v>
      </c>
      <c r="CI52" s="1" t="e">
        <f>AND(K_Vieux_Fort_South!#REF!,"AAAAAD6261Y=")</f>
        <v>#REF!</v>
      </c>
      <c r="CJ52" s="1" t="e">
        <f>AND(K_Vieux_Fort_South!G1,"AAAAAD6261c=")</f>
        <v>#VALUE!</v>
      </c>
      <c r="CK52" s="1" t="e">
        <f>AND(K_Vieux_Fort_South!H1,"AAAAAD6261g=")</f>
        <v>#VALUE!</v>
      </c>
      <c r="CL52" s="1" t="e">
        <f>AND(K_Vieux_Fort_South!I1,"AAAAAD6261k=")</f>
        <v>#VALUE!</v>
      </c>
      <c r="CM52" s="1" t="e">
        <f>AND(K_Vieux_Fort_South!J1,"AAAAAD6261o=")</f>
        <v>#VALUE!</v>
      </c>
      <c r="CN52" s="1" t="e">
        <f>AND(K_Vieux_Fort_South!K1,"AAAAAD6261s=")</f>
        <v>#VALUE!</v>
      </c>
      <c r="CO52" s="1" t="e">
        <f>AND(K_Vieux_Fort_South!L1,"AAAAAD6261w=")</f>
        <v>#VALUE!</v>
      </c>
      <c r="CP52" s="1" t="e">
        <f>IF("N",,"AAAAAD62610=")</f>
        <v>#VALUE!</v>
      </c>
      <c r="CQ52" s="1" t="e">
        <f>IF("N",,"AAAAAD62614=")</f>
        <v>#VALUE!</v>
      </c>
      <c r="CR52" s="1" t="e">
        <f>IF("N",,"AAAAAD62618=")</f>
        <v>#VALUE!</v>
      </c>
      <c r="CS52" s="1" t="e">
        <f>IF("N",,"AAAAAD6262A=")</f>
        <v>#VALUE!</v>
      </c>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row>
    <row r="53" spans="1:256" ht="12"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row>
    <row r="54" spans="1:256" ht="12"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row>
    <row r="55" spans="1:256" ht="12"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row>
    <row r="56" spans="1:256" ht="12"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row>
    <row r="57" spans="1:256" ht="12"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row>
    <row r="58" spans="1:256" ht="12"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row>
    <row r="59" spans="1:256" ht="12"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row>
    <row r="60" spans="1:256" ht="12"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row>
    <row r="61" spans="1:256" ht="12"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row>
    <row r="62" spans="1:256" ht="12"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row>
    <row r="63" spans="1:256" ht="12"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row>
    <row r="64" spans="1:256" ht="12"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row>
    <row r="65" spans="1:256" ht="12"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row>
    <row r="66" spans="1:256" ht="12"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row>
    <row r="67" spans="1:256" ht="12"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row>
    <row r="68" spans="1:256" ht="12"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row>
    <row r="69" spans="1:256" ht="12"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row>
    <row r="70" spans="1:256" ht="12"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row>
    <row r="71" spans="1:256" ht="12"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row>
    <row r="72" spans="1:256" ht="12"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row>
    <row r="73" spans="1:256" ht="12"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row>
    <row r="74" spans="1:256" ht="12"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row>
    <row r="75" spans="1:256" ht="12"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row>
    <row r="76" spans="1:256" ht="12"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row>
    <row r="77" spans="1:256" ht="12"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row>
    <row r="78" spans="1:256" ht="12"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row>
    <row r="79" spans="1:256" ht="12"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row>
    <row r="80" spans="1:256" ht="12"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row>
    <row r="81" spans="1:256" ht="12"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row>
    <row r="82" spans="1:256" ht="12"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row>
    <row r="83" spans="1:256" ht="12"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row>
    <row r="84" spans="1:256" ht="12"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row>
    <row r="85" spans="1:256" ht="12"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row>
    <row r="86" spans="1:256" ht="12"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row>
    <row r="87" spans="1:256" ht="12"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row>
    <row r="88" spans="1:256" ht="12"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row>
    <row r="89" spans="1:256" ht="12"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row>
    <row r="90" spans="1:256" ht="12"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row>
    <row r="91" spans="1:256" ht="12"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row>
    <row r="92" spans="1:256" ht="12"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row>
    <row r="93" spans="1:256" ht="12"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row>
    <row r="94" spans="1:256" ht="12"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row>
    <row r="95" spans="1:256" ht="12"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row>
    <row r="96" spans="1:256" ht="12"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row>
    <row r="97" spans="1:256" ht="12"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row>
    <row r="98" spans="1:256" ht="12"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row>
    <row r="99" spans="1:256" ht="12"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row>
    <row r="100" spans="1:256" ht="12"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row>
    <row r="101" spans="1:256" ht="12"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row>
    <row r="102" spans="1:256" ht="12"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row>
    <row r="103" spans="1:256" ht="12"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row>
    <row r="104" spans="1:256" ht="12"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row>
    <row r="105" spans="1:256" ht="12"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row>
    <row r="106" spans="1:256" ht="12"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row>
    <row r="107" spans="1:256" ht="12"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row>
    <row r="108" spans="1:256" ht="12"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row>
    <row r="109" spans="1:256" ht="12"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row>
    <row r="110" spans="1:256" ht="12"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row>
    <row r="111" spans="1:256" ht="12"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row>
    <row r="112" spans="1:256" ht="12"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row>
    <row r="113" spans="1:256" ht="12"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row>
    <row r="114" spans="1:256" ht="12"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row>
    <row r="115" spans="1:256" ht="12"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row>
    <row r="116" spans="1:256" ht="12"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row>
    <row r="117" spans="1:256" ht="12"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row>
    <row r="118" spans="1:256" ht="12"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row>
    <row r="119" spans="1:256" ht="12"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row>
    <row r="120" spans="1:256" ht="12"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row>
    <row r="121" spans="1:256" ht="12"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row>
    <row r="122" spans="1:256" ht="12"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row>
    <row r="123" spans="1:256" ht="12"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row>
    <row r="124" spans="1:256" ht="12"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row>
    <row r="125" spans="1:256" ht="12"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row>
    <row r="126" spans="1:256" ht="12"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row>
    <row r="127" spans="1:256" ht="12"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row>
    <row r="128" spans="1:256" ht="12"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row>
    <row r="129" spans="1:256" ht="12"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row>
    <row r="130" spans="1:256" ht="12"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row>
    <row r="131" spans="1:256" ht="12"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row>
    <row r="132" spans="1:256" ht="12"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row>
    <row r="133" spans="1:256" ht="12"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row>
    <row r="134" spans="1:256" ht="12"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row>
    <row r="135" spans="1:256" ht="12"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row>
    <row r="136" spans="1:256" ht="12"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row>
    <row r="137" spans="1:256" ht="12"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row>
    <row r="138" spans="1:256" ht="12"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row>
    <row r="139" spans="1:256" ht="12"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row>
    <row r="140" spans="1:256" ht="12"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row>
    <row r="141" spans="1:256" ht="12"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row>
    <row r="142" spans="1:256" ht="12"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row>
    <row r="143" spans="1:256" ht="12"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row>
    <row r="144" spans="1:256" ht="12"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row>
    <row r="145" spans="1:256" ht="12"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row>
    <row r="146" spans="1:256" ht="12"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row>
    <row r="147" spans="1:256" ht="12"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row>
    <row r="148" spans="1:256" ht="12"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row>
    <row r="149" spans="1:256" ht="12"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row>
    <row r="150" spans="1:256" ht="12"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row>
    <row r="151" spans="1:256" ht="12"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row>
    <row r="152" spans="1:256" ht="12"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row>
    <row r="153" spans="1:256" ht="12"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row>
    <row r="154" spans="1:256" ht="12"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row>
    <row r="155" spans="1:256" ht="12"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row>
    <row r="156" spans="1:256" ht="12"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row>
    <row r="157" spans="1:256" ht="12"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row>
    <row r="158" spans="1:256" ht="12"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row>
    <row r="159" spans="1:256" ht="12"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row>
    <row r="160" spans="1:256" ht="12"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row>
    <row r="161" spans="1:256" ht="12"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row>
    <row r="162" spans="1:256" ht="12"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row>
    <row r="163" spans="1:256" ht="12"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row>
    <row r="164" spans="1:256" ht="12"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row>
    <row r="165" spans="1:256" ht="12"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row>
    <row r="166" spans="1:256" ht="12"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row>
    <row r="167" spans="1:256" ht="12"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row>
    <row r="168" spans="1:256" ht="12"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row>
    <row r="169" spans="1:256" ht="12"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row>
    <row r="170" spans="1:256" ht="12"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row>
    <row r="171" spans="1:256" ht="12"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row>
    <row r="172" spans="1:256" ht="12"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row>
    <row r="173" spans="1:256" ht="12"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row>
    <row r="174" spans="1:256" ht="12"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row>
    <row r="175" spans="1:256" ht="12"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row>
    <row r="176" spans="1:256" ht="12"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row>
    <row r="177" spans="1:256" ht="12"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row>
    <row r="178" spans="1:256" ht="12"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row>
    <row r="179" spans="1:256" ht="12"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row>
    <row r="180" spans="1:256" ht="12"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row>
    <row r="181" spans="1:256" ht="12"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row>
    <row r="182" spans="1:256" ht="12"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row>
    <row r="183" spans="1:256" ht="12"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row>
    <row r="184" spans="1:256" ht="12"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row>
    <row r="185" spans="1:256" ht="12"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row>
    <row r="186" spans="1:256" ht="12"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row>
    <row r="187" spans="1:256" ht="12"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row>
    <row r="188" spans="1:256" ht="12"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row>
    <row r="189" spans="1:256" ht="12"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row>
    <row r="190" spans="1:256" ht="12"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row>
    <row r="191" spans="1:256" ht="12"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row>
    <row r="192" spans="1:256" ht="12"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row>
    <row r="193" spans="1:256" ht="12"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row>
    <row r="194" spans="1:256" ht="12"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row>
    <row r="195" spans="1:256" ht="12"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row>
    <row r="196" spans="1:256" ht="12"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row>
    <row r="197" spans="1:256" ht="12"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row>
    <row r="198" spans="1:256" ht="12"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row>
    <row r="199" spans="1:256" ht="12"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row>
    <row r="200" spans="1:256" ht="12"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row>
    <row r="201" spans="1:256" ht="12"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row>
    <row r="202" spans="1:256" ht="12"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row>
    <row r="203" spans="1:256" ht="12"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row>
    <row r="204" spans="1:256" ht="12"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row>
    <row r="205" spans="1:256" ht="12"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row>
    <row r="206" spans="1:256" ht="12"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row>
    <row r="207" spans="1:256" ht="12"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row>
    <row r="208" spans="1:256" ht="12"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row>
    <row r="209" spans="1:256" ht="12"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row>
    <row r="210" spans="1:256" ht="12"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row>
    <row r="211" spans="1:256" ht="12"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row>
    <row r="212" spans="1:256" ht="12"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row>
    <row r="213" spans="1:256" ht="12"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row>
    <row r="214" spans="1:256" ht="12"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row>
    <row r="215" spans="1:256" ht="12"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row>
    <row r="216" spans="1:256" ht="12"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row>
    <row r="217" spans="1:256" ht="12"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row>
    <row r="218" spans="1:256" ht="12"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row>
    <row r="219" spans="1:256" ht="12"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row>
    <row r="220" spans="1:256" ht="12"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row>
    <row r="221" spans="1:256" ht="12"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row>
    <row r="222" spans="1:256" ht="12"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row>
    <row r="223" spans="1:256" ht="12"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row>
    <row r="224" spans="1:256" ht="12"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row>
    <row r="225" spans="1:256" ht="12"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row>
    <row r="226" spans="1:256" ht="12"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row>
    <row r="227" spans="1:256" ht="12"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row>
    <row r="228" spans="1:256" ht="12"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row>
    <row r="229" spans="1:256" ht="12"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row>
    <row r="230" spans="1:256" ht="12"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row>
    <row r="231" spans="1:256" ht="12"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row>
    <row r="232" spans="1:256" ht="12"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row>
    <row r="233" spans="1:256" ht="12"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row>
    <row r="234" spans="1:256" ht="12"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row>
    <row r="235" spans="1:256" ht="12"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row>
    <row r="236" spans="1:256" ht="12"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row>
    <row r="237" spans="1:256" ht="12"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row>
    <row r="238" spans="1:256" ht="12"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row>
    <row r="239" spans="1:256" ht="12"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row>
    <row r="240" spans="1:256" ht="12"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row>
    <row r="241" spans="1:256" ht="12"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row>
    <row r="242" spans="1:256" ht="12"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row>
    <row r="243" spans="1:256" ht="12"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row>
    <row r="244" spans="1:256" ht="12"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row>
    <row r="245" spans="1:256" ht="12"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row>
    <row r="246" spans="1:256" ht="12"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row>
    <row r="247" spans="1:256" ht="12"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row>
    <row r="248" spans="1:256" ht="12"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row>
    <row r="249" spans="1:256" ht="12"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row>
    <row r="250" spans="1:256" ht="12"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row>
    <row r="251" spans="1:256" ht="12"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row>
    <row r="252" spans="1:256" ht="12"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row>
    <row r="253" spans="1:256" ht="12"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row>
    <row r="254" spans="1:256" ht="12"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row>
    <row r="255" spans="1:256" ht="12"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row>
    <row r="256" spans="1:256" ht="12"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row>
    <row r="257" spans="1:256" ht="12"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row>
    <row r="258" spans="1:256" ht="12"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row>
    <row r="259" spans="1:256" ht="12"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row>
    <row r="260" spans="1:256" ht="12"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row>
    <row r="261" spans="1:256" ht="12"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row>
    <row r="262" spans="1:256" ht="12"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row>
    <row r="263" spans="1:256" ht="12"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row>
    <row r="264" spans="1:256" ht="12"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row>
    <row r="265" spans="1:256" ht="12"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row>
    <row r="266" spans="1:256" ht="12"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row>
    <row r="267" spans="1:256" ht="12"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row>
    <row r="268" spans="1:256" ht="12"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row>
    <row r="269" spans="1:256" ht="12"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row>
    <row r="270" spans="1:256" ht="12"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row>
    <row r="271" spans="1:256" ht="12"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row>
    <row r="272" spans="1:256" ht="12"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row>
    <row r="273" spans="1:256" ht="12"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row>
    <row r="274" spans="1:256" ht="12"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row>
    <row r="275" spans="1:256" ht="12"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row>
    <row r="276" spans="1:256" ht="12"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row>
    <row r="277" spans="1:256" ht="12"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row>
    <row r="278" spans="1:256" ht="12"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row>
    <row r="279" spans="1:256" ht="12"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row>
    <row r="280" spans="1:256" ht="12"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row>
    <row r="281" spans="1:256" ht="12"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row>
    <row r="282" spans="1:256" ht="12"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row>
    <row r="283" spans="1:256" ht="12"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row>
    <row r="284" spans="1:256" ht="12"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row>
    <row r="285" spans="1:256" ht="12"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row>
    <row r="286" spans="1:256" ht="12"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row>
    <row r="287" spans="1:256" ht="12"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row>
    <row r="288" spans="1:256" ht="12"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row>
    <row r="289" spans="1:256" ht="12"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row>
    <row r="290" spans="1:256" ht="12"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row>
    <row r="291" spans="1:256" ht="12"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row>
    <row r="292" spans="1:256" ht="12"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row>
    <row r="293" spans="1:256" ht="12"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row>
    <row r="294" spans="1:256" ht="12"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row>
    <row r="295" spans="1:256" ht="12"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row>
    <row r="296" spans="1:256" ht="12"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row>
    <row r="297" spans="1:256" ht="12"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row>
    <row r="298" spans="1:256" ht="12"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row>
    <row r="299" spans="1:256" ht="12"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row>
    <row r="300" spans="1:256" ht="12"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row>
    <row r="301" spans="1:256" ht="12"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row>
    <row r="302" spans="1:256" ht="12"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row>
    <row r="303" spans="1:256" ht="12"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row>
    <row r="304" spans="1:256" ht="12"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row>
    <row r="305" spans="1:256" ht="12"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row>
    <row r="306" spans="1:256" ht="12"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row>
    <row r="307" spans="1:256" ht="12"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row>
    <row r="308" spans="1:256" ht="12"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row>
    <row r="309" spans="1:256" ht="12"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row>
    <row r="310" spans="1:256" ht="12"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row>
    <row r="311" spans="1:256" ht="12"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row>
    <row r="312" spans="1:256" ht="12"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row>
    <row r="313" spans="1:256" ht="12"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row>
    <row r="314" spans="1:256" ht="12"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row>
    <row r="315" spans="1:256" ht="12"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row>
    <row r="316" spans="1:256" ht="12"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row>
    <row r="317" spans="1:256" ht="12"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row>
    <row r="318" spans="1:256" ht="12"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row>
    <row r="319" spans="1:256" ht="12"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row>
    <row r="320" spans="1:256" ht="12"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row>
    <row r="321" spans="1:256" ht="12"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row>
    <row r="322" spans="1:256" ht="12"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row>
    <row r="323" spans="1:256" ht="12"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row>
    <row r="324" spans="1:256" ht="12"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row>
    <row r="325" spans="1:256" ht="12"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row>
    <row r="326" spans="1:256" ht="12"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row>
    <row r="327" spans="1:256" ht="12"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row>
    <row r="328" spans="1:256" ht="12"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row>
    <row r="329" spans="1:256" ht="12"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row>
    <row r="330" spans="1:256" ht="12"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row>
    <row r="331" spans="1:256" ht="12"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row>
    <row r="332" spans="1:256" ht="12"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row>
    <row r="333" spans="1:256" ht="12"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row>
    <row r="334" spans="1:256" ht="12"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row>
    <row r="335" spans="1:256" ht="12"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row>
    <row r="336" spans="1:256" ht="12"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row>
    <row r="337" spans="1:256" ht="12"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row>
    <row r="338" spans="1:256" ht="12"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row>
    <row r="339" spans="1:256" ht="12"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row>
    <row r="340" spans="1:256" ht="12"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row>
    <row r="341" spans="1:256" ht="12"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row>
    <row r="342" spans="1:256" ht="12"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row>
    <row r="343" spans="1:256" ht="12"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row>
    <row r="344" spans="1:256" ht="12"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row>
    <row r="345" spans="1:256" ht="12"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row>
    <row r="346" spans="1:256" ht="12"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row>
    <row r="347" spans="1:256" ht="12"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row>
    <row r="348" spans="1:256" ht="12"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row>
    <row r="349" spans="1:256" ht="12"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row>
    <row r="350" spans="1:256" ht="12"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row>
    <row r="351" spans="1:256" ht="12"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row>
    <row r="352" spans="1:256" ht="12"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row>
    <row r="353" spans="1:256" ht="12"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row>
    <row r="354" spans="1:256" ht="12"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row>
    <row r="355" spans="1:256" ht="12"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row>
    <row r="356" spans="1:256" ht="12"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row>
    <row r="357" spans="1:256" ht="12"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row>
    <row r="358" spans="1:256" ht="12"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row>
    <row r="359" spans="1:256" ht="12"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row>
    <row r="360" spans="1:256" ht="12"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row>
    <row r="361" spans="1:256" ht="12"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row>
    <row r="362" spans="1:256" ht="12"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row>
    <row r="363" spans="1:256" ht="12"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row>
    <row r="364" spans="1:256" ht="12"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row>
    <row r="365" spans="1:256" ht="12"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row>
    <row r="366" spans="1:256" ht="12"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row>
    <row r="367" spans="1:256" ht="12"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row>
    <row r="368" spans="1:256" ht="12"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row>
    <row r="369" spans="1:256" ht="12"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row>
    <row r="370" spans="1:256" ht="12"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row>
    <row r="371" spans="1:256" ht="12"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row>
    <row r="372" spans="1:256" ht="12"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row>
    <row r="373" spans="1:256" ht="12"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row>
    <row r="374" spans="1:256" ht="12"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row>
    <row r="375" spans="1:256" ht="12"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row>
    <row r="376" spans="1:256" ht="12"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row>
    <row r="377" spans="1:256" ht="12"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row>
    <row r="378" spans="1:256" ht="12"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row>
    <row r="379" spans="1:256" ht="12"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row>
    <row r="380" spans="1:256" ht="12"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row>
    <row r="381" spans="1:256" ht="12"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row>
    <row r="382" spans="1:256" ht="12"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row>
    <row r="383" spans="1:256" ht="12"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row>
    <row r="384" spans="1:256" ht="12"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row>
    <row r="385" spans="1:256" ht="12"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row>
    <row r="386" spans="1:256" ht="12"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row>
    <row r="387" spans="1:256" ht="12"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row>
    <row r="388" spans="1:256" ht="12"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row>
    <row r="389" spans="1:256" ht="12"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row>
    <row r="390" spans="1:256" ht="12"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row>
    <row r="391" spans="1:256" ht="12"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row>
    <row r="392" spans="1:256" ht="12"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row>
    <row r="393" spans="1:256" ht="12"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row>
    <row r="394" spans="1:256" ht="12"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row>
    <row r="395" spans="1:256" ht="12"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row>
    <row r="396" spans="1:256" ht="12"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row>
    <row r="397" spans="1:256" ht="12"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row>
    <row r="398" spans="1:256" ht="12"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row>
    <row r="399" spans="1:256" ht="12"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row>
    <row r="400" spans="1:256" ht="12"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row>
    <row r="401" spans="1:256" ht="12"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row>
    <row r="402" spans="1:256" ht="12"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row>
    <row r="403" spans="1:256" ht="12"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row>
    <row r="404" spans="1:256" ht="12"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row>
    <row r="405" spans="1:256" ht="12"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row>
    <row r="406" spans="1:256" ht="12"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row>
    <row r="407" spans="1:256" ht="12"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row>
    <row r="408" spans="1:256" ht="12"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row>
    <row r="409" spans="1:256" ht="12"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row>
    <row r="410" spans="1:256" ht="12"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row>
    <row r="411" spans="1:256" ht="12"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row>
    <row r="412" spans="1:256" ht="12"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row>
    <row r="413" spans="1:256" ht="12"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row>
    <row r="414" spans="1:256" ht="12"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row>
    <row r="415" spans="1:256" ht="12"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row>
    <row r="416" spans="1:256" ht="12"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row>
    <row r="417" spans="1:256" ht="12"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row>
    <row r="418" spans="1:256" ht="12"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row>
    <row r="419" spans="1:256" ht="12"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row>
    <row r="420" spans="1:256" ht="12"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row>
    <row r="421" spans="1:256" ht="12"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row>
    <row r="422" spans="1:256" ht="12"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row>
    <row r="423" spans="1:256" ht="12"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row>
    <row r="424" spans="1:256" ht="12"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row>
    <row r="425" spans="1:256" ht="12"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row>
    <row r="426" spans="1:256" ht="12"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row>
    <row r="427" spans="1:256" ht="12"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row>
    <row r="428" spans="1:256" ht="12"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row>
    <row r="429" spans="1:256" ht="12"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row>
    <row r="430" spans="1:256" ht="12"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row>
    <row r="431" spans="1:256" ht="12"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row>
    <row r="432" spans="1:256" ht="12"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row>
    <row r="433" spans="1:256" ht="12"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row>
    <row r="434" spans="1:256" ht="12"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row>
    <row r="435" spans="1:256" ht="12"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row>
    <row r="436" spans="1:256" ht="12"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row>
    <row r="437" spans="1:256" ht="12"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row>
    <row r="438" spans="1:256" ht="12"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row>
    <row r="439" spans="1:256" ht="12"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row>
    <row r="440" spans="1:256" ht="12"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row>
    <row r="441" spans="1:256" ht="12"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row>
    <row r="442" spans="1:256" ht="12"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row>
    <row r="443" spans="1:256" ht="12"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row>
    <row r="444" spans="1:256" ht="12"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row>
    <row r="445" spans="1:256" ht="12"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row>
    <row r="446" spans="1:256" ht="12"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row>
    <row r="447" spans="1:256" ht="12"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row>
    <row r="448" spans="1:256" ht="12"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row>
    <row r="449" spans="1:256" ht="12"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row>
    <row r="450" spans="1:256" ht="12"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row>
    <row r="451" spans="1:256" ht="12"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row>
    <row r="452" spans="1:256" ht="12"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row>
    <row r="453" spans="1:256" ht="12"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row>
    <row r="454" spans="1:256" ht="12"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row>
    <row r="455" spans="1:256" ht="12"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row>
    <row r="456" spans="1:256" ht="12"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row>
    <row r="457" spans="1:256" ht="12"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row>
    <row r="458" spans="1:256" ht="12"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row>
    <row r="459" spans="1:256" ht="12"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row>
    <row r="460" spans="1:256" ht="12"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row>
    <row r="461" spans="1:256" ht="12"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row>
    <row r="462" spans="1:256" ht="12"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row>
    <row r="463" spans="1:256" ht="12"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row>
    <row r="464" spans="1:256" ht="12"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row>
    <row r="465" spans="1:256" ht="12"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row>
    <row r="466" spans="1:256" ht="12"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row>
    <row r="467" spans="1:256" ht="12"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row>
    <row r="468" spans="1:256" ht="12"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row>
    <row r="469" spans="1:256" ht="12"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row>
    <row r="470" spans="1:256" ht="12"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row>
    <row r="471" spans="1:256" ht="12"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row>
    <row r="472" spans="1:256" ht="12"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row>
    <row r="473" spans="1:256" ht="12"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row>
    <row r="474" spans="1:256" ht="12"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row>
    <row r="475" spans="1:256" ht="12"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row>
    <row r="476" spans="1:256" ht="12"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row>
    <row r="477" spans="1:256" ht="12"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row>
    <row r="478" spans="1:256" ht="12"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row>
    <row r="479" spans="1:256" ht="12"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row>
    <row r="480" spans="1:256" ht="12"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row>
    <row r="481" spans="1:256" ht="12"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row>
    <row r="482" spans="1:256" ht="12"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row>
    <row r="483" spans="1:256" ht="12"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row>
    <row r="484" spans="1:256" ht="12"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row>
    <row r="485" spans="1:256" ht="12"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row>
    <row r="486" spans="1:256" ht="12"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row>
    <row r="487" spans="1:256" ht="12"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row>
    <row r="488" spans="1:256" ht="12"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row>
    <row r="489" spans="1:256" ht="12"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row>
    <row r="490" spans="1:256" ht="12"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row>
    <row r="491" spans="1:256" ht="12"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row>
    <row r="492" spans="1:256" ht="12"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row>
    <row r="493" spans="1:256" ht="12"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row>
    <row r="494" spans="1:256" ht="12"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row>
    <row r="495" spans="1:256" ht="12"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row>
    <row r="496" spans="1:256" ht="12"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row>
    <row r="497" spans="1:256" ht="12"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row>
    <row r="498" spans="1:256" ht="12"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row>
    <row r="499" spans="1:256" ht="12"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row>
    <row r="500" spans="1:256" ht="12"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row>
    <row r="501" spans="1:256" ht="12"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row>
    <row r="502" spans="1:256" ht="12"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row>
    <row r="503" spans="1:256" ht="12"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row>
    <row r="504" spans="1:256" ht="12"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row>
    <row r="505" spans="1:256" ht="12"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row>
    <row r="506" spans="1:256" ht="12"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row>
    <row r="507" spans="1:256" ht="12"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row>
    <row r="508" spans="1:256" ht="12"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row>
    <row r="509" spans="1:256" ht="12"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row>
    <row r="510" spans="1:256" ht="12"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row>
    <row r="511" spans="1:256" ht="12"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row>
    <row r="512" spans="1:256" ht="12"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row>
    <row r="513" spans="1:256" ht="12"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row>
    <row r="514" spans="1:256" ht="12"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row>
    <row r="515" spans="1:256" ht="12"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row>
    <row r="516" spans="1:256" ht="12"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row>
    <row r="517" spans="1:256" ht="12"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row>
    <row r="518" spans="1:256" ht="12"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row>
    <row r="519" spans="1:256" ht="12"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row>
    <row r="520" spans="1:256" ht="12"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row>
    <row r="521" spans="1:256" ht="12"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row>
    <row r="522" spans="1:256" ht="12"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row>
    <row r="523" spans="1:256" ht="12"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row>
    <row r="524" spans="1:256" ht="12"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row>
    <row r="525" spans="1:256" ht="12"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row>
    <row r="526" spans="1:256" ht="12"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row>
    <row r="527" spans="1:256" ht="12"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row>
    <row r="528" spans="1:256" ht="12"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row>
    <row r="529" spans="1:256" ht="12"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row>
    <row r="530" spans="1:256" ht="12"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row>
    <row r="531" spans="1:256" ht="12"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row>
    <row r="532" spans="1:256" ht="12"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row>
    <row r="533" spans="1:256" ht="12"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row>
    <row r="534" spans="1:256" ht="12"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row>
    <row r="535" spans="1:256" ht="12"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row>
    <row r="536" spans="1:256" ht="12"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row>
    <row r="537" spans="1:256" ht="12"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row>
    <row r="538" spans="1:256" ht="12"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row>
    <row r="539" spans="1:256" ht="12"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row>
    <row r="540" spans="1:256" ht="12"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row>
    <row r="541" spans="1:256" ht="12"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row>
    <row r="542" spans="1:256" ht="12"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row>
    <row r="543" spans="1:256" ht="12"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row>
    <row r="544" spans="1:256" ht="12"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row>
    <row r="545" spans="1:256" ht="12"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row>
    <row r="546" spans="1:256" ht="12"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row>
    <row r="547" spans="1:256" ht="12"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row>
    <row r="548" spans="1:256" ht="12"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row>
    <row r="549" spans="1:256" ht="12"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row>
    <row r="550" spans="1:256" ht="12"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row>
    <row r="551" spans="1:256" ht="12"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row>
    <row r="552" spans="1:256" ht="12"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row>
    <row r="553" spans="1:256" ht="12"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row>
    <row r="554" spans="1:256" ht="12"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row>
    <row r="555" spans="1:256" ht="12"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row>
    <row r="556" spans="1:256" ht="12"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row>
    <row r="557" spans="1:256" ht="12"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row>
    <row r="558" spans="1:256" ht="12"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row>
    <row r="559" spans="1:256" ht="12"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row>
    <row r="560" spans="1:256" ht="12"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row>
    <row r="561" spans="1:256" ht="12"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row>
    <row r="562" spans="1:256" ht="12"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row>
    <row r="563" spans="1:256" ht="12"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row>
    <row r="564" spans="1:256" ht="12"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row>
    <row r="565" spans="1:256" ht="12"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row>
    <row r="566" spans="1:256" ht="12"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row>
    <row r="567" spans="1:256" ht="12"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row>
    <row r="568" spans="1:256" ht="12"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row>
    <row r="569" spans="1:256" ht="12"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row>
    <row r="570" spans="1:256" ht="12"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row>
    <row r="571" spans="1:256" ht="12"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row>
    <row r="572" spans="1:256" ht="12"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row>
    <row r="573" spans="1:256" ht="12"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row>
    <row r="574" spans="1:256" ht="12"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row>
    <row r="575" spans="1:256" ht="12"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row>
    <row r="576" spans="1:256" ht="12"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row>
    <row r="577" spans="1:256" ht="12"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row>
    <row r="578" spans="1:256" ht="12"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row>
    <row r="579" spans="1:256" ht="12"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row>
    <row r="580" spans="1:256" ht="12"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row>
    <row r="581" spans="1:256" ht="12"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row>
    <row r="582" spans="1:256" ht="12"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row>
    <row r="583" spans="1:256" ht="12"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row>
    <row r="584" spans="1:256" ht="12"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row>
    <row r="585" spans="1:256" ht="12"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row>
    <row r="586" spans="1:256" ht="12"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row>
    <row r="587" spans="1:256" ht="12"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row>
    <row r="588" spans="1:256" ht="12"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row>
    <row r="589" spans="1:256" ht="12"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row>
    <row r="590" spans="1:256" ht="12"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row>
    <row r="591" spans="1:256" ht="12"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row>
    <row r="592" spans="1:256" ht="12"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row>
    <row r="593" spans="1:256" ht="12"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row>
    <row r="594" spans="1:256" ht="12"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row>
    <row r="595" spans="1:256" ht="12"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row>
    <row r="596" spans="1:256" ht="12"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row>
    <row r="597" spans="1:256" ht="12"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row>
    <row r="598" spans="1:256" ht="12"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row>
    <row r="599" spans="1:256" ht="12"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row>
    <row r="600" spans="1:256" ht="12"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row>
    <row r="601" spans="1:256" ht="12"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row>
    <row r="602" spans="1:256" ht="12"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row>
    <row r="603" spans="1:256" ht="12"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row>
    <row r="604" spans="1:256" ht="12"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row>
    <row r="605" spans="1:256" ht="12"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row>
    <row r="606" spans="1:256" ht="12"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row>
    <row r="607" spans="1:256" ht="12"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row>
    <row r="608" spans="1:256" ht="12"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row>
    <row r="609" spans="1:256" ht="12"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row>
    <row r="610" spans="1:256" ht="12"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row>
    <row r="611" spans="1:256" ht="12"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row>
    <row r="612" spans="1:256" ht="12"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row>
    <row r="613" spans="1:256" ht="12"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row>
    <row r="614" spans="1:256" ht="12"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row>
    <row r="615" spans="1:256" ht="12"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row>
    <row r="616" spans="1:256" ht="12"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row>
    <row r="617" spans="1:256" ht="12"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row>
    <row r="618" spans="1:256" ht="12"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row>
    <row r="619" spans="1:256" ht="12"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row>
    <row r="620" spans="1:256" ht="12"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row>
    <row r="621" spans="1:256" ht="12"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row>
    <row r="622" spans="1:256" ht="12"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row>
    <row r="623" spans="1:256" ht="12"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row>
    <row r="624" spans="1:256" ht="12"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row>
    <row r="625" spans="1:256" ht="12"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row>
    <row r="626" spans="1:256" ht="12"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row>
    <row r="627" spans="1:256" ht="12"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row>
    <row r="628" spans="1:256" ht="12"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row>
    <row r="629" spans="1:256" ht="12"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row>
    <row r="630" spans="1:256" ht="12"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row>
    <row r="631" spans="1:256" ht="12"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row>
    <row r="632" spans="1:256" ht="12"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row>
    <row r="633" spans="1:256" ht="12"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row>
    <row r="634" spans="1:256" ht="12"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row>
    <row r="635" spans="1:256" ht="12"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row>
    <row r="636" spans="1:256" ht="12"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row>
    <row r="637" spans="1:256" ht="12"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row>
    <row r="638" spans="1:256" ht="12"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row>
    <row r="639" spans="1:256" ht="12"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row>
    <row r="640" spans="1:256" ht="12"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row>
    <row r="641" spans="1:256" ht="12"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row>
    <row r="642" spans="1:256" ht="12"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row>
    <row r="643" spans="1:256" ht="12"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row>
    <row r="644" spans="1:256" ht="12"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row>
    <row r="645" spans="1:256" ht="12"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row>
    <row r="646" spans="1:256" ht="12"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row>
    <row r="647" spans="1:256" ht="12"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row>
    <row r="648" spans="1:256" ht="12"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row>
    <row r="649" spans="1:256" ht="12"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row>
    <row r="650" spans="1:256" ht="12"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row>
    <row r="651" spans="1:256" ht="12"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row>
    <row r="652" spans="1:256" ht="12"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row>
    <row r="653" spans="1:256" ht="12"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row>
    <row r="654" spans="1:256" ht="12"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row>
    <row r="655" spans="1:256" ht="12"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row>
    <row r="656" spans="1:256" ht="12"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row>
    <row r="657" spans="1:256" ht="12"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row>
    <row r="658" spans="1:256" ht="12"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row>
    <row r="659" spans="1:256" ht="12"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row>
    <row r="660" spans="1:256" ht="12"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row>
    <row r="661" spans="1:256" ht="12"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row>
    <row r="662" spans="1:256" ht="12"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row>
    <row r="663" spans="1:256" ht="12"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row>
    <row r="664" spans="1:256" ht="12"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row>
    <row r="665" spans="1:256" ht="12"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row>
    <row r="666" spans="1:256" ht="12"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row>
    <row r="667" spans="1:256" ht="12"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row>
    <row r="668" spans="1:256" ht="12"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row>
    <row r="669" spans="1:256" ht="12"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row>
    <row r="670" spans="1:256" ht="12"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row>
    <row r="671" spans="1:256" ht="12"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row>
    <row r="672" spans="1:256" ht="12"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row>
    <row r="673" spans="1:256" ht="12"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row>
    <row r="674" spans="1:256" ht="12"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row>
    <row r="675" spans="1:256" ht="12"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row>
    <row r="676" spans="1:256" ht="12"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row>
    <row r="677" spans="1:256" ht="12"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row>
    <row r="678" spans="1:256" ht="12"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row>
    <row r="679" spans="1:256" ht="12"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row>
    <row r="680" spans="1:256" ht="12"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row>
    <row r="681" spans="1:256" ht="12"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row>
    <row r="682" spans="1:256" ht="12"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row>
    <row r="683" spans="1:256" ht="12"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row>
    <row r="684" spans="1:256" ht="12"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row>
    <row r="685" spans="1:256" ht="12"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row>
    <row r="686" spans="1:256" ht="12"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row>
    <row r="687" spans="1:256" ht="12"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row>
    <row r="688" spans="1:256" ht="12"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row>
    <row r="689" spans="1:256" ht="12"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row>
    <row r="690" spans="1:256" ht="12"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row>
    <row r="691" spans="1:256" ht="12"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row>
    <row r="692" spans="1:256" ht="12"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row>
    <row r="693" spans="1:256" ht="12"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row>
    <row r="694" spans="1:256" ht="12"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row>
    <row r="695" spans="1:256" ht="12"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row>
    <row r="696" spans="1:256" ht="12"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row>
    <row r="697" spans="1:256" ht="12"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row>
    <row r="698" spans="1:256" ht="12"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row>
    <row r="699" spans="1:256" ht="12"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row>
    <row r="700" spans="1:256" ht="12"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row>
    <row r="701" spans="1:256" ht="12"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row>
    <row r="702" spans="1:256" ht="12"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row>
    <row r="703" spans="1:256" ht="12"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row>
    <row r="704" spans="1:256" ht="12"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row>
    <row r="705" spans="1:256" ht="12"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row>
    <row r="706" spans="1:256" ht="12"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row>
    <row r="707" spans="1:256" ht="12"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row>
    <row r="708" spans="1:256" ht="12"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row>
    <row r="709" spans="1:256" ht="12"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row>
    <row r="710" spans="1:256" ht="12"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row>
    <row r="711" spans="1:256" ht="12"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row>
    <row r="712" spans="1:256" ht="12"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row>
    <row r="713" spans="1:256" ht="12"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row>
    <row r="714" spans="1:256" ht="12"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row>
    <row r="715" spans="1:256" ht="12"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row>
    <row r="716" spans="1:256" ht="12"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row>
    <row r="717" spans="1:256" ht="12"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row>
    <row r="718" spans="1:256" ht="12"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row>
    <row r="719" spans="1:256" ht="12"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row>
    <row r="720" spans="1:256" ht="12"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row>
    <row r="721" spans="1:256" ht="12"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row>
    <row r="722" spans="1:256" ht="12"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row>
    <row r="723" spans="1:256" ht="12"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row>
    <row r="724" spans="1:256" ht="12"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row>
    <row r="725" spans="1:256" ht="12"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row>
    <row r="726" spans="1:256" ht="12"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row>
    <row r="727" spans="1:256" ht="12"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row>
    <row r="728" spans="1:256" ht="12"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row>
    <row r="729" spans="1:256" ht="12"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row>
    <row r="730" spans="1:256" ht="12"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row>
    <row r="731" spans="1:256" ht="12"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row>
    <row r="732" spans="1:256" ht="12"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row>
    <row r="733" spans="1:256" ht="12"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row>
    <row r="734" spans="1:256" ht="12"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row>
    <row r="735" spans="1:256" ht="12"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row>
    <row r="736" spans="1:256" ht="12"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row>
    <row r="737" spans="1:256" ht="12"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row>
    <row r="738" spans="1:256" ht="12"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row>
    <row r="739" spans="1:256" ht="12"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row>
    <row r="740" spans="1:256" ht="12"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row>
    <row r="741" spans="1:256" ht="12"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row>
    <row r="742" spans="1:256" ht="12"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row>
    <row r="743" spans="1:256" ht="12"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row>
    <row r="744" spans="1:256" ht="12"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row>
    <row r="745" spans="1:256" ht="12"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row>
    <row r="746" spans="1:256" ht="12"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row>
    <row r="747" spans="1:256" ht="12"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row>
    <row r="748" spans="1:256" ht="12"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row>
    <row r="749" spans="1:256" ht="12"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row>
    <row r="750" spans="1:256" ht="12"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row>
    <row r="751" spans="1:256" ht="12"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row>
    <row r="752" spans="1:256" ht="12"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row>
    <row r="753" spans="1:256" ht="12"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row>
    <row r="754" spans="1:256" ht="12"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row>
    <row r="755" spans="1:256" ht="12"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row>
    <row r="756" spans="1:256" ht="12"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row>
    <row r="757" spans="1:256" ht="12"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row>
    <row r="758" spans="1:256" ht="12"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row>
    <row r="759" spans="1:256" ht="12"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row>
    <row r="760" spans="1:256" ht="12"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row>
    <row r="761" spans="1:256" ht="12"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row>
    <row r="762" spans="1:256" ht="12"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row>
    <row r="763" spans="1:256" ht="12"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row>
    <row r="764" spans="1:256" ht="12"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row>
    <row r="765" spans="1:256" ht="12"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row>
    <row r="766" spans="1:256" ht="12"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row>
    <row r="767" spans="1:256" ht="12"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row>
    <row r="768" spans="1:256" ht="12"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row>
    <row r="769" spans="1:256" ht="12"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row>
    <row r="770" spans="1:256" ht="12"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row>
    <row r="771" spans="1:256" ht="12"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row>
    <row r="772" spans="1:256" ht="12"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row>
    <row r="773" spans="1:256" ht="12"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row>
    <row r="774" spans="1:256" ht="12"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row>
    <row r="775" spans="1:256" ht="12"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row>
    <row r="776" spans="1:256" ht="12"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row>
    <row r="777" spans="1:256" ht="12"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row>
    <row r="778" spans="1:256" ht="12"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row>
    <row r="779" spans="1:256" ht="12"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row>
    <row r="780" spans="1:256" ht="12"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row>
    <row r="781" spans="1:256" ht="12"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row>
    <row r="782" spans="1:256" ht="12"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row>
    <row r="783" spans="1:256" ht="12"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row>
    <row r="784" spans="1:256" ht="12"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row>
    <row r="785" spans="1:256" ht="12"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row>
    <row r="786" spans="1:256" ht="12"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row>
    <row r="787" spans="1:256" ht="12"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row>
    <row r="788" spans="1:256" ht="12"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row>
    <row r="789" spans="1:256" ht="12"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row>
    <row r="790" spans="1:256" ht="12"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row>
    <row r="791" spans="1:256" ht="12"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row>
    <row r="792" spans="1:256" ht="12"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row>
    <row r="793" spans="1:256" ht="12"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row>
    <row r="794" spans="1:256" ht="12"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row>
    <row r="795" spans="1:256" ht="12"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row>
    <row r="796" spans="1:256" ht="12"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row>
    <row r="797" spans="1:256" ht="12"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row>
    <row r="798" spans="1:256" ht="12"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row>
    <row r="799" spans="1:256" ht="12"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row>
    <row r="800" spans="1:256" ht="12"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row>
    <row r="801" spans="1:256" ht="12"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row>
    <row r="802" spans="1:256" ht="12"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row>
    <row r="803" spans="1:256" ht="12"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row>
    <row r="804" spans="1:256" ht="12"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row>
    <row r="805" spans="1:256" ht="12"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row>
    <row r="806" spans="1:256" ht="12"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row>
    <row r="807" spans="1:256" ht="12"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row>
    <row r="808" spans="1:256" ht="12"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row>
    <row r="809" spans="1:256" ht="12"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row>
    <row r="810" spans="1:256" ht="12"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row>
    <row r="811" spans="1:256" ht="12"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row>
    <row r="812" spans="1:256" ht="12"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row>
    <row r="813" spans="1:256" ht="12"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row>
    <row r="814" spans="1:256" ht="12"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row>
    <row r="815" spans="1:256" ht="12"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row>
    <row r="816" spans="1:256" ht="12"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row>
    <row r="817" spans="1:256" ht="12"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row>
    <row r="818" spans="1:256" ht="12"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row>
    <row r="819" spans="1:256" ht="12"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row>
    <row r="820" spans="1:256" ht="12"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row>
    <row r="821" spans="1:256" ht="12"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row>
    <row r="822" spans="1:256" ht="12"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row>
    <row r="823" spans="1:256" ht="12"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row>
    <row r="824" spans="1:256" ht="12"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row>
    <row r="825" spans="1:256" ht="12"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row>
    <row r="826" spans="1:256" ht="12"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row>
    <row r="827" spans="1:256" ht="12"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row>
    <row r="828" spans="1:256" ht="12"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row>
    <row r="829" spans="1:256" ht="12"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row>
    <row r="830" spans="1:256" ht="12"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row>
    <row r="831" spans="1:256" ht="12"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row>
    <row r="832" spans="1:256" ht="12"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row>
    <row r="833" spans="1:256" ht="12"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row>
    <row r="834" spans="1:256" ht="12"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row>
    <row r="835" spans="1:256" ht="12"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row>
    <row r="836" spans="1:256" ht="12"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row>
    <row r="837" spans="1:256" ht="12"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row>
    <row r="838" spans="1:256" ht="12"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row>
    <row r="839" spans="1:256" ht="12"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row>
    <row r="840" spans="1:256" ht="12"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row>
    <row r="841" spans="1:256" ht="12"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row>
    <row r="842" spans="1:256" ht="12"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row>
    <row r="843" spans="1:256" ht="12"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row>
    <row r="844" spans="1:256" ht="12"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row>
    <row r="845" spans="1:256" ht="12"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row>
    <row r="846" spans="1:256" ht="12"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row>
    <row r="847" spans="1:256" ht="12"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row>
    <row r="848" spans="1:256" ht="12"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row>
    <row r="849" spans="1:256" ht="12"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row>
    <row r="850" spans="1:256" ht="12"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row>
    <row r="851" spans="1:256" ht="12"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row>
    <row r="852" spans="1:256" ht="12"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row>
    <row r="853" spans="1:256" ht="12"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row>
    <row r="854" spans="1:256" ht="12"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row>
    <row r="855" spans="1:256" ht="12"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row>
    <row r="856" spans="1:256" ht="12"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row>
    <row r="857" spans="1:256" ht="12"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row>
    <row r="858" spans="1:256" ht="12"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row>
    <row r="859" spans="1:256" ht="12"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row>
    <row r="860" spans="1:256" ht="12"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row>
    <row r="861" spans="1:256" ht="12"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row>
    <row r="862" spans="1:256" ht="12"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row>
    <row r="863" spans="1:256" ht="12"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row>
    <row r="864" spans="1:256" ht="12"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row>
    <row r="865" spans="1:256" ht="12"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row>
    <row r="866" spans="1:256" ht="12"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row>
    <row r="867" spans="1:256" ht="12"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row>
    <row r="868" spans="1:256" ht="12"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row>
    <row r="869" spans="1:256" ht="12"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row>
    <row r="870" spans="1:256" ht="12"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row>
    <row r="871" spans="1:256" ht="12"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row>
    <row r="872" spans="1:256" ht="12"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row>
    <row r="873" spans="1:256" ht="12"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row>
    <row r="874" spans="1:256" ht="12"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row>
    <row r="875" spans="1:256" ht="12"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row>
    <row r="876" spans="1:256" ht="12"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row>
    <row r="877" spans="1:256" ht="12"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row>
    <row r="878" spans="1:256" ht="12"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row>
    <row r="879" spans="1:256" ht="12"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row>
    <row r="880" spans="1:256" ht="12"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row>
    <row r="881" spans="1:256" ht="12"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row>
    <row r="882" spans="1:256" ht="12"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row>
    <row r="883" spans="1:256" ht="12"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row>
    <row r="884" spans="1:256" ht="12"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row>
    <row r="885" spans="1:256" ht="12"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row>
    <row r="886" spans="1:256" ht="12"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row>
    <row r="887" spans="1:256" ht="12"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row>
    <row r="888" spans="1:256" ht="12"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row>
    <row r="889" spans="1:256" ht="12"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row>
    <row r="890" spans="1:256" ht="12"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row>
    <row r="891" spans="1:256" ht="12"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row>
    <row r="892" spans="1:256" ht="12"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row>
    <row r="893" spans="1:256" ht="12"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row>
    <row r="894" spans="1:256" ht="12"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row>
    <row r="895" spans="1:256" ht="12"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row>
    <row r="896" spans="1:256" ht="12"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row>
    <row r="897" spans="1:256" ht="12"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row>
    <row r="898" spans="1:256" ht="12"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row>
    <row r="899" spans="1:256" ht="12"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row>
    <row r="900" spans="1:256" ht="12"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row>
    <row r="901" spans="1:256" ht="12"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row>
    <row r="902" spans="1:256" ht="12"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row>
    <row r="903" spans="1:256" ht="12"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row>
    <row r="904" spans="1:256" ht="12"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row>
    <row r="905" spans="1:256" ht="12"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row>
    <row r="906" spans="1:256" ht="12"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row>
    <row r="907" spans="1:256" ht="12"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row>
    <row r="908" spans="1:256" ht="12"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row>
    <row r="909" spans="1:256" ht="12"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row>
    <row r="910" spans="1:256" ht="12"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row>
    <row r="911" spans="1:256" ht="12"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row>
    <row r="912" spans="1:256" ht="12"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row>
    <row r="913" spans="1:256" ht="12"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row>
    <row r="914" spans="1:256" ht="12"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row>
    <row r="915" spans="1:256" ht="12"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row>
    <row r="916" spans="1:256" ht="12"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row>
    <row r="917" spans="1:256" ht="12"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row>
    <row r="918" spans="1:256" ht="12"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row>
    <row r="919" spans="1:256" ht="12"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row>
    <row r="920" spans="1:256" ht="12"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row>
    <row r="921" spans="1:256" ht="12"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row>
    <row r="922" spans="1:256" ht="12"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row>
    <row r="923" spans="1:256" ht="12"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row>
    <row r="924" spans="1:256" ht="12"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row>
    <row r="925" spans="1:256" ht="12"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row>
    <row r="926" spans="1:256" ht="12"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row>
    <row r="927" spans="1:256" ht="12"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row>
    <row r="928" spans="1:256" ht="12"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row>
    <row r="929" spans="1:256" ht="12"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row>
    <row r="930" spans="1:256" ht="12"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row>
    <row r="931" spans="1:256" ht="12"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row>
    <row r="932" spans="1:256" ht="12"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row>
    <row r="933" spans="1:256" ht="12"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row>
    <row r="934" spans="1:256" ht="12"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row>
    <row r="935" spans="1:256" ht="12"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row>
    <row r="936" spans="1:256" ht="12"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row>
    <row r="937" spans="1:256" ht="12"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row>
    <row r="938" spans="1:256" ht="12"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row>
    <row r="939" spans="1:256" ht="12"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row>
    <row r="940" spans="1:256" ht="12"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row>
    <row r="941" spans="1:256" ht="12"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row>
    <row r="942" spans="1:256" ht="12"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row>
    <row r="943" spans="1:256" ht="12"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row>
    <row r="944" spans="1:256" ht="12"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row>
    <row r="945" spans="1:256" ht="12"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row>
    <row r="946" spans="1:256" ht="12"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row>
    <row r="947" spans="1:256" ht="12"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row>
    <row r="948" spans="1:256" ht="12"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row>
    <row r="949" spans="1:256" ht="12"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row>
    <row r="950" spans="1:256" ht="12"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row>
    <row r="951" spans="1:256" ht="12"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row>
    <row r="952" spans="1:256" ht="12"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row>
    <row r="953" spans="1:256" ht="12"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row>
    <row r="954" spans="1:256" ht="12"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row>
    <row r="955" spans="1:256" ht="12"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row>
    <row r="956" spans="1:256" ht="12"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row>
    <row r="957" spans="1:256" ht="12"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row>
    <row r="958" spans="1:256" ht="12"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row>
    <row r="959" spans="1:256" ht="12"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row>
    <row r="960" spans="1:256" ht="12"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row>
    <row r="961" spans="1:256" ht="12"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row>
    <row r="962" spans="1:256" ht="12"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row>
    <row r="963" spans="1:256" ht="12"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row>
    <row r="964" spans="1:256" ht="12"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row>
    <row r="965" spans="1:256" ht="12"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row>
    <row r="966" spans="1:256" ht="12"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row>
    <row r="967" spans="1:256" ht="12"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row>
    <row r="968" spans="1:256" ht="12"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row>
    <row r="969" spans="1:256" ht="12"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row>
    <row r="970" spans="1:256" ht="12"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row>
    <row r="971" spans="1:256" ht="12"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row>
    <row r="972" spans="1:256" ht="12"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row>
    <row r="973" spans="1:256" ht="12"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row>
    <row r="974" spans="1:256" ht="12"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row>
    <row r="975" spans="1:256" ht="12"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row>
    <row r="976" spans="1:256" ht="12"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row>
    <row r="977" spans="1:256" ht="12"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row>
    <row r="978" spans="1:256" ht="12"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row>
    <row r="979" spans="1:256" ht="12"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row>
    <row r="980" spans="1:256" ht="12"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row>
    <row r="981" spans="1:256" ht="12"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row>
    <row r="982" spans="1:256" ht="12"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row>
    <row r="983" spans="1:256" ht="12"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row>
    <row r="984" spans="1:256" ht="12"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row>
    <row r="985" spans="1:256" ht="12"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row>
    <row r="986" spans="1:256" ht="12"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row>
    <row r="987" spans="1:256" ht="12"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row>
    <row r="988" spans="1:256" ht="12"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row>
    <row r="989" spans="1:256" ht="12"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row>
    <row r="990" spans="1:256" ht="12"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row>
    <row r="991" spans="1:256" ht="12"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row>
    <row r="992" spans="1:256" ht="12"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row>
    <row r="993" spans="1:256" ht="12"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row>
    <row r="994" spans="1:256" ht="12"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row>
    <row r="995" spans="1:256" ht="12"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row>
    <row r="996" spans="1:256" ht="12"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row>
    <row r="997" spans="1:256" ht="12"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row>
    <row r="998" spans="1:256" ht="12"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row>
    <row r="999" spans="1:256" ht="12"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row>
    <row r="1000" spans="1:256" ht="12"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row>
  </sheetData>
  <pageMargins left="0.75" right="0.75" top="1" bottom="1"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St. Lucia 2016 Election Results</vt:lpstr>
      <vt:lpstr>2016 Candidates</vt:lpstr>
      <vt:lpstr>A_Gros_Islet</vt:lpstr>
      <vt:lpstr>B_Babonneau</vt:lpstr>
      <vt:lpstr>C_Castries_North</vt:lpstr>
      <vt:lpstr>D_Castries_East</vt:lpstr>
      <vt:lpstr>E_Castries_Central</vt:lpstr>
      <vt:lpstr>F_Castries_South</vt:lpstr>
      <vt:lpstr>G_Anse_La_Raye_and_Canaries</vt:lpstr>
      <vt:lpstr>H_Soufriere</vt:lpstr>
      <vt:lpstr>I_Choiseul</vt:lpstr>
      <vt:lpstr>J_Laborie</vt:lpstr>
      <vt:lpstr>K_Vieux_Fort_South</vt:lpstr>
      <vt:lpstr>L_Vieux_Fort_North</vt:lpstr>
      <vt:lpstr>M_Micoud_South</vt:lpstr>
      <vt:lpstr>N_Micoud_North</vt:lpstr>
      <vt:lpstr>O_Dennery_South</vt:lpstr>
      <vt:lpstr>P_Dennery_North</vt:lpstr>
      <vt:lpstr>Q_Castries_South_East</vt:lpstr>
      <vt:lpstr>DV-IDENTITY-0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Alymphia Lionel</dc:creator>
  <cp:lastModifiedBy>Ravi Lamontagne</cp:lastModifiedBy>
  <cp:lastPrinted>2018-06-22T13:31:14Z</cp:lastPrinted>
  <dcterms:created xsi:type="dcterms:W3CDTF">2016-06-23T14:44:45Z</dcterms:created>
  <dcterms:modified xsi:type="dcterms:W3CDTF">2020-08-07T02:16:05Z</dcterms:modified>
</cp:coreProperties>
</file>