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360" yWindow="60" windowWidth="11295" windowHeight="5580" activeTab="4"/>
  </bookViews>
  <sheets>
    <sheet name="Zestawienie okien" sheetId="1" r:id="rId1"/>
    <sheet name="Producenci okien" sheetId="2" r:id="rId2"/>
    <sheet name="Brama garażowa" sheetId="3" r:id="rId3"/>
    <sheet name="Drzwi wejściowe" sheetId="4" r:id="rId4"/>
    <sheet name="Okna połaciowe" sheetId="5" r:id="rId5"/>
  </sheets>
  <calcPr calcId="124519"/>
</workbook>
</file>

<file path=xl/calcChain.xml><?xml version="1.0" encoding="utf-8"?>
<calcChain xmlns="http://schemas.openxmlformats.org/spreadsheetml/2006/main">
  <c r="H5" i="1"/>
  <c r="W25"/>
  <c r="AA24"/>
  <c r="AA23"/>
  <c r="AA22"/>
  <c r="K19"/>
  <c r="W23"/>
  <c r="V22"/>
  <c r="U22"/>
  <c r="T22"/>
  <c r="W22"/>
  <c r="N22"/>
  <c r="M22"/>
  <c r="L22"/>
  <c r="K22"/>
  <c r="V21"/>
  <c r="U21"/>
  <c r="Y19"/>
  <c r="T21"/>
  <c r="N21"/>
  <c r="M21"/>
  <c r="L21"/>
  <c r="K21"/>
  <c r="T11"/>
  <c r="S11"/>
  <c r="O11"/>
  <c r="N11"/>
  <c r="M11"/>
  <c r="L11"/>
  <c r="W11" s="1"/>
  <c r="K11"/>
  <c r="V18"/>
  <c r="U18"/>
  <c r="T18"/>
  <c r="S18"/>
  <c r="R18"/>
  <c r="Q18"/>
  <c r="P18"/>
  <c r="O18"/>
  <c r="N18"/>
  <c r="M18"/>
  <c r="L18"/>
  <c r="K18"/>
  <c r="L8"/>
  <c r="M8"/>
  <c r="N8"/>
  <c r="O8"/>
  <c r="P8"/>
  <c r="Q8"/>
  <c r="R8"/>
  <c r="S8"/>
  <c r="T8"/>
  <c r="U8"/>
  <c r="V8"/>
  <c r="K8"/>
  <c r="G5"/>
  <c r="G3"/>
  <c r="G2"/>
  <c r="G11" s="1"/>
  <c r="P28" s="1"/>
  <c r="G8"/>
  <c r="G7"/>
  <c r="G4"/>
  <c r="W21" l="1"/>
  <c r="U20"/>
  <c r="M20"/>
  <c r="K20"/>
  <c r="U19"/>
  <c r="M19"/>
  <c r="M10"/>
  <c r="O10"/>
  <c r="Q10"/>
  <c r="S10"/>
  <c r="U10"/>
  <c r="K10"/>
  <c r="L9"/>
  <c r="N9"/>
  <c r="P9"/>
  <c r="R9"/>
  <c r="T9"/>
  <c r="V9"/>
  <c r="V20"/>
  <c r="T20"/>
  <c r="N20"/>
  <c r="L20"/>
  <c r="V19"/>
  <c r="T19"/>
  <c r="N19"/>
  <c r="L19"/>
  <c r="L10"/>
  <c r="N10"/>
  <c r="P10"/>
  <c r="R10"/>
  <c r="T10"/>
  <c r="V10"/>
  <c r="M9"/>
  <c r="O9"/>
  <c r="Q9"/>
  <c r="S9"/>
  <c r="U9"/>
  <c r="K9"/>
  <c r="W9" s="1"/>
  <c r="W10" l="1"/>
  <c r="W13" s="1"/>
  <c r="W14" s="1"/>
  <c r="Y14" s="1"/>
  <c r="W19"/>
  <c r="AA19" s="1"/>
  <c r="Y25" s="1"/>
  <c r="W20"/>
  <c r="AA20" s="1"/>
</calcChain>
</file>

<file path=xl/sharedStrings.xml><?xml version="1.0" encoding="utf-8"?>
<sst xmlns="http://schemas.openxmlformats.org/spreadsheetml/2006/main" count="300" uniqueCount="176">
  <si>
    <t>Parter:</t>
  </si>
  <si>
    <t>Kuchnia</t>
  </si>
  <si>
    <t>900x1200</t>
  </si>
  <si>
    <t>Wykusz</t>
  </si>
  <si>
    <t>Taras</t>
  </si>
  <si>
    <t>przesuwne, na zamówienie</t>
  </si>
  <si>
    <t>Gabinet</t>
  </si>
  <si>
    <t>Pom.gosp.ogród</t>
  </si>
  <si>
    <t>1165x535</t>
  </si>
  <si>
    <t>Garaż</t>
  </si>
  <si>
    <t xml:space="preserve">Pom.gosp </t>
  </si>
  <si>
    <t>1465x535</t>
  </si>
  <si>
    <t>1500x600</t>
  </si>
  <si>
    <t>1200x600</t>
  </si>
  <si>
    <t>Piętro:</t>
  </si>
  <si>
    <t>Pokoiki</t>
  </si>
  <si>
    <t>90x2160</t>
  </si>
  <si>
    <t>865x2095</t>
  </si>
  <si>
    <t>drzwi balkonowe</t>
  </si>
  <si>
    <t>okna dachowe</t>
  </si>
  <si>
    <t>78x118</t>
  </si>
  <si>
    <t>Sypialnia</t>
  </si>
  <si>
    <t>Korytarz</t>
  </si>
  <si>
    <t>Łazienka</t>
  </si>
  <si>
    <t>Garderoba</t>
  </si>
  <si>
    <t>2100x1500</t>
  </si>
  <si>
    <t>900x1500</t>
  </si>
  <si>
    <t>865x1435</t>
  </si>
  <si>
    <t>2065x1435</t>
  </si>
  <si>
    <t>865x1135</t>
  </si>
  <si>
    <t>ok.</t>
  </si>
  <si>
    <t>1465x1135</t>
  </si>
  <si>
    <t>1500x1200</t>
  </si>
  <si>
    <t>nad wc</t>
  </si>
  <si>
    <t>Powierzchnia okna [m2]</t>
  </si>
  <si>
    <t>Razem</t>
  </si>
  <si>
    <t>Wspolczynnik U dla okna</t>
  </si>
  <si>
    <t>standardowe okna</t>
  </si>
  <si>
    <t>W/(m2*K)</t>
  </si>
  <si>
    <t>Srednie najniższe temperatury</t>
  </si>
  <si>
    <t>Tempratura w domu</t>
  </si>
  <si>
    <t>Srednie  temperatury</t>
  </si>
  <si>
    <t>Rocznie</t>
  </si>
  <si>
    <t>W</t>
  </si>
  <si>
    <t>Strata ciepla (okno)</t>
  </si>
  <si>
    <t>Strata ciepła(okno+roleta)</t>
  </si>
  <si>
    <t>okna z roletą</t>
  </si>
  <si>
    <t>oszczedność</t>
  </si>
  <si>
    <t>Różnice temp</t>
  </si>
  <si>
    <t>Godzin w miesiącu zasuniętej rolety</t>
  </si>
  <si>
    <t>h</t>
  </si>
  <si>
    <t>strata</t>
  </si>
  <si>
    <t>kWh</t>
  </si>
  <si>
    <t>Koszt 1kWh dla kotła kondensacyjnego</t>
  </si>
  <si>
    <t>zł/rok</t>
  </si>
  <si>
    <t>Cena rolet za m2</t>
  </si>
  <si>
    <t>od</t>
  </si>
  <si>
    <t>Koszt rolet</t>
  </si>
  <si>
    <t>suma</t>
  </si>
  <si>
    <t>godzin</t>
  </si>
  <si>
    <t>cały dzień</t>
  </si>
  <si>
    <t>dzień</t>
  </si>
  <si>
    <t>noc</t>
  </si>
  <si>
    <t>stratakWh/rok</t>
  </si>
  <si>
    <t>Godzin nocnych</t>
  </si>
  <si>
    <t>Godzin zasunietej rolety</t>
  </si>
  <si>
    <t>zasunieta roleta</t>
  </si>
  <si>
    <t>niezasunieta roleta</t>
  </si>
  <si>
    <t>Producent</t>
  </si>
  <si>
    <t>Drutex</t>
  </si>
  <si>
    <t>PN-PT</t>
  </si>
  <si>
    <t>SO</t>
  </si>
  <si>
    <t>10:00-14:00</t>
  </si>
  <si>
    <t>8:00-17:00</t>
  </si>
  <si>
    <t>9:00 – 17:00</t>
  </si>
  <si>
    <t>10:00 – 15:00</t>
  </si>
  <si>
    <t>Oknoplast</t>
  </si>
  <si>
    <t>Vetrex</t>
  </si>
  <si>
    <t>Eurocolor</t>
  </si>
  <si>
    <t>603 034 463</t>
  </si>
  <si>
    <t>Jarosław Strusiński</t>
  </si>
  <si>
    <t>W/m2K</t>
  </si>
  <si>
    <t>Maco</t>
  </si>
  <si>
    <t>do 4</t>
  </si>
  <si>
    <t>okna IGLO ENERGY</t>
  </si>
  <si>
    <t>drzwi Iglo5</t>
  </si>
  <si>
    <t>b.d.</t>
  </si>
  <si>
    <t>brak przesuwnych</t>
  </si>
  <si>
    <t>Winergetic Premium</t>
  </si>
  <si>
    <t>brzydkie</t>
  </si>
  <si>
    <t>drzwi HSK</t>
  </si>
  <si>
    <t>Normstahl</t>
  </si>
  <si>
    <t>Hormann</t>
  </si>
  <si>
    <t>Wiśniowski</t>
  </si>
  <si>
    <t>Gerda</t>
  </si>
  <si>
    <t>Producenci</t>
  </si>
  <si>
    <t>Porta Drzwi</t>
  </si>
  <si>
    <t>Renoma 2000</t>
  </si>
  <si>
    <t>ul. Legnicka 46</t>
  </si>
  <si>
    <t>9:00-18:00</t>
  </si>
  <si>
    <t>Pn-Pt</t>
  </si>
  <si>
    <t>So</t>
  </si>
  <si>
    <t>Przedstawiciel</t>
  </si>
  <si>
    <t>Adres</t>
  </si>
  <si>
    <t>Punkt sprzedaży</t>
  </si>
  <si>
    <t>Godziny otwarcia</t>
  </si>
  <si>
    <t>Ekodynamic Sp. z o.o. Spółka Komandytowa
ul. Karmelkowa 29 pawilon nr 8</t>
  </si>
  <si>
    <t>ELEKTRYK-SYSTEM NOWOCZESNE TECHNOLOGIE 
ul. Ładna 17</t>
  </si>
  <si>
    <t>ADOMEX
ul. Krynicka 1, paw.1a</t>
  </si>
  <si>
    <t>10:00-17:30</t>
  </si>
  <si>
    <t>Wrocław - MIKOŁAJCZYK - Partner Handlowy
Legnicka 62</t>
  </si>
  <si>
    <t>Fix
Bystrzycka 69c</t>
  </si>
  <si>
    <t>10:00-18:00 (Pn, Śr)
9:00-17:00 (Wt, Czw)
10:00-17:00 (Pt)</t>
  </si>
  <si>
    <t>9:00-13:00 (1 So mies)</t>
  </si>
  <si>
    <t>Krótki przegląd okien</t>
  </si>
  <si>
    <t>Model</t>
  </si>
  <si>
    <t>Komory</t>
  </si>
  <si>
    <t>Okucia</t>
  </si>
  <si>
    <t>Szyby</t>
  </si>
  <si>
    <t>Kolorystyka</t>
  </si>
  <si>
    <t>Uwagi</t>
  </si>
  <si>
    <t>Gwarancja</t>
  </si>
  <si>
    <t>PremiumCenter</t>
  </si>
  <si>
    <t>Kromera 25B</t>
  </si>
  <si>
    <t>kontakt</t>
  </si>
  <si>
    <t xml:space="preserve">Przedsiębiorstwo MICHALCZYK </t>
  </si>
  <si>
    <t>ul. Kościelna 2 (-&gt;Bielany)</t>
  </si>
  <si>
    <t>8:00-16:00</t>
  </si>
  <si>
    <t>9:00-13:00</t>
  </si>
  <si>
    <t>ul.Fabryczna 6/8</t>
  </si>
  <si>
    <t>Irga, Dzik Józef</t>
  </si>
  <si>
    <t>Fakro</t>
  </si>
  <si>
    <t>Velux</t>
  </si>
  <si>
    <t>PolSkone</t>
  </si>
  <si>
    <t>Nawiewniki</t>
  </si>
  <si>
    <t>Uchylność</t>
  </si>
  <si>
    <t>Parapety</t>
  </si>
  <si>
    <t>Grubość zbrojenia</t>
  </si>
  <si>
    <t>mniej ważne, ważniejsza klasa A,B,C czyli grubość profilu</t>
  </si>
  <si>
    <t>min 1,5mm, często stosują mniejsze; min co 30cm</t>
  </si>
  <si>
    <t>Klamki</t>
  </si>
  <si>
    <t>ile wytrzymują cykli</t>
  </si>
  <si>
    <t>rodzaj, a nie nazwa firmy</t>
  </si>
  <si>
    <t>Izolacja akustyczna</t>
  </si>
  <si>
    <t>Aprobatę techniczną InstytutuTechniki Budowlanej.</t>
  </si>
  <si>
    <t>musi być</t>
  </si>
  <si>
    <t>zakres gwarancji</t>
  </si>
  <si>
    <t xml:space="preserve">Cena </t>
  </si>
  <si>
    <t>całego okna</t>
  </si>
  <si>
    <t>nazwa/producent</t>
  </si>
  <si>
    <t>ile szyb</t>
  </si>
  <si>
    <t>czy produkują bez</t>
  </si>
  <si>
    <t>czy są do kompletu</t>
  </si>
  <si>
    <t>co jest a co nie jest w nią wliczone</t>
  </si>
  <si>
    <t>Dodatki</t>
  </si>
  <si>
    <t>gadżety</t>
  </si>
  <si>
    <t>Szablon zapytania ofertowego</t>
  </si>
  <si>
    <t>Roto</t>
  </si>
  <si>
    <t>mail</t>
  </si>
  <si>
    <t>tel</t>
  </si>
  <si>
    <t>Baudom</t>
  </si>
  <si>
    <t>ul. Karmelkowa 29</t>
  </si>
  <si>
    <t>10.00 - 18.00</t>
  </si>
  <si>
    <t>10:00 - 14:00</t>
  </si>
  <si>
    <t>mają Vetrex, Wiśniowski, Normstahl</t>
  </si>
  <si>
    <t xml:space="preserve">MADAR PREIS S.A. </t>
  </si>
  <si>
    <t>ul. Kwidzyńska</t>
  </si>
  <si>
    <t>Sławomir Pieniak</t>
  </si>
  <si>
    <t>Manex Sp. z o.o</t>
  </si>
  <si>
    <t>ul. Bystrzycka 26,</t>
  </si>
  <si>
    <t>8:00-13:00</t>
  </si>
  <si>
    <t>Cebj hurtonia budowlana</t>
  </si>
  <si>
    <t>ul.Kłodzka 9 (Bielany)</t>
  </si>
  <si>
    <t>7:00-17:00</t>
  </si>
  <si>
    <t xml:space="preserve">8:00-13:00 </t>
  </si>
  <si>
    <t>uwagi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</si>
</sst>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charset val="238"/>
      <scheme val="minor"/>
    </font>
    <font>
      <sz val="9.35"/>
      <color rgb="FF00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0"/>
      <color theme="1"/>
      <name val="Tahoma"/>
      <family val="2"/>
      <charset val="238"/>
    </font>
    <font>
      <b/>
      <sz val="10"/>
      <color theme="1"/>
      <name val="Tahoma"/>
      <family val="2"/>
      <charset val="238"/>
    </font>
    <font>
      <b/>
      <sz val="11"/>
      <color rgb="FF005CA1"/>
      <name val="Calibri"/>
      <family val="2"/>
      <charset val="238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A0C8F0"/>
        <bgColor indexed="64"/>
      </patternFill>
    </fill>
    <fill>
      <patternFill patternType="solid">
        <fgColor rgb="FFC8DCF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FFA50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8C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48">
    <xf numFmtId="0" fontId="0" fillId="0" borderId="0" xfId="0"/>
    <xf numFmtId="2" fontId="0" fillId="0" borderId="0" xfId="0" applyNumberFormat="1"/>
    <xf numFmtId="0" fontId="0" fillId="0" borderId="1" xfId="0" applyBorder="1"/>
    <xf numFmtId="0" fontId="2" fillId="0" borderId="1" xfId="0" applyFont="1" applyBorder="1"/>
    <xf numFmtId="0" fontId="1" fillId="3" borderId="1" xfId="0" applyFont="1" applyFill="1" applyBorder="1" applyAlignment="1">
      <alignment horizontal="center" wrapText="1"/>
    </xf>
    <xf numFmtId="0" fontId="1" fillId="8" borderId="1" xfId="0" applyFont="1" applyFill="1" applyBorder="1" applyAlignment="1">
      <alignment horizontal="center" wrapText="1"/>
    </xf>
    <xf numFmtId="0" fontId="1" fillId="9" borderId="1" xfId="0" applyFont="1" applyFill="1" applyBorder="1" applyAlignment="1">
      <alignment horizontal="center" wrapText="1"/>
    </xf>
    <xf numFmtId="0" fontId="1" fillId="5" borderId="1" xfId="0" applyFont="1" applyFill="1" applyBorder="1" applyAlignment="1">
      <alignment horizontal="center" wrapText="1"/>
    </xf>
    <xf numFmtId="0" fontId="1" fillId="6" borderId="1" xfId="0" applyFont="1" applyFill="1" applyBorder="1" applyAlignment="1">
      <alignment horizontal="center" wrapText="1"/>
    </xf>
    <xf numFmtId="0" fontId="1" fillId="10" borderId="1" xfId="0" applyFont="1" applyFill="1" applyBorder="1" applyAlignment="1">
      <alignment horizontal="center" wrapText="1"/>
    </xf>
    <xf numFmtId="0" fontId="1" fillId="7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2" fillId="0" borderId="0" xfId="0" applyFont="1"/>
    <xf numFmtId="10" fontId="0" fillId="0" borderId="0" xfId="0" applyNumberFormat="1"/>
    <xf numFmtId="0" fontId="3" fillId="0" borderId="0" xfId="0" applyFont="1"/>
    <xf numFmtId="0" fontId="4" fillId="0" borderId="0" xfId="0" applyFont="1"/>
    <xf numFmtId="0" fontId="3" fillId="0" borderId="1" xfId="0" applyFont="1" applyBorder="1"/>
    <xf numFmtId="0" fontId="4" fillId="0" borderId="1" xfId="0" applyFont="1" applyBorder="1"/>
    <xf numFmtId="0" fontId="3" fillId="0" borderId="1" xfId="0" applyFont="1" applyBorder="1" applyAlignment="1">
      <alignment wrapText="1"/>
    </xf>
    <xf numFmtId="16" fontId="3" fillId="0" borderId="1" xfId="0" applyNumberFormat="1" applyFont="1" applyBorder="1"/>
    <xf numFmtId="0" fontId="4" fillId="0" borderId="10" xfId="0" applyFont="1" applyBorder="1"/>
    <xf numFmtId="0" fontId="3" fillId="0" borderId="11" xfId="0" applyFont="1" applyBorder="1"/>
    <xf numFmtId="16" fontId="3" fillId="0" borderId="11" xfId="0" applyNumberFormat="1" applyFont="1" applyBorder="1"/>
    <xf numFmtId="0" fontId="3" fillId="0" borderId="12" xfId="0" applyFont="1" applyBorder="1"/>
    <xf numFmtId="0" fontId="3" fillId="0" borderId="13" xfId="0" applyFont="1" applyBorder="1"/>
    <xf numFmtId="0" fontId="3" fillId="0" borderId="14" xfId="0" applyFont="1" applyBorder="1"/>
    <xf numFmtId="0" fontId="4" fillId="0" borderId="15" xfId="0" applyFont="1" applyBorder="1"/>
    <xf numFmtId="0" fontId="3" fillId="0" borderId="16" xfId="0" applyFont="1" applyBorder="1"/>
    <xf numFmtId="0" fontId="3" fillId="0" borderId="17" xfId="0" applyFont="1" applyBorder="1"/>
    <xf numFmtId="0" fontId="3" fillId="0" borderId="1" xfId="0" applyFont="1" applyBorder="1" applyAlignment="1">
      <alignment horizontal="right"/>
    </xf>
    <xf numFmtId="3" fontId="3" fillId="0" borderId="0" xfId="0" applyNumberFormat="1" applyFont="1"/>
    <xf numFmtId="0" fontId="3" fillId="0" borderId="2" xfId="0" applyFont="1" applyBorder="1"/>
    <xf numFmtId="0" fontId="3" fillId="0" borderId="5" xfId="0" applyFont="1" applyBorder="1"/>
    <xf numFmtId="0" fontId="3" fillId="0" borderId="7" xfId="0" applyFont="1" applyBorder="1"/>
    <xf numFmtId="0" fontId="3" fillId="0" borderId="4" xfId="0" applyFont="1" applyBorder="1" applyAlignment="1">
      <alignment wrapText="1"/>
    </xf>
    <xf numFmtId="0" fontId="3" fillId="0" borderId="6" xfId="0" applyFont="1" applyBorder="1" applyAlignment="1">
      <alignment wrapText="1"/>
    </xf>
    <xf numFmtId="0" fontId="3" fillId="0" borderId="9" xfId="0" applyFont="1" applyBorder="1" applyAlignment="1">
      <alignment wrapText="1"/>
    </xf>
    <xf numFmtId="3" fontId="0" fillId="0" borderId="0" xfId="0" applyNumberFormat="1"/>
    <xf numFmtId="0" fontId="5" fillId="0" borderId="0" xfId="0" applyFont="1"/>
  </cellXfs>
  <cellStyles count="1">
    <cellStyle name="Normalny" xfId="0" builtinId="0"/>
  </cellStyles>
  <dxfs count="16">
    <dxf>
      <font>
        <b val="0"/>
        <strike val="0"/>
        <outline val="0"/>
        <shadow val="0"/>
        <u val="none"/>
        <vertAlign val="baseline"/>
        <sz val="10"/>
        <color theme="1"/>
        <name val="Tahoma"/>
        <scheme val="none"/>
      </font>
    </dxf>
    <dxf>
      <font>
        <b val="0"/>
        <strike val="0"/>
        <outline val="0"/>
        <shadow val="0"/>
        <u val="none"/>
        <vertAlign val="baseline"/>
        <sz val="10"/>
        <color theme="1"/>
        <name val="Tahoma"/>
        <scheme val="none"/>
      </font>
    </dxf>
    <dxf>
      <font>
        <b val="0"/>
        <strike val="0"/>
        <outline val="0"/>
        <shadow val="0"/>
        <u val="none"/>
        <vertAlign val="baseline"/>
        <sz val="10"/>
        <color theme="1"/>
        <name val="Tahoma"/>
        <scheme val="none"/>
      </font>
    </dxf>
    <dxf>
      <font>
        <b val="0"/>
        <strike val="0"/>
        <outline val="0"/>
        <shadow val="0"/>
        <u val="none"/>
        <vertAlign val="baseline"/>
        <sz val="10"/>
        <color theme="1"/>
        <name val="Tahoma"/>
        <scheme val="none"/>
      </font>
    </dxf>
    <dxf>
      <font>
        <b val="0"/>
        <strike val="0"/>
        <outline val="0"/>
        <shadow val="0"/>
        <u val="none"/>
        <vertAlign val="baseline"/>
        <sz val="10"/>
        <color theme="1"/>
        <name val="Tahoma"/>
        <scheme val="none"/>
      </font>
    </dxf>
    <dxf>
      <font>
        <b val="0"/>
        <strike val="0"/>
        <outline val="0"/>
        <shadow val="0"/>
        <u val="none"/>
        <vertAlign val="baseline"/>
        <sz val="10"/>
        <color theme="1"/>
        <name val="Tahoma"/>
        <scheme val="none"/>
      </font>
    </dxf>
    <dxf>
      <font>
        <b val="0"/>
        <strike val="0"/>
        <outline val="0"/>
        <shadow val="0"/>
        <u val="none"/>
        <vertAlign val="baseline"/>
        <sz val="10"/>
        <color theme="1"/>
        <name val="Tahoma"/>
        <scheme val="none"/>
      </font>
    </dxf>
    <dxf>
      <font>
        <b val="0"/>
        <strike val="0"/>
        <outline val="0"/>
        <shadow val="0"/>
        <u val="none"/>
        <vertAlign val="baseline"/>
        <sz val="10"/>
        <color theme="1"/>
        <name val="Tahom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general" vertical="bottom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ela1" displayName="Tabela1" ref="B2:E8" totalsRowShown="0" headerRowDxfId="15" headerRowBorderDxfId="14" tableBorderDxfId="13" totalsRowBorderDxfId="12">
  <autoFilter ref="B2:E8"/>
  <tableColumns count="4">
    <tableColumn id="1" name="Producent" dataDxfId="11"/>
    <tableColumn id="2" name="Punkt sprzedaży" dataDxfId="10"/>
    <tableColumn id="3" name="PN-PT" dataDxfId="9"/>
    <tableColumn id="4" name="SO" dataDxfId="8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id="2" name="Tabela2" displayName="Tabela2" ref="B2:G7" totalsRowShown="0" headerRowDxfId="7" dataDxfId="6">
  <autoFilter ref="B2:G7"/>
  <tableColumns count="6">
    <tableColumn id="1" name="Producent" dataDxfId="5"/>
    <tableColumn id="2" name="Przedstawiciel" dataDxfId="4"/>
    <tableColumn id="3" name="Adres" dataDxfId="3"/>
    <tableColumn id="4" name="Pn-Pt" dataDxfId="2"/>
    <tableColumn id="5" name="So" dataDxfId="1"/>
    <tableColumn id="6" name="kontakt" dataDxfId="0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id="4" name="Tabela4" displayName="Tabela4" ref="B4:I13" totalsRowShown="0">
  <autoFilter ref="B4:I13"/>
  <tableColumns count="8">
    <tableColumn id="1" name="Producent"/>
    <tableColumn id="2" name="Przedstawiciel"/>
    <tableColumn id="3" name="Adres"/>
    <tableColumn id="4" name="Pn-Pt"/>
    <tableColumn id="5" name="So"/>
    <tableColumn id="6" name="mail"/>
    <tableColumn id="7" name="tel"/>
    <tableColumn id="8" name="uwagi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A42"/>
  <sheetViews>
    <sheetView topLeftCell="A31" workbookViewId="0">
      <selection activeCell="E54" sqref="E54"/>
    </sheetView>
  </sheetViews>
  <sheetFormatPr defaultRowHeight="15"/>
  <cols>
    <col min="1" max="1" width="12" customWidth="1"/>
    <col min="2" max="2" width="5.42578125" customWidth="1"/>
    <col min="3" max="3" width="11.85546875" customWidth="1"/>
    <col min="4" max="4" width="10" bestFit="1" customWidth="1"/>
    <col min="10" max="10" width="21.28515625" customWidth="1"/>
  </cols>
  <sheetData>
    <row r="1" spans="1:26">
      <c r="A1" t="s">
        <v>0</v>
      </c>
      <c r="G1" t="s">
        <v>34</v>
      </c>
      <c r="J1" s="13"/>
      <c r="K1" s="14" t="s">
        <v>36</v>
      </c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5"/>
    </row>
    <row r="2" spans="1:26">
      <c r="A2" t="s">
        <v>1</v>
      </c>
      <c r="B2">
        <v>2</v>
      </c>
      <c r="C2" s="21" t="s">
        <v>29</v>
      </c>
      <c r="D2" t="s">
        <v>2</v>
      </c>
      <c r="E2" t="s">
        <v>30</v>
      </c>
      <c r="G2">
        <f>0.9*1.2*2</f>
        <v>2.16</v>
      </c>
      <c r="J2" s="16"/>
      <c r="K2" s="2" t="s">
        <v>37</v>
      </c>
      <c r="L2" s="2"/>
      <c r="M2" s="2">
        <v>1.1000000000000001</v>
      </c>
      <c r="N2" s="2" t="s">
        <v>38</v>
      </c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17"/>
    </row>
    <row r="3" spans="1:26">
      <c r="A3" t="s">
        <v>3</v>
      </c>
      <c r="B3">
        <v>2</v>
      </c>
      <c r="C3" s="21" t="s">
        <v>27</v>
      </c>
      <c r="D3" t="s">
        <v>26</v>
      </c>
      <c r="E3" t="s">
        <v>30</v>
      </c>
      <c r="G3">
        <f>0.9*1.5*2</f>
        <v>2.7</v>
      </c>
      <c r="J3" s="16"/>
      <c r="K3" s="2" t="s">
        <v>46</v>
      </c>
      <c r="L3" s="2"/>
      <c r="M3" s="2">
        <v>0.8</v>
      </c>
      <c r="N3" s="2" t="s">
        <v>38</v>
      </c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17"/>
    </row>
    <row r="4" spans="1:26">
      <c r="A4" t="s">
        <v>3</v>
      </c>
      <c r="B4">
        <v>1</v>
      </c>
      <c r="C4" s="21" t="s">
        <v>28</v>
      </c>
      <c r="D4" t="s">
        <v>25</v>
      </c>
      <c r="E4" t="s">
        <v>30</v>
      </c>
      <c r="G4">
        <f>2.1*1.5</f>
        <v>3.1500000000000004</v>
      </c>
      <c r="J4" s="16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17"/>
    </row>
    <row r="5" spans="1:26">
      <c r="A5" t="s">
        <v>4</v>
      </c>
      <c r="B5">
        <v>3</v>
      </c>
      <c r="C5" t="s">
        <v>5</v>
      </c>
      <c r="G5">
        <f>4*2.26</f>
        <v>9.0399999999999991</v>
      </c>
      <c r="H5">
        <f>3*1300*2260/1000</f>
        <v>8814</v>
      </c>
      <c r="J5" s="16"/>
      <c r="K5" s="2" t="s">
        <v>40</v>
      </c>
      <c r="L5" s="2"/>
      <c r="M5" s="2"/>
      <c r="N5" s="2">
        <v>20</v>
      </c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17"/>
    </row>
    <row r="6" spans="1:26">
      <c r="A6" t="s">
        <v>6</v>
      </c>
      <c r="B6">
        <v>1</v>
      </c>
      <c r="C6" s="21" t="s">
        <v>29</v>
      </c>
      <c r="D6" t="s">
        <v>2</v>
      </c>
      <c r="E6" t="s">
        <v>30</v>
      </c>
      <c r="G6">
        <v>1.08</v>
      </c>
      <c r="J6" s="16"/>
      <c r="K6" s="3" t="s">
        <v>41</v>
      </c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17"/>
    </row>
    <row r="7" spans="1:26">
      <c r="A7" t="s">
        <v>6</v>
      </c>
      <c r="B7">
        <v>1</v>
      </c>
      <c r="C7" s="21" t="s">
        <v>31</v>
      </c>
      <c r="D7" t="s">
        <v>32</v>
      </c>
      <c r="E7" t="s">
        <v>30</v>
      </c>
      <c r="G7">
        <f>1.5*1.2</f>
        <v>1.7999999999999998</v>
      </c>
      <c r="J7" s="16"/>
      <c r="K7" s="4">
        <v>-0.5</v>
      </c>
      <c r="L7" s="5">
        <v>0.1</v>
      </c>
      <c r="M7" s="6">
        <v>4.2</v>
      </c>
      <c r="N7" s="7">
        <v>9.9</v>
      </c>
      <c r="O7" s="8">
        <v>14.9</v>
      </c>
      <c r="P7" s="9">
        <v>18.2</v>
      </c>
      <c r="Q7" s="9">
        <v>19.899999999999999</v>
      </c>
      <c r="R7" s="9">
        <v>19.5</v>
      </c>
      <c r="S7" s="10">
        <v>15.2</v>
      </c>
      <c r="T7" s="7">
        <v>10</v>
      </c>
      <c r="U7" s="6">
        <v>4.7</v>
      </c>
      <c r="V7" s="5">
        <v>0.6</v>
      </c>
      <c r="W7" s="2" t="s">
        <v>42</v>
      </c>
      <c r="X7" s="2"/>
      <c r="Y7" s="2"/>
      <c r="Z7" s="17"/>
    </row>
    <row r="8" spans="1:26">
      <c r="A8" t="s">
        <v>7</v>
      </c>
      <c r="B8">
        <v>1</v>
      </c>
      <c r="C8" s="21" t="s">
        <v>8</v>
      </c>
      <c r="D8" t="s">
        <v>13</v>
      </c>
      <c r="E8" t="s">
        <v>30</v>
      </c>
      <c r="G8" s="1">
        <f>1.2*0.6</f>
        <v>0.72</v>
      </c>
      <c r="J8" s="16" t="s">
        <v>48</v>
      </c>
      <c r="K8" s="2">
        <f>$N$5-K7</f>
        <v>20.5</v>
      </c>
      <c r="L8" s="2">
        <f t="shared" ref="L8:V8" si="0">$N$5-L7</f>
        <v>19.899999999999999</v>
      </c>
      <c r="M8" s="2">
        <f t="shared" si="0"/>
        <v>15.8</v>
      </c>
      <c r="N8" s="2">
        <f t="shared" si="0"/>
        <v>10.1</v>
      </c>
      <c r="O8" s="2">
        <f t="shared" si="0"/>
        <v>5.0999999999999996</v>
      </c>
      <c r="P8" s="2">
        <f t="shared" si="0"/>
        <v>1.8000000000000007</v>
      </c>
      <c r="Q8" s="2">
        <f t="shared" si="0"/>
        <v>0.10000000000000142</v>
      </c>
      <c r="R8" s="2">
        <f t="shared" si="0"/>
        <v>0.5</v>
      </c>
      <c r="S8" s="2">
        <f t="shared" si="0"/>
        <v>4.8000000000000007</v>
      </c>
      <c r="T8" s="2">
        <f t="shared" si="0"/>
        <v>10</v>
      </c>
      <c r="U8" s="2">
        <f t="shared" si="0"/>
        <v>15.3</v>
      </c>
      <c r="V8" s="2">
        <f t="shared" si="0"/>
        <v>19.399999999999999</v>
      </c>
      <c r="W8" s="2" t="s">
        <v>51</v>
      </c>
      <c r="X8" s="2"/>
      <c r="Y8" s="2"/>
      <c r="Z8" s="17"/>
    </row>
    <row r="9" spans="1:26">
      <c r="A9" t="s">
        <v>9</v>
      </c>
      <c r="B9">
        <v>1</v>
      </c>
      <c r="C9" s="21" t="s">
        <v>8</v>
      </c>
      <c r="D9" t="s">
        <v>13</v>
      </c>
      <c r="E9" t="s">
        <v>30</v>
      </c>
      <c r="G9">
        <v>0.72</v>
      </c>
      <c r="J9" s="16" t="s">
        <v>44</v>
      </c>
      <c r="K9" s="2">
        <f t="shared" ref="K9:V9" si="1">$G$11*K8*$M$2</f>
        <v>498.12950000000001</v>
      </c>
      <c r="L9" s="2">
        <f t="shared" si="1"/>
        <v>483.55009999999999</v>
      </c>
      <c r="M9" s="2">
        <f t="shared" si="1"/>
        <v>383.92420000000004</v>
      </c>
      <c r="N9" s="2">
        <f t="shared" si="1"/>
        <v>245.41989999999998</v>
      </c>
      <c r="O9" s="2">
        <f t="shared" si="1"/>
        <v>123.92490000000001</v>
      </c>
      <c r="P9" s="2">
        <f t="shared" si="1"/>
        <v>43.73820000000002</v>
      </c>
      <c r="Q9" s="2">
        <f t="shared" si="1"/>
        <v>2.4299000000000346</v>
      </c>
      <c r="R9" s="2">
        <f t="shared" si="1"/>
        <v>12.149500000000002</v>
      </c>
      <c r="S9" s="2">
        <f t="shared" si="1"/>
        <v>116.63520000000003</v>
      </c>
      <c r="T9" s="2">
        <f t="shared" si="1"/>
        <v>242.99000000000004</v>
      </c>
      <c r="U9" s="2">
        <f t="shared" si="1"/>
        <v>371.77470000000005</v>
      </c>
      <c r="V9" s="2">
        <f t="shared" si="1"/>
        <v>471.40060000000005</v>
      </c>
      <c r="W9" s="2">
        <f>SUM(K9:V9)</f>
        <v>2996.0666999999999</v>
      </c>
      <c r="X9" s="2" t="s">
        <v>43</v>
      </c>
      <c r="Y9" s="2"/>
      <c r="Z9" s="17"/>
    </row>
    <row r="10" spans="1:26">
      <c r="A10" t="s">
        <v>10</v>
      </c>
      <c r="B10">
        <v>1</v>
      </c>
      <c r="C10" s="21" t="s">
        <v>8</v>
      </c>
      <c r="D10" t="s">
        <v>13</v>
      </c>
      <c r="E10" t="s">
        <v>30</v>
      </c>
      <c r="G10">
        <v>0.72</v>
      </c>
      <c r="J10" s="16" t="s">
        <v>45</v>
      </c>
      <c r="K10" s="2">
        <f t="shared" ref="K10:V10" si="2">$G$11*K8*$M$3</f>
        <v>362.27600000000001</v>
      </c>
      <c r="L10" s="2">
        <f t="shared" si="2"/>
        <v>351.6728</v>
      </c>
      <c r="M10" s="2">
        <f t="shared" si="2"/>
        <v>279.2176</v>
      </c>
      <c r="N10" s="2">
        <f t="shared" si="2"/>
        <v>178.4872</v>
      </c>
      <c r="O10" s="2">
        <f t="shared" si="2"/>
        <v>90.127200000000002</v>
      </c>
      <c r="P10" s="2">
        <f t="shared" si="2"/>
        <v>31.809600000000014</v>
      </c>
      <c r="Q10" s="2">
        <f t="shared" si="2"/>
        <v>1.767200000000025</v>
      </c>
      <c r="R10" s="2">
        <f t="shared" si="2"/>
        <v>8.8360000000000003</v>
      </c>
      <c r="S10" s="2">
        <f t="shared" si="2"/>
        <v>84.825600000000009</v>
      </c>
      <c r="T10" s="2">
        <f t="shared" si="2"/>
        <v>176.72000000000003</v>
      </c>
      <c r="U10" s="2">
        <f t="shared" si="2"/>
        <v>270.38160000000005</v>
      </c>
      <c r="V10" s="2">
        <f t="shared" si="2"/>
        <v>342.83680000000004</v>
      </c>
      <c r="W10" s="2">
        <f>SUM(K10:V10)</f>
        <v>2178.9576000000002</v>
      </c>
      <c r="X10" s="2" t="s">
        <v>43</v>
      </c>
      <c r="Y10" s="2"/>
      <c r="Z10" s="17"/>
    </row>
    <row r="11" spans="1:26">
      <c r="F11" t="s">
        <v>35</v>
      </c>
      <c r="G11">
        <f>SUM(G2:G10)</f>
        <v>22.09</v>
      </c>
      <c r="J11" s="16" t="s">
        <v>49</v>
      </c>
      <c r="K11" s="2">
        <f>31*12</f>
        <v>372</v>
      </c>
      <c r="L11" s="2">
        <f>28*12</f>
        <v>336</v>
      </c>
      <c r="M11" s="2">
        <f>31*10</f>
        <v>310</v>
      </c>
      <c r="N11" s="2">
        <f>30*8</f>
        <v>240</v>
      </c>
      <c r="O11" s="2">
        <f>31*8</f>
        <v>248</v>
      </c>
      <c r="P11" s="2"/>
      <c r="Q11" s="2"/>
      <c r="R11" s="2"/>
      <c r="S11" s="2">
        <f>30*8</f>
        <v>240</v>
      </c>
      <c r="T11" s="2">
        <f>30*10</f>
        <v>300</v>
      </c>
      <c r="U11" s="2">
        <v>310</v>
      </c>
      <c r="V11" s="2">
        <v>372</v>
      </c>
      <c r="W11" s="2">
        <f>SUM(K11:V11)</f>
        <v>2728</v>
      </c>
      <c r="X11" s="2" t="s">
        <v>50</v>
      </c>
      <c r="Y11" s="2"/>
      <c r="Z11" s="17"/>
    </row>
    <row r="12" spans="1:26">
      <c r="A12" t="s">
        <v>14</v>
      </c>
      <c r="J12" s="16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17"/>
    </row>
    <row r="13" spans="1:26">
      <c r="A13" t="s">
        <v>15</v>
      </c>
      <c r="B13">
        <v>2</v>
      </c>
      <c r="C13" t="s">
        <v>17</v>
      </c>
      <c r="D13" t="s">
        <v>16</v>
      </c>
      <c r="E13" t="s">
        <v>18</v>
      </c>
      <c r="G13" t="s">
        <v>30</v>
      </c>
      <c r="J13" s="16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 t="s">
        <v>47</v>
      </c>
      <c r="W13" s="2">
        <f>W9-W10</f>
        <v>817.10909999999967</v>
      </c>
      <c r="X13" s="2" t="s">
        <v>43</v>
      </c>
      <c r="Y13" s="2"/>
      <c r="Z13" s="17"/>
    </row>
    <row r="14" spans="1:26">
      <c r="A14" t="s">
        <v>15</v>
      </c>
      <c r="B14">
        <v>2</v>
      </c>
      <c r="C14" t="s">
        <v>20</v>
      </c>
      <c r="E14" t="s">
        <v>19</v>
      </c>
      <c r="G14" t="s">
        <v>30</v>
      </c>
      <c r="J14" s="16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>
        <f>W13*W11/1000</f>
        <v>2229.0736247999989</v>
      </c>
      <c r="X14" s="2" t="s">
        <v>52</v>
      </c>
      <c r="Y14" s="2">
        <f>W14*O27</f>
        <v>468.10546120799978</v>
      </c>
      <c r="Z14" s="17" t="s">
        <v>54</v>
      </c>
    </row>
    <row r="15" spans="1:26">
      <c r="A15" t="s">
        <v>21</v>
      </c>
      <c r="B15">
        <v>2</v>
      </c>
      <c r="C15" t="s">
        <v>17</v>
      </c>
      <c r="D15" t="s">
        <v>16</v>
      </c>
      <c r="E15" t="s">
        <v>18</v>
      </c>
      <c r="G15" t="s">
        <v>30</v>
      </c>
      <c r="J15" s="16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17"/>
    </row>
    <row r="16" spans="1:26">
      <c r="A16" t="s">
        <v>21</v>
      </c>
      <c r="B16">
        <v>1</v>
      </c>
      <c r="C16" t="s">
        <v>20</v>
      </c>
      <c r="E16" t="s">
        <v>19</v>
      </c>
      <c r="G16" t="s">
        <v>30</v>
      </c>
      <c r="J16" s="16"/>
      <c r="K16" s="3" t="s">
        <v>39</v>
      </c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17"/>
    </row>
    <row r="17" spans="1:27">
      <c r="A17" t="s">
        <v>22</v>
      </c>
      <c r="B17">
        <v>1</v>
      </c>
      <c r="C17" t="s">
        <v>11</v>
      </c>
      <c r="D17" t="s">
        <v>12</v>
      </c>
      <c r="G17" t="s">
        <v>30</v>
      </c>
      <c r="J17" s="16"/>
      <c r="K17" s="11">
        <v>-4</v>
      </c>
      <c r="L17" s="4">
        <v>-3</v>
      </c>
      <c r="M17" s="4">
        <v>-0.3</v>
      </c>
      <c r="N17" s="12">
        <v>6.2</v>
      </c>
      <c r="O17" s="7">
        <v>10.3</v>
      </c>
      <c r="P17" s="8">
        <v>14.4</v>
      </c>
      <c r="Q17" s="10">
        <v>15.3</v>
      </c>
      <c r="R17" s="10">
        <v>15.2</v>
      </c>
      <c r="S17" s="7">
        <v>11.2</v>
      </c>
      <c r="T17" s="12">
        <v>6.2</v>
      </c>
      <c r="U17" s="5">
        <v>2.2999999999999998</v>
      </c>
      <c r="V17" s="4">
        <v>-2.4</v>
      </c>
      <c r="W17" s="2"/>
      <c r="X17" s="2"/>
      <c r="Y17" s="2"/>
      <c r="Z17" s="17"/>
    </row>
    <row r="18" spans="1:27">
      <c r="A18" t="s">
        <v>23</v>
      </c>
      <c r="B18">
        <v>1</v>
      </c>
      <c r="C18" t="s">
        <v>29</v>
      </c>
      <c r="D18" t="s">
        <v>2</v>
      </c>
      <c r="G18" t="s">
        <v>30</v>
      </c>
      <c r="J18" s="16" t="s">
        <v>48</v>
      </c>
      <c r="K18" s="2">
        <f>$N$5-K17</f>
        <v>24</v>
      </c>
      <c r="L18" s="2">
        <f t="shared" ref="L18" si="3">$N$5-L17</f>
        <v>23</v>
      </c>
      <c r="M18" s="2">
        <f t="shared" ref="M18" si="4">$N$5-M17</f>
        <v>20.3</v>
      </c>
      <c r="N18" s="2">
        <f t="shared" ref="N18" si="5">$N$5-N17</f>
        <v>13.8</v>
      </c>
      <c r="O18" s="2">
        <f t="shared" ref="O18" si="6">$N$5-O17</f>
        <v>9.6999999999999993</v>
      </c>
      <c r="P18" s="2">
        <f t="shared" ref="P18" si="7">$N$5-P17</f>
        <v>5.6</v>
      </c>
      <c r="Q18" s="2">
        <f t="shared" ref="Q18" si="8">$N$5-Q17</f>
        <v>4.6999999999999993</v>
      </c>
      <c r="R18" s="2">
        <f t="shared" ref="R18" si="9">$N$5-R17</f>
        <v>4.8000000000000007</v>
      </c>
      <c r="S18" s="2">
        <f t="shared" ref="S18" si="10">$N$5-S17</f>
        <v>8.8000000000000007</v>
      </c>
      <c r="T18" s="2">
        <f t="shared" ref="T18" si="11">$N$5-T17</f>
        <v>13.8</v>
      </c>
      <c r="U18" s="2">
        <f t="shared" ref="U18" si="12">$N$5-U17</f>
        <v>17.7</v>
      </c>
      <c r="V18" s="2">
        <f t="shared" ref="V18" si="13">$N$5-V17</f>
        <v>22.4</v>
      </c>
      <c r="W18" s="2" t="s">
        <v>58</v>
      </c>
      <c r="X18" s="2"/>
      <c r="Y18" s="2" t="s">
        <v>59</v>
      </c>
      <c r="Z18" s="17"/>
      <c r="AA18" t="s">
        <v>63</v>
      </c>
    </row>
    <row r="19" spans="1:27">
      <c r="A19" t="s">
        <v>23</v>
      </c>
      <c r="B19">
        <v>1</v>
      </c>
      <c r="C19" t="s">
        <v>20</v>
      </c>
      <c r="E19" t="s">
        <v>33</v>
      </c>
      <c r="G19" t="s">
        <v>30</v>
      </c>
      <c r="J19" s="16" t="s">
        <v>44</v>
      </c>
      <c r="K19" s="2">
        <f>$G$11*K18*$M$2</f>
        <v>583.17600000000004</v>
      </c>
      <c r="L19" s="2">
        <f>$G$11*L18*$M$2</f>
        <v>558.87700000000007</v>
      </c>
      <c r="M19" s="2">
        <f>$G$11*M18*$M$2</f>
        <v>493.26970000000006</v>
      </c>
      <c r="N19" s="2">
        <f>$G$11*N18*$M$2</f>
        <v>335.32620000000009</v>
      </c>
      <c r="O19" s="2"/>
      <c r="P19" s="2"/>
      <c r="Q19" s="2"/>
      <c r="R19" s="2"/>
      <c r="S19" s="2"/>
      <c r="T19" s="2">
        <f>$G$11*T18*$M$2</f>
        <v>335.32620000000009</v>
      </c>
      <c r="U19" s="2">
        <f>$G$11*U18*$M$2</f>
        <v>430.09230000000002</v>
      </c>
      <c r="V19" s="2">
        <f>$G$11*V18*$M$2</f>
        <v>544.29759999999999</v>
      </c>
      <c r="W19" s="2">
        <f>SUM(K19:V19)</f>
        <v>3280.3649999999998</v>
      </c>
      <c r="X19" s="2" t="s">
        <v>43</v>
      </c>
      <c r="Y19" s="2">
        <f>7*30.5*24</f>
        <v>5124</v>
      </c>
      <c r="Z19" s="17" t="s">
        <v>60</v>
      </c>
      <c r="AA19">
        <f>Y19*W19/1000</f>
        <v>16808.590259999997</v>
      </c>
    </row>
    <row r="20" spans="1:27">
      <c r="A20" t="s">
        <v>24</v>
      </c>
      <c r="B20">
        <v>1</v>
      </c>
      <c r="C20" t="s">
        <v>20</v>
      </c>
      <c r="G20" t="s">
        <v>30</v>
      </c>
      <c r="J20" s="16" t="s">
        <v>45</v>
      </c>
      <c r="K20" s="2">
        <f>$G$11*K18*$M$3</f>
        <v>424.12799999999999</v>
      </c>
      <c r="L20" s="2">
        <f>$G$11*L18*$M$3</f>
        <v>406.45600000000002</v>
      </c>
      <c r="M20" s="2">
        <f>$G$11*M18*$M$3</f>
        <v>358.74160000000006</v>
      </c>
      <c r="N20" s="2">
        <f>$G$11*N18*$M$3</f>
        <v>243.87360000000004</v>
      </c>
      <c r="O20" s="2"/>
      <c r="P20" s="2"/>
      <c r="Q20" s="2"/>
      <c r="R20" s="2"/>
      <c r="S20" s="2"/>
      <c r="T20" s="2">
        <f>$G$11*T18*$M$3</f>
        <v>243.87360000000004</v>
      </c>
      <c r="U20" s="2">
        <f>$G$11*U18*$M$3</f>
        <v>312.7944</v>
      </c>
      <c r="V20" s="2">
        <f>$G$11*V18*$M$3</f>
        <v>395.8528</v>
      </c>
      <c r="W20" s="2">
        <f>SUM(K20:V20)</f>
        <v>2385.7200000000003</v>
      </c>
      <c r="X20" s="2" t="s">
        <v>43</v>
      </c>
      <c r="Y20" s="2">
        <v>5124</v>
      </c>
      <c r="Z20" s="17" t="s">
        <v>61</v>
      </c>
      <c r="AA20">
        <f>Y20*W20/1000</f>
        <v>12224.42928</v>
      </c>
    </row>
    <row r="21" spans="1:27">
      <c r="J21" s="16" t="s">
        <v>64</v>
      </c>
      <c r="K21" s="2">
        <f>31*12</f>
        <v>372</v>
      </c>
      <c r="L21" s="2">
        <f>28*12</f>
        <v>336</v>
      </c>
      <c r="M21" s="2">
        <f>31*10</f>
        <v>310</v>
      </c>
      <c r="N21" s="2">
        <f>30*8</f>
        <v>240</v>
      </c>
      <c r="O21" s="2"/>
      <c r="P21" s="2"/>
      <c r="Q21" s="2"/>
      <c r="R21" s="2"/>
      <c r="S21" s="2"/>
      <c r="T21" s="2">
        <f>30*10</f>
        <v>300</v>
      </c>
      <c r="U21" s="2">
        <f>31*12</f>
        <v>372</v>
      </c>
      <c r="V21" s="2">
        <f>31*12</f>
        <v>372</v>
      </c>
      <c r="W21" s="2">
        <f>SUM(K21:V21)</f>
        <v>2302</v>
      </c>
      <c r="X21" s="2" t="s">
        <v>50</v>
      </c>
      <c r="Y21" s="2"/>
      <c r="Z21" s="17" t="s">
        <v>62</v>
      </c>
    </row>
    <row r="22" spans="1:27">
      <c r="J22" s="16" t="s">
        <v>65</v>
      </c>
      <c r="K22" s="2">
        <f>31*19</f>
        <v>589</v>
      </c>
      <c r="L22" s="2">
        <f>28*18</f>
        <v>504</v>
      </c>
      <c r="M22" s="2">
        <f>31*17</f>
        <v>527</v>
      </c>
      <c r="N22" s="2">
        <f>30*16</f>
        <v>480</v>
      </c>
      <c r="O22" s="2"/>
      <c r="P22" s="2"/>
      <c r="Q22" s="2"/>
      <c r="R22" s="2"/>
      <c r="S22" s="2"/>
      <c r="T22" s="2">
        <f>31*17</f>
        <v>527</v>
      </c>
      <c r="U22" s="2">
        <f>30*18</f>
        <v>540</v>
      </c>
      <c r="V22" s="2">
        <f>31*19</f>
        <v>589</v>
      </c>
      <c r="W22" s="2">
        <f>SUM(K22:V22)</f>
        <v>3756</v>
      </c>
      <c r="X22" s="2" t="s">
        <v>50</v>
      </c>
      <c r="Y22" s="2">
        <v>3756</v>
      </c>
      <c r="Z22" s="17" t="s">
        <v>66</v>
      </c>
      <c r="AA22">
        <f>Y22*W20/1000</f>
        <v>8960.7643200000002</v>
      </c>
    </row>
    <row r="23" spans="1:27">
      <c r="J23" s="16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>
        <f>Y19-W22</f>
        <v>1368</v>
      </c>
      <c r="X23" s="2" t="s">
        <v>50</v>
      </c>
      <c r="Y23" s="2">
        <v>1368</v>
      </c>
      <c r="Z23" s="17" t="s">
        <v>67</v>
      </c>
      <c r="AA23">
        <f>Y23*W19/1000</f>
        <v>4487.539319999999</v>
      </c>
    </row>
    <row r="24" spans="1:27">
      <c r="J24" s="16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 t="s">
        <v>47</v>
      </c>
      <c r="W24" s="2"/>
      <c r="X24" s="2" t="s">
        <v>43</v>
      </c>
      <c r="Y24" s="2"/>
      <c r="Z24" s="17"/>
      <c r="AA24">
        <f>AA23+AA22</f>
        <v>13448.303639999998</v>
      </c>
    </row>
    <row r="25" spans="1:27">
      <c r="J25" s="16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>
        <f>AA19-AA24</f>
        <v>3360.2866199999989</v>
      </c>
      <c r="X25" s="2" t="s">
        <v>52</v>
      </c>
      <c r="Y25" s="2">
        <f>W25*O27</f>
        <v>705.66019019999976</v>
      </c>
      <c r="Z25" s="17" t="s">
        <v>54</v>
      </c>
    </row>
    <row r="26" spans="1:27">
      <c r="J26" s="16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17"/>
    </row>
    <row r="27" spans="1:27">
      <c r="J27" s="16"/>
      <c r="K27" s="2" t="s">
        <v>53</v>
      </c>
      <c r="L27" s="2"/>
      <c r="M27" s="2"/>
      <c r="N27" s="2"/>
      <c r="O27" s="2">
        <v>0.21</v>
      </c>
      <c r="P27" s="2"/>
      <c r="Q27" s="2"/>
      <c r="R27" s="2"/>
      <c r="S27" s="2"/>
      <c r="T27" s="2"/>
      <c r="U27" s="2"/>
      <c r="V27" s="2"/>
      <c r="W27" s="2"/>
      <c r="X27" s="2"/>
      <c r="Y27" s="2"/>
      <c r="Z27" s="17"/>
    </row>
    <row r="28" spans="1:27" ht="15.75" thickBot="1">
      <c r="J28" s="18"/>
      <c r="K28" s="19" t="s">
        <v>55</v>
      </c>
      <c r="L28" s="19"/>
      <c r="M28" s="19" t="s">
        <v>56</v>
      </c>
      <c r="N28" s="19">
        <v>180</v>
      </c>
      <c r="O28" s="19" t="s">
        <v>57</v>
      </c>
      <c r="P28" s="19">
        <f>N28*G11</f>
        <v>3976.2</v>
      </c>
      <c r="Q28" s="19"/>
      <c r="R28" s="19"/>
      <c r="S28" s="19"/>
      <c r="T28" s="19"/>
      <c r="U28" s="19"/>
      <c r="V28" s="19"/>
      <c r="W28" s="19"/>
      <c r="X28" s="19"/>
      <c r="Y28" s="19"/>
      <c r="Z28" s="20"/>
    </row>
    <row r="41" spans="5:5">
      <c r="E41" s="22"/>
    </row>
    <row r="42" spans="5:5">
      <c r="E42" s="22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F38"/>
  <sheetViews>
    <sheetView workbookViewId="0">
      <selection activeCell="B23" sqref="B23"/>
    </sheetView>
  </sheetViews>
  <sheetFormatPr defaultRowHeight="12.75"/>
  <cols>
    <col min="1" max="1" width="9.140625" style="23"/>
    <col min="2" max="2" width="17.85546875" style="23" customWidth="1"/>
    <col min="3" max="3" width="29.140625" style="23" customWidth="1"/>
    <col min="4" max="4" width="19.42578125" style="23" customWidth="1"/>
    <col min="5" max="5" width="21" style="23" customWidth="1"/>
    <col min="6" max="6" width="9.140625" style="23"/>
    <col min="7" max="7" width="11" style="23" bestFit="1" customWidth="1"/>
    <col min="8" max="8" width="9.140625" style="23"/>
    <col min="9" max="9" width="10" style="23" bestFit="1" customWidth="1"/>
    <col min="10" max="16384" width="9.140625" style="23"/>
  </cols>
  <sheetData>
    <row r="1" spans="2:6">
      <c r="B1" s="25"/>
      <c r="C1" s="25"/>
      <c r="D1" s="25" t="s">
        <v>105</v>
      </c>
      <c r="E1" s="25"/>
    </row>
    <row r="2" spans="2:6">
      <c r="B2" s="32" t="s">
        <v>68</v>
      </c>
      <c r="C2" s="33" t="s">
        <v>104</v>
      </c>
      <c r="D2" s="33" t="s">
        <v>70</v>
      </c>
      <c r="E2" s="34" t="s">
        <v>71</v>
      </c>
    </row>
    <row r="3" spans="2:6" ht="38.25">
      <c r="B3" s="29" t="s">
        <v>69</v>
      </c>
      <c r="C3" s="27" t="s">
        <v>106</v>
      </c>
      <c r="D3" s="28" t="s">
        <v>73</v>
      </c>
      <c r="E3" s="30" t="s">
        <v>72</v>
      </c>
    </row>
    <row r="4" spans="2:6" ht="38.25">
      <c r="B4" s="29" t="s">
        <v>69</v>
      </c>
      <c r="C4" s="27" t="s">
        <v>107</v>
      </c>
      <c r="D4" s="25" t="s">
        <v>86</v>
      </c>
      <c r="E4" s="30" t="s">
        <v>86</v>
      </c>
    </row>
    <row r="5" spans="2:6" ht="25.5">
      <c r="B5" s="29" t="s">
        <v>69</v>
      </c>
      <c r="C5" s="27" t="s">
        <v>108</v>
      </c>
      <c r="D5" s="25" t="s">
        <v>109</v>
      </c>
      <c r="E5" s="31" t="s">
        <v>72</v>
      </c>
    </row>
    <row r="6" spans="2:6" ht="38.25">
      <c r="B6" s="29" t="s">
        <v>76</v>
      </c>
      <c r="C6" s="27" t="s">
        <v>110</v>
      </c>
      <c r="D6" s="25" t="s">
        <v>74</v>
      </c>
      <c r="E6" s="30" t="s">
        <v>75</v>
      </c>
    </row>
    <row r="7" spans="2:6" ht="38.25">
      <c r="B7" s="29" t="s">
        <v>77</v>
      </c>
      <c r="C7" s="27" t="s">
        <v>111</v>
      </c>
      <c r="D7" s="27" t="s">
        <v>112</v>
      </c>
      <c r="E7" s="30" t="s">
        <v>113</v>
      </c>
    </row>
    <row r="8" spans="2:6">
      <c r="B8" s="35" t="s">
        <v>78</v>
      </c>
      <c r="C8" s="36" t="s">
        <v>80</v>
      </c>
      <c r="D8" s="36"/>
      <c r="E8" s="37" t="s">
        <v>79</v>
      </c>
    </row>
    <row r="11" spans="2:6">
      <c r="B11" s="24" t="s">
        <v>114</v>
      </c>
    </row>
    <row r="12" spans="2:6">
      <c r="B12" s="25" t="s">
        <v>68</v>
      </c>
      <c r="C12" s="26" t="s">
        <v>69</v>
      </c>
      <c r="D12" s="26" t="s">
        <v>69</v>
      </c>
      <c r="E12" s="26" t="s">
        <v>76</v>
      </c>
      <c r="F12" s="26" t="s">
        <v>76</v>
      </c>
    </row>
    <row r="13" spans="2:6">
      <c r="B13" s="26" t="s">
        <v>115</v>
      </c>
      <c r="C13" s="38" t="s">
        <v>84</v>
      </c>
      <c r="D13" s="38" t="s">
        <v>85</v>
      </c>
      <c r="E13" s="38" t="s">
        <v>88</v>
      </c>
      <c r="F13" s="38" t="s">
        <v>90</v>
      </c>
    </row>
    <row r="14" spans="2:6">
      <c r="B14" s="26" t="s">
        <v>81</v>
      </c>
      <c r="C14" s="38">
        <v>0.6</v>
      </c>
      <c r="D14" s="38" t="s">
        <v>86</v>
      </c>
      <c r="E14" s="38">
        <v>0.8</v>
      </c>
      <c r="F14" s="38">
        <v>1.3</v>
      </c>
    </row>
    <row r="15" spans="2:6">
      <c r="B15" s="26" t="s">
        <v>116</v>
      </c>
      <c r="C15" s="38">
        <v>7</v>
      </c>
      <c r="D15" s="38" t="s">
        <v>86</v>
      </c>
      <c r="E15" s="38">
        <v>7</v>
      </c>
      <c r="F15" s="38"/>
    </row>
    <row r="16" spans="2:6">
      <c r="B16" s="26" t="s">
        <v>117</v>
      </c>
      <c r="C16" s="38" t="s">
        <v>82</v>
      </c>
      <c r="D16" s="38" t="s">
        <v>86</v>
      </c>
      <c r="E16" s="38" t="s">
        <v>82</v>
      </c>
      <c r="F16" s="38"/>
    </row>
    <row r="17" spans="2:6">
      <c r="B17" s="26" t="s">
        <v>118</v>
      </c>
      <c r="C17" s="38" t="s">
        <v>83</v>
      </c>
      <c r="D17" s="38">
        <v>2</v>
      </c>
      <c r="E17" s="38">
        <v>3</v>
      </c>
      <c r="F17" s="38"/>
    </row>
    <row r="18" spans="2:6">
      <c r="B18" s="26" t="s">
        <v>119</v>
      </c>
      <c r="C18" s="38" t="s">
        <v>30</v>
      </c>
      <c r="D18" s="38" t="s">
        <v>30</v>
      </c>
      <c r="E18" s="38" t="s">
        <v>89</v>
      </c>
      <c r="F18" s="38"/>
    </row>
    <row r="19" spans="2:6">
      <c r="B19" s="26" t="s">
        <v>120</v>
      </c>
      <c r="C19" s="38"/>
      <c r="D19" s="38" t="s">
        <v>87</v>
      </c>
      <c r="E19" s="38"/>
      <c r="F19" s="38"/>
    </row>
    <row r="20" spans="2:6">
      <c r="B20" s="26" t="s">
        <v>121</v>
      </c>
      <c r="C20" s="38"/>
      <c r="D20" s="38"/>
      <c r="E20" s="38">
        <v>7</v>
      </c>
      <c r="F20" s="38">
        <v>5</v>
      </c>
    </row>
    <row r="22" spans="2:6" ht="13.5" thickBot="1">
      <c r="B22" s="24" t="s">
        <v>156</v>
      </c>
    </row>
    <row r="23" spans="2:6">
      <c r="B23" s="40" t="s">
        <v>115</v>
      </c>
      <c r="C23" s="43" t="s">
        <v>149</v>
      </c>
    </row>
    <row r="24" spans="2:6">
      <c r="B24" s="41" t="s">
        <v>81</v>
      </c>
      <c r="C24" s="44" t="s">
        <v>148</v>
      </c>
    </row>
    <row r="25" spans="2:6" ht="25.5">
      <c r="B25" s="41" t="s">
        <v>116</v>
      </c>
      <c r="C25" s="44" t="s">
        <v>138</v>
      </c>
    </row>
    <row r="26" spans="2:6">
      <c r="B26" s="41" t="s">
        <v>118</v>
      </c>
      <c r="C26" s="44" t="s">
        <v>150</v>
      </c>
    </row>
    <row r="27" spans="2:6">
      <c r="B27" s="41" t="s">
        <v>117</v>
      </c>
      <c r="C27" s="44" t="s">
        <v>142</v>
      </c>
    </row>
    <row r="28" spans="2:6">
      <c r="B28" s="41" t="s">
        <v>119</v>
      </c>
      <c r="C28" s="44"/>
    </row>
    <row r="29" spans="2:6">
      <c r="B29" s="41" t="s">
        <v>121</v>
      </c>
      <c r="C29" s="44" t="s">
        <v>146</v>
      </c>
    </row>
    <row r="30" spans="2:6">
      <c r="B30" s="41" t="s">
        <v>134</v>
      </c>
      <c r="C30" s="44" t="s">
        <v>151</v>
      </c>
    </row>
    <row r="31" spans="2:6">
      <c r="B31" s="41" t="s">
        <v>135</v>
      </c>
      <c r="C31" s="44" t="s">
        <v>151</v>
      </c>
    </row>
    <row r="32" spans="2:6">
      <c r="B32" s="41" t="s">
        <v>136</v>
      </c>
      <c r="C32" s="44" t="s">
        <v>152</v>
      </c>
    </row>
    <row r="33" spans="2:3" ht="25.5">
      <c r="B33" s="41" t="s">
        <v>137</v>
      </c>
      <c r="C33" s="44" t="s">
        <v>139</v>
      </c>
    </row>
    <row r="34" spans="2:3">
      <c r="B34" s="41" t="s">
        <v>140</v>
      </c>
      <c r="C34" s="44" t="s">
        <v>141</v>
      </c>
    </row>
    <row r="35" spans="2:3">
      <c r="B35" s="41" t="s">
        <v>143</v>
      </c>
      <c r="C35" s="44" t="s">
        <v>148</v>
      </c>
    </row>
    <row r="36" spans="2:3">
      <c r="B36" s="41" t="s">
        <v>144</v>
      </c>
      <c r="C36" s="44" t="s">
        <v>145</v>
      </c>
    </row>
    <row r="37" spans="2:3" ht="25.5">
      <c r="B37" s="41" t="s">
        <v>147</v>
      </c>
      <c r="C37" s="44" t="s">
        <v>153</v>
      </c>
    </row>
    <row r="38" spans="2:3" ht="13.5" thickBot="1">
      <c r="B38" s="42" t="s">
        <v>154</v>
      </c>
      <c r="C38" s="45" t="s">
        <v>155</v>
      </c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B2:G7"/>
  <sheetViews>
    <sheetView workbookViewId="0">
      <selection activeCell="C12" sqref="C12"/>
    </sheetView>
  </sheetViews>
  <sheetFormatPr defaultRowHeight="15"/>
  <cols>
    <col min="2" max="2" width="12.140625" customWidth="1"/>
    <col min="3" max="3" width="28.85546875" bestFit="1" customWidth="1"/>
    <col min="4" max="4" width="24.140625" bestFit="1" customWidth="1"/>
    <col min="5" max="5" width="9.85546875" bestFit="1" customWidth="1"/>
    <col min="6" max="7" width="10.85546875" bestFit="1" customWidth="1"/>
  </cols>
  <sheetData>
    <row r="2" spans="2:7">
      <c r="B2" s="23" t="s">
        <v>68</v>
      </c>
      <c r="C2" s="23" t="s">
        <v>102</v>
      </c>
      <c r="D2" s="23" t="s">
        <v>103</v>
      </c>
      <c r="E2" s="23" t="s">
        <v>100</v>
      </c>
      <c r="F2" s="23" t="s">
        <v>101</v>
      </c>
      <c r="G2" s="23" t="s">
        <v>124</v>
      </c>
    </row>
    <row r="3" spans="2:7">
      <c r="B3" s="23" t="s">
        <v>91</v>
      </c>
      <c r="C3" s="23" t="s">
        <v>122</v>
      </c>
      <c r="D3" s="23" t="s">
        <v>123</v>
      </c>
      <c r="E3" s="23" t="s">
        <v>86</v>
      </c>
      <c r="F3" s="23" t="s">
        <v>86</v>
      </c>
      <c r="G3" s="39">
        <v>534634300</v>
      </c>
    </row>
    <row r="4" spans="2:7">
      <c r="B4" s="23" t="s">
        <v>92</v>
      </c>
      <c r="C4" s="23" t="s">
        <v>125</v>
      </c>
      <c r="D4" s="23" t="s">
        <v>126</v>
      </c>
      <c r="E4" s="23" t="s">
        <v>127</v>
      </c>
      <c r="F4" s="23" t="s">
        <v>128</v>
      </c>
      <c r="G4" s="23"/>
    </row>
    <row r="5" spans="2:7">
      <c r="B5" s="23" t="s">
        <v>92</v>
      </c>
      <c r="C5" s="23" t="s">
        <v>130</v>
      </c>
      <c r="D5" s="23" t="s">
        <v>129</v>
      </c>
      <c r="E5" s="23" t="s">
        <v>86</v>
      </c>
      <c r="F5" s="23" t="s">
        <v>86</v>
      </c>
      <c r="G5" s="39">
        <v>601889443</v>
      </c>
    </row>
    <row r="6" spans="2:7">
      <c r="B6" s="23" t="s">
        <v>93</v>
      </c>
      <c r="C6" s="23" t="s">
        <v>97</v>
      </c>
      <c r="D6" s="23" t="s">
        <v>98</v>
      </c>
      <c r="E6" s="23" t="s">
        <v>99</v>
      </c>
      <c r="F6" s="23" t="s">
        <v>72</v>
      </c>
      <c r="G6" s="23"/>
    </row>
    <row r="7" spans="2:7">
      <c r="B7" s="23" t="s">
        <v>94</v>
      </c>
      <c r="C7" s="23" t="s">
        <v>97</v>
      </c>
      <c r="D7" s="23" t="s">
        <v>98</v>
      </c>
      <c r="E7" s="23" t="s">
        <v>99</v>
      </c>
      <c r="F7" s="23" t="s">
        <v>72</v>
      </c>
      <c r="G7" s="23"/>
    </row>
  </sheetData>
  <pageMargins left="0.7" right="0.7" top="0.75" bottom="0.75" header="0.3" footer="0.3"/>
  <pageSetup paperSize="0" orientation="portrait" horizontalDpi="0" verticalDpi="0" copies="0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G6"/>
  <sheetViews>
    <sheetView workbookViewId="0">
      <selection activeCell="E4" sqref="E4"/>
    </sheetView>
  </sheetViews>
  <sheetFormatPr defaultRowHeight="15"/>
  <cols>
    <col min="5" max="5" width="16.140625" customWidth="1"/>
  </cols>
  <sheetData>
    <row r="1" spans="1:7">
      <c r="D1" t="s">
        <v>102</v>
      </c>
      <c r="E1" t="s">
        <v>103</v>
      </c>
      <c r="F1" t="s">
        <v>100</v>
      </c>
      <c r="G1" t="s">
        <v>101</v>
      </c>
    </row>
    <row r="2" spans="1:7">
      <c r="A2" t="s">
        <v>95</v>
      </c>
    </row>
    <row r="3" spans="1:7">
      <c r="B3" t="s">
        <v>94</v>
      </c>
      <c r="D3" s="21" t="s">
        <v>97</v>
      </c>
      <c r="E3" s="21" t="s">
        <v>98</v>
      </c>
      <c r="F3" t="s">
        <v>99</v>
      </c>
      <c r="G3" t="s">
        <v>72</v>
      </c>
    </row>
    <row r="4" spans="1:7">
      <c r="B4" t="s">
        <v>96</v>
      </c>
      <c r="D4" s="21" t="s">
        <v>97</v>
      </c>
      <c r="E4" s="21" t="s">
        <v>98</v>
      </c>
      <c r="F4" t="s">
        <v>99</v>
      </c>
      <c r="G4" t="s">
        <v>72</v>
      </c>
    </row>
    <row r="5" spans="1:7">
      <c r="B5" t="s">
        <v>92</v>
      </c>
    </row>
    <row r="6" spans="1:7">
      <c r="B6" t="s">
        <v>133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B4:I13"/>
  <sheetViews>
    <sheetView tabSelected="1" workbookViewId="0">
      <selection activeCell="I3" sqref="B3:I3"/>
    </sheetView>
  </sheetViews>
  <sheetFormatPr defaultRowHeight="15"/>
  <cols>
    <col min="2" max="2" width="11.85546875" customWidth="1"/>
    <col min="3" max="3" width="16.5703125" bestFit="1" customWidth="1"/>
    <col min="4" max="6" width="18.42578125" customWidth="1"/>
    <col min="7" max="7" width="31" bestFit="1" customWidth="1"/>
    <col min="8" max="8" width="12" bestFit="1" customWidth="1"/>
    <col min="9" max="9" width="11.85546875" customWidth="1"/>
  </cols>
  <sheetData>
    <row r="4" spans="2:9">
      <c r="B4" t="s">
        <v>68</v>
      </c>
      <c r="C4" t="s">
        <v>102</v>
      </c>
      <c r="D4" t="s">
        <v>103</v>
      </c>
      <c r="E4" t="s">
        <v>100</v>
      </c>
      <c r="F4" t="s">
        <v>101</v>
      </c>
      <c r="G4" t="s">
        <v>158</v>
      </c>
      <c r="H4" t="s">
        <v>159</v>
      </c>
      <c r="I4" t="s">
        <v>175</v>
      </c>
    </row>
    <row r="5" spans="2:9">
      <c r="B5" t="s">
        <v>131</v>
      </c>
      <c r="C5" t="s">
        <v>160</v>
      </c>
      <c r="D5" t="s">
        <v>161</v>
      </c>
      <c r="E5" t="s">
        <v>162</v>
      </c>
      <c r="F5" t="s">
        <v>163</v>
      </c>
      <c r="I5" t="s">
        <v>164</v>
      </c>
    </row>
    <row r="6" spans="2:9">
      <c r="C6" s="47" t="s">
        <v>165</v>
      </c>
      <c r="D6" t="s">
        <v>166</v>
      </c>
      <c r="G6" t="s">
        <v>167</v>
      </c>
      <c r="H6">
        <v>48505508110</v>
      </c>
    </row>
    <row r="7" spans="2:9">
      <c r="C7" s="21" t="s">
        <v>168</v>
      </c>
      <c r="D7" s="21" t="s">
        <v>169</v>
      </c>
      <c r="E7" t="s">
        <v>73</v>
      </c>
      <c r="F7" t="s">
        <v>170</v>
      </c>
    </row>
    <row r="8" spans="2:9">
      <c r="C8" t="s">
        <v>171</v>
      </c>
      <c r="D8" t="s">
        <v>172</v>
      </c>
      <c r="E8" t="s">
        <v>173</v>
      </c>
      <c r="F8" t="s">
        <v>174</v>
      </c>
    </row>
    <row r="9" spans="2:9">
      <c r="B9" t="s">
        <v>132</v>
      </c>
      <c r="C9" t="s">
        <v>160</v>
      </c>
      <c r="D9" t="s">
        <v>161</v>
      </c>
      <c r="E9" t="s">
        <v>162</v>
      </c>
      <c r="F9" t="s">
        <v>163</v>
      </c>
    </row>
    <row r="10" spans="2:9">
      <c r="C10" s="47" t="s">
        <v>165</v>
      </c>
      <c r="D10" t="s">
        <v>166</v>
      </c>
      <c r="G10" t="s">
        <v>167</v>
      </c>
      <c r="H10">
        <v>48505508110</v>
      </c>
    </row>
    <row r="11" spans="2:9">
      <c r="C11" s="21" t="s">
        <v>168</v>
      </c>
      <c r="D11" s="21" t="s">
        <v>169</v>
      </c>
      <c r="E11" t="s">
        <v>73</v>
      </c>
      <c r="F11" t="s">
        <v>170</v>
      </c>
    </row>
    <row r="12" spans="2:9">
      <c r="C12" t="s">
        <v>171</v>
      </c>
      <c r="D12" t="s">
        <v>172</v>
      </c>
      <c r="E12" t="s">
        <v>173</v>
      </c>
      <c r="F12" t="s">
        <v>174</v>
      </c>
    </row>
    <row r="13" spans="2:9">
      <c r="B13" t="s">
        <v>157</v>
      </c>
      <c r="C13" t="s">
        <v>171</v>
      </c>
      <c r="D13" t="s">
        <v>172</v>
      </c>
      <c r="E13" t="s">
        <v>173</v>
      </c>
      <c r="F13" t="s">
        <v>174</v>
      </c>
      <c r="H13" s="46"/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Zestawienie okien</vt:lpstr>
      <vt:lpstr>Producenci okien</vt:lpstr>
      <vt:lpstr>Brama garażowa</vt:lpstr>
      <vt:lpstr>Drzwi wejściowe</vt:lpstr>
      <vt:lpstr>Okna połaciowe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2013-02-07T19:54:14Z</dcterms:modified>
</cp:coreProperties>
</file>