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Arkusz1" sheetId="1" r:id="rId1"/>
    <sheet name="Materiały budowlane - wady" sheetId="2" r:id="rId2"/>
    <sheet name="Termoizolacyjność" sheetId="3" r:id="rId3"/>
  </sheets>
  <calcPr calcId="124519"/>
</workbook>
</file>

<file path=xl/calcChain.xml><?xml version="1.0" encoding="utf-8"?>
<calcChain xmlns="http://schemas.openxmlformats.org/spreadsheetml/2006/main">
  <c r="S21" i="3"/>
  <c r="S25"/>
  <c r="S17"/>
  <c r="Q24"/>
  <c r="Q20"/>
  <c r="Q16"/>
  <c r="Q13"/>
  <c r="Q9"/>
  <c r="Q5"/>
  <c r="E47"/>
  <c r="E48"/>
  <c r="E49"/>
  <c r="E46"/>
  <c r="C38"/>
  <c r="D38" s="1"/>
  <c r="C39"/>
  <c r="D39" s="1"/>
  <c r="C40"/>
  <c r="D40" s="1"/>
  <c r="C41"/>
  <c r="D41" s="1"/>
  <c r="C42"/>
  <c r="D42" s="1"/>
  <c r="O23"/>
  <c r="Q23" s="1"/>
  <c r="O19"/>
  <c r="Q19" s="1"/>
  <c r="O15"/>
  <c r="Q15" s="1"/>
  <c r="O12"/>
  <c r="Q12" s="1"/>
  <c r="Q8"/>
  <c r="O8"/>
  <c r="G41"/>
  <c r="O4"/>
  <c r="Q4" s="1"/>
  <c r="L24"/>
  <c r="I24"/>
  <c r="I23"/>
  <c r="L20"/>
  <c r="I20"/>
  <c r="I19"/>
  <c r="K20" s="1"/>
  <c r="L16"/>
  <c r="I16"/>
  <c r="I15"/>
  <c r="L13"/>
  <c r="I13"/>
  <c r="I12"/>
  <c r="L9"/>
  <c r="L5"/>
  <c r="I8"/>
  <c r="I9"/>
  <c r="I5"/>
  <c r="I4"/>
  <c r="D27" i="2"/>
  <c r="D26"/>
  <c r="E3" i="1"/>
  <c r="E4"/>
  <c r="E5"/>
  <c r="E6"/>
  <c r="E7"/>
  <c r="E8"/>
  <c r="E9"/>
  <c r="E11"/>
  <c r="E12"/>
  <c r="E13"/>
  <c r="E2"/>
  <c r="D14"/>
  <c r="C14"/>
  <c r="K24" i="3" l="1"/>
  <c r="K16"/>
  <c r="K5"/>
  <c r="K13"/>
  <c r="K9"/>
  <c r="E14" i="1"/>
</calcChain>
</file>

<file path=xl/sharedStrings.xml><?xml version="1.0" encoding="utf-8"?>
<sst xmlns="http://schemas.openxmlformats.org/spreadsheetml/2006/main" count="155" uniqueCount="90">
  <si>
    <t>Bezpieczeństwo</t>
  </si>
  <si>
    <t>Ognioodporność</t>
  </si>
  <si>
    <t>Ekologiczność (brak zanieczyszczeń środowiska przy produkcji materiału)</t>
  </si>
  <si>
    <t>Zdrowie (brak szkodliwych substancji, które sa wydzielane podczas użytkowania)</t>
  </si>
  <si>
    <t>Obsługa</t>
  </si>
  <si>
    <t>Budowa</t>
  </si>
  <si>
    <t>Trwałość (tzn np. brak pęknięć)</t>
  </si>
  <si>
    <t>Koszt budowy m2 (wraz z ociepleniem, tynkami zewn, gładzią wew, tynkami wew)</t>
  </si>
  <si>
    <t>Zawilgocenia (skutkujące np. zapleśnieniem lub uszkodzeniem tynków wew)</t>
  </si>
  <si>
    <t>Łatwość budowy/montażu</t>
  </si>
  <si>
    <t>Łatwa obróbka przy remontach (wbijanie gwożdzi, zmiany w instalacji)</t>
  </si>
  <si>
    <t>Cechy materiału</t>
  </si>
  <si>
    <t>Suma punktów</t>
  </si>
  <si>
    <t>Szczelność budynku</t>
  </si>
  <si>
    <t>Akumulacja ciepła</t>
  </si>
  <si>
    <t>Izolacyjnośc akustyczna</t>
  </si>
  <si>
    <t>Termoizolacyjność (licząc z ociepleniem)</t>
  </si>
  <si>
    <t>Beton komórkowy</t>
  </si>
  <si>
    <t>Nasiąkliwy</t>
  </si>
  <si>
    <t>Cecha</t>
  </si>
  <si>
    <t>Co to oznacza?</t>
  </si>
  <si>
    <t>Wchłania np.. Wodę opadową</t>
  </si>
  <si>
    <t>Jakie są tego konsekwencje?</t>
  </si>
  <si>
    <t>Łatwy w obróbce</t>
  </si>
  <si>
    <t>Łatwo się przycina</t>
  </si>
  <si>
    <t>Łatwy w budowie, łatwo zrobić bruzdy pod instalacje'</t>
  </si>
  <si>
    <t>Trwałość wg Glapy</t>
  </si>
  <si>
    <t>Drewno</t>
  </si>
  <si>
    <t>Ceramika</t>
  </si>
  <si>
    <t>Silikat</t>
  </si>
  <si>
    <t>Thermomur</t>
  </si>
  <si>
    <t>~65lat</t>
  </si>
  <si>
    <t>~85lat</t>
  </si>
  <si>
    <t>~120lat</t>
  </si>
  <si>
    <t>Burza mózgów (każdy ma 100pkt do rozdzielenia na 6 cech)</t>
  </si>
  <si>
    <t>Suma</t>
  </si>
  <si>
    <t>Słonka</t>
  </si>
  <si>
    <t>Słonek</t>
  </si>
  <si>
    <t>ceramika</t>
  </si>
  <si>
    <t>silikat</t>
  </si>
  <si>
    <t>beton komórkowy</t>
  </si>
  <si>
    <t>termomur, silikat</t>
  </si>
  <si>
    <t>termomur</t>
  </si>
  <si>
    <t>ceramika, beton komórkowy</t>
  </si>
  <si>
    <t>najlepszy</t>
  </si>
  <si>
    <t>najgorszy</t>
  </si>
  <si>
    <t>b.d</t>
  </si>
  <si>
    <t>?</t>
  </si>
  <si>
    <t>Porotherm</t>
  </si>
  <si>
    <t>Krucha</t>
  </si>
  <si>
    <t>Trzeba się delikatnie obchodzić podczas transportu i na budowie. Ostrożnie wiercić w scianach.</t>
  </si>
  <si>
    <t>Nasiąkliwa</t>
  </si>
  <si>
    <t>Unikać na budowie nadmiernego zalewania</t>
  </si>
  <si>
    <t>U [W/mK]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</si>
  <si>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W/m2K]</t>
    </r>
  </si>
  <si>
    <t>Styropian</t>
  </si>
  <si>
    <t>grubość</t>
  </si>
  <si>
    <t>[m]</t>
  </si>
  <si>
    <t>U całej przegrody</t>
  </si>
  <si>
    <t>λ</t>
  </si>
  <si>
    <t>Grubość ściany</t>
  </si>
  <si>
    <t xml:space="preserve"> </t>
  </si>
  <si>
    <t>Wpisz λ [W/m2K] a jeśli nie znasz to wpisz U. Pole z λ pozostaw wtedy puste.</t>
  </si>
  <si>
    <t>Pustak ceramiczny: MEGA-MAX 240/238 P+W, CERPOL-KOZŁOWICE Sp. z o. o.</t>
  </si>
  <si>
    <t>szt/m2</t>
  </si>
  <si>
    <t>cena szt</t>
  </si>
  <si>
    <t>koszt m2</t>
  </si>
  <si>
    <t>U = l / d</t>
  </si>
  <si>
    <t>l</t>
  </si>
  <si>
    <t>d</t>
  </si>
  <si>
    <t>U</t>
  </si>
  <si>
    <t>THERMOPOR 25 P+W Leier S.A.</t>
  </si>
  <si>
    <t>Porotherm 38 P+W, WIENERBERGER</t>
  </si>
  <si>
    <t>Porotherm 25/30 AKU, WIEERBERGER</t>
  </si>
  <si>
    <t>CERAMIKA</t>
  </si>
  <si>
    <t>BETON KOMÓRKOWY</t>
  </si>
  <si>
    <t>YTONG PP 4/0.6 S+GT gr. 24cm</t>
  </si>
  <si>
    <t>SILIKAT</t>
  </si>
  <si>
    <t>SILKA E 18A</t>
  </si>
  <si>
    <t>1m3</t>
  </si>
  <si>
    <t>cm</t>
  </si>
  <si>
    <t>m2</t>
  </si>
  <si>
    <t>grubosc [cm]</t>
  </si>
  <si>
    <t>1m3 styropianu</t>
  </si>
  <si>
    <t>Zaprawa</t>
  </si>
  <si>
    <t>Pustak</t>
  </si>
  <si>
    <t>Razem</t>
  </si>
  <si>
    <t>Bloczek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</si>
  <si>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W/mK]</t>
    </r>
  </si>
  <si>
    <t>x</t>
  </si>
</sst>
</file>

<file path=xl/styles.xml><?xml version="1.0" encoding="utf-8"?>
<styleSheet xmlns="http://schemas.openxmlformats.org/spreadsheetml/2006/main">
  <numFmts count="4">
    <numFmt numFmtId="6" formatCode="#,##0\ &quot;zł&quot;;[Red]\-#,##0\ &quot;zł&quot;"/>
    <numFmt numFmtId="44" formatCode="_-* #,##0.00\ &quot;zł&quot;_-;\-* #,##0.00\ &quot;zł&quot;_-;_-* &quot;-&quot;??\ &quot;zł&quot;_-;_-@_-"/>
    <numFmt numFmtId="164" formatCode="#,##0.0\ &quot;zł&quot;;[Red]\-#,##0.0\ &quot;zł&quot;"/>
    <numFmt numFmtId="165" formatCode="#,##0.00\ &quot;zł&quot;"/>
  </numFmts>
  <fonts count="9">
    <font>
      <sz val="11"/>
      <color theme="1"/>
      <name val="Calibri"/>
      <family val="2"/>
      <charset val="238"/>
      <scheme val="minor"/>
    </font>
    <font>
      <sz val="10"/>
      <color rgb="FFCC0000"/>
      <name val="Calibri"/>
      <family val="2"/>
      <charset val="238"/>
      <scheme val="minor"/>
    </font>
    <font>
      <sz val="10"/>
      <color rgb="FF204A87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3" tint="-0.249977111117893"/>
      <name val="Calibri"/>
      <family val="2"/>
      <charset val="238"/>
      <scheme val="minor"/>
    </font>
    <font>
      <b/>
      <sz val="14"/>
      <color theme="3" tint="-0.249977111117893"/>
      <name val="Calibri"/>
      <family val="2"/>
      <charset val="238"/>
      <scheme val="minor"/>
    </font>
    <font>
      <sz val="11"/>
      <color theme="1"/>
      <name val="DejaVu Sans"/>
      <family val="2"/>
      <charset val="238"/>
    </font>
    <font>
      <sz val="11"/>
      <color theme="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8" fillId="5" borderId="0" xfId="0" applyFont="1" applyFill="1"/>
    <xf numFmtId="2" fontId="0" fillId="0" borderId="0" xfId="0" applyNumberFormat="1"/>
    <xf numFmtId="2" fontId="0" fillId="6" borderId="1" xfId="0" applyNumberFormat="1" applyFill="1" applyBorder="1"/>
    <xf numFmtId="2" fontId="0" fillId="6" borderId="3" xfId="0" applyNumberFormat="1" applyFill="1" applyBorder="1"/>
    <xf numFmtId="2" fontId="0" fillId="6" borderId="10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2" fontId="0" fillId="6" borderId="11" xfId="0" applyNumberFormat="1" applyFill="1" applyBorder="1"/>
    <xf numFmtId="2" fontId="0" fillId="6" borderId="6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2" fontId="0" fillId="6" borderId="12" xfId="0" applyNumberFormat="1" applyFill="1" applyBorder="1"/>
    <xf numFmtId="2" fontId="0" fillId="6" borderId="13" xfId="0" applyNumberFormat="1" applyFill="1" applyBorder="1"/>
    <xf numFmtId="6" fontId="0" fillId="0" borderId="0" xfId="0" applyNumberFormat="1"/>
    <xf numFmtId="164" fontId="0" fillId="0" borderId="0" xfId="0" applyNumberFormat="1"/>
    <xf numFmtId="0" fontId="0" fillId="5" borderId="0" xfId="0" applyFill="1"/>
    <xf numFmtId="165" fontId="0" fillId="5" borderId="0" xfId="0" applyNumberFormat="1" applyFill="1"/>
    <xf numFmtId="0" fontId="0" fillId="0" borderId="0" xfId="0" applyFill="1" applyBorder="1"/>
    <xf numFmtId="0" fontId="0" fillId="0" borderId="0" xfId="0" applyFill="1"/>
    <xf numFmtId="2" fontId="3" fillId="6" borderId="4" xfId="0" applyNumberFormat="1" applyFont="1" applyFill="1" applyBorder="1"/>
    <xf numFmtId="2" fontId="3" fillId="6" borderId="6" xfId="0" applyNumberFormat="1" applyFont="1" applyFill="1" applyBorder="1"/>
    <xf numFmtId="4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13" sqref="F13"/>
    </sheetView>
  </sheetViews>
  <sheetFormatPr defaultRowHeight="15"/>
  <cols>
    <col min="1" max="1" width="15" customWidth="1"/>
    <col min="2" max="2" width="37.5703125" customWidth="1"/>
    <col min="3" max="5" width="10.140625" customWidth="1"/>
  </cols>
  <sheetData>
    <row r="1" spans="1:8">
      <c r="A1" t="s">
        <v>34</v>
      </c>
      <c r="C1" s="9" t="s">
        <v>36</v>
      </c>
      <c r="D1" s="9" t="s">
        <v>37</v>
      </c>
      <c r="E1" s="9" t="s">
        <v>35</v>
      </c>
      <c r="F1" s="9" t="s">
        <v>44</v>
      </c>
      <c r="H1" s="1" t="s">
        <v>45</v>
      </c>
    </row>
    <row r="2" spans="1:8">
      <c r="A2" s="43" t="s">
        <v>0</v>
      </c>
      <c r="B2" s="7" t="s">
        <v>1</v>
      </c>
      <c r="C2" s="4"/>
      <c r="D2" s="4"/>
      <c r="E2" s="4">
        <f>SUM(C2:D2)</f>
        <v>0</v>
      </c>
      <c r="F2" t="s">
        <v>38</v>
      </c>
      <c r="H2" s="2"/>
    </row>
    <row r="3" spans="1:8" ht="30">
      <c r="A3" s="43"/>
      <c r="B3" s="7" t="s">
        <v>2</v>
      </c>
      <c r="C3" s="4"/>
      <c r="D3" s="4"/>
      <c r="E3" s="4">
        <f t="shared" ref="E3:E14" si="0">SUM(C3:D3)</f>
        <v>0</v>
      </c>
      <c r="F3" t="s">
        <v>38</v>
      </c>
      <c r="H3" s="1"/>
    </row>
    <row r="4" spans="1:8" ht="51" customHeight="1">
      <c r="A4" s="43"/>
      <c r="B4" s="7" t="s">
        <v>3</v>
      </c>
      <c r="C4" s="4"/>
      <c r="D4" s="4">
        <v>20</v>
      </c>
      <c r="E4" s="11">
        <f t="shared" si="0"/>
        <v>20</v>
      </c>
      <c r="F4" t="s">
        <v>39</v>
      </c>
      <c r="H4" s="1" t="s">
        <v>40</v>
      </c>
    </row>
    <row r="5" spans="1:8" ht="18.75">
      <c r="A5" s="44" t="s">
        <v>4</v>
      </c>
      <c r="B5" s="8" t="s">
        <v>6</v>
      </c>
      <c r="C5" s="5">
        <v>35</v>
      </c>
      <c r="D5" s="5">
        <v>16</v>
      </c>
      <c r="E5" s="11">
        <f t="shared" si="0"/>
        <v>51</v>
      </c>
      <c r="F5" t="s">
        <v>41</v>
      </c>
      <c r="H5" s="1" t="s">
        <v>40</v>
      </c>
    </row>
    <row r="6" spans="1:8" ht="51" customHeight="1">
      <c r="A6" s="44"/>
      <c r="B6" s="8" t="s">
        <v>8</v>
      </c>
      <c r="C6" s="5">
        <v>20</v>
      </c>
      <c r="D6" s="5">
        <v>17</v>
      </c>
      <c r="E6" s="11">
        <f t="shared" si="0"/>
        <v>37</v>
      </c>
      <c r="H6" s="1"/>
    </row>
    <row r="7" spans="1:8" ht="18.75">
      <c r="A7" s="44"/>
      <c r="B7" s="8" t="s">
        <v>13</v>
      </c>
      <c r="C7" s="5">
        <v>5</v>
      </c>
      <c r="D7" s="5">
        <v>17</v>
      </c>
      <c r="E7" s="11">
        <f t="shared" si="0"/>
        <v>22</v>
      </c>
      <c r="F7" t="s">
        <v>42</v>
      </c>
      <c r="H7" s="1" t="s">
        <v>43</v>
      </c>
    </row>
    <row r="8" spans="1:8" ht="51" customHeight="1">
      <c r="A8" s="44"/>
      <c r="B8" s="8" t="s">
        <v>10</v>
      </c>
      <c r="C8" s="5">
        <v>5</v>
      </c>
      <c r="D8" s="5"/>
      <c r="E8" s="10">
        <f t="shared" si="0"/>
        <v>5</v>
      </c>
    </row>
    <row r="9" spans="1:8" ht="51" customHeight="1">
      <c r="A9" s="43" t="s">
        <v>5</v>
      </c>
      <c r="B9" s="7" t="s">
        <v>7</v>
      </c>
      <c r="C9" s="4"/>
      <c r="D9" s="4">
        <v>10</v>
      </c>
      <c r="E9" s="10">
        <f t="shared" si="0"/>
        <v>10</v>
      </c>
      <c r="F9" t="s">
        <v>46</v>
      </c>
    </row>
    <row r="10" spans="1:8">
      <c r="A10" s="43"/>
      <c r="B10" s="7" t="s">
        <v>9</v>
      </c>
      <c r="C10" s="4"/>
      <c r="D10" s="4"/>
      <c r="E10" s="4"/>
    </row>
    <row r="11" spans="1:8" ht="18.75">
      <c r="A11" s="44" t="s">
        <v>11</v>
      </c>
      <c r="B11" s="8" t="s">
        <v>16</v>
      </c>
      <c r="C11" s="5">
        <v>20</v>
      </c>
      <c r="D11" s="5">
        <v>20</v>
      </c>
      <c r="E11" s="11">
        <f t="shared" si="0"/>
        <v>40</v>
      </c>
      <c r="F11" t="s">
        <v>40</v>
      </c>
      <c r="H11" t="s">
        <v>47</v>
      </c>
    </row>
    <row r="12" spans="1:8">
      <c r="A12" s="44"/>
      <c r="B12" s="8" t="s">
        <v>14</v>
      </c>
      <c r="C12" s="5">
        <v>15</v>
      </c>
      <c r="D12" s="5"/>
      <c r="E12" s="10">
        <f t="shared" si="0"/>
        <v>15</v>
      </c>
    </row>
    <row r="13" spans="1:8">
      <c r="A13" s="44"/>
      <c r="B13" s="8" t="s">
        <v>15</v>
      </c>
      <c r="C13" s="5"/>
      <c r="D13" s="5"/>
      <c r="E13" s="4">
        <f t="shared" si="0"/>
        <v>0</v>
      </c>
    </row>
    <row r="14" spans="1:8">
      <c r="A14" s="4"/>
      <c r="B14" s="6" t="s">
        <v>12</v>
      </c>
      <c r="C14" s="4">
        <f>SUM(C2:C13)</f>
        <v>100</v>
      </c>
      <c r="D14" s="4">
        <f>SUM(D2:D13)</f>
        <v>100</v>
      </c>
      <c r="E14" s="4">
        <f t="shared" si="0"/>
        <v>200</v>
      </c>
    </row>
    <row r="16" spans="1:8">
      <c r="A16" s="3" t="s">
        <v>26</v>
      </c>
    </row>
    <row r="17" spans="1:2">
      <c r="A17" t="s">
        <v>27</v>
      </c>
    </row>
    <row r="18" spans="1:2">
      <c r="A18" t="s">
        <v>17</v>
      </c>
      <c r="B18" t="s">
        <v>31</v>
      </c>
    </row>
    <row r="19" spans="1:2">
      <c r="A19" t="s">
        <v>28</v>
      </c>
      <c r="B19" t="s">
        <v>32</v>
      </c>
    </row>
    <row r="20" spans="1:2">
      <c r="A20" t="s">
        <v>29</v>
      </c>
    </row>
    <row r="21" spans="1:2">
      <c r="A21" t="s">
        <v>30</v>
      </c>
      <c r="B21" t="s">
        <v>33</v>
      </c>
    </row>
  </sheetData>
  <mergeCells count="4">
    <mergeCell ref="A2:A4"/>
    <mergeCell ref="A5:A8"/>
    <mergeCell ref="A9:A10"/>
    <mergeCell ref="A11:A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D27"/>
  <sheetViews>
    <sheetView topLeftCell="A7" workbookViewId="0">
      <selection activeCell="D28" sqref="D28"/>
    </sheetView>
  </sheetViews>
  <sheetFormatPr defaultRowHeight="15"/>
  <cols>
    <col min="1" max="1" width="26.85546875" bestFit="1" customWidth="1"/>
    <col min="2" max="2" width="27.7109375" bestFit="1" customWidth="1"/>
    <col min="3" max="3" width="49" bestFit="1" customWidth="1"/>
  </cols>
  <sheetData>
    <row r="5" spans="1:3">
      <c r="A5" s="3" t="s">
        <v>17</v>
      </c>
    </row>
    <row r="7" spans="1:3">
      <c r="A7" s="3" t="s">
        <v>19</v>
      </c>
      <c r="B7" s="3" t="s">
        <v>20</v>
      </c>
      <c r="C7" s="3" t="s">
        <v>22</v>
      </c>
    </row>
    <row r="8" spans="1:3">
      <c r="A8" t="s">
        <v>18</v>
      </c>
      <c r="B8" t="s">
        <v>21</v>
      </c>
    </row>
    <row r="9" spans="1:3">
      <c r="A9" t="s">
        <v>23</v>
      </c>
      <c r="B9" t="s">
        <v>24</v>
      </c>
      <c r="C9" t="s">
        <v>25</v>
      </c>
    </row>
    <row r="12" spans="1:3">
      <c r="A12" t="s">
        <v>48</v>
      </c>
    </row>
    <row r="13" spans="1:3">
      <c r="A13" t="s">
        <v>19</v>
      </c>
    </row>
    <row r="14" spans="1:3">
      <c r="A14" t="s">
        <v>49</v>
      </c>
      <c r="B14" t="s">
        <v>50</v>
      </c>
    </row>
    <row r="15" spans="1:3">
      <c r="A15" t="s">
        <v>51</v>
      </c>
      <c r="B15" t="s">
        <v>52</v>
      </c>
    </row>
    <row r="22" spans="2:4">
      <c r="B22">
        <v>0.2</v>
      </c>
      <c r="C22">
        <v>0.3</v>
      </c>
    </row>
    <row r="23" spans="2:4">
      <c r="B23">
        <v>4.4999999999999998E-2</v>
      </c>
      <c r="C23">
        <v>0.20399999999999999</v>
      </c>
    </row>
    <row r="26" spans="2:4">
      <c r="D26">
        <f>(B22/B23)+(C22/C23)</f>
        <v>5.9150326797385624</v>
      </c>
    </row>
    <row r="27" spans="2:4">
      <c r="D27">
        <f>1/D26</f>
        <v>0.16906077348066298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9"/>
  <sheetViews>
    <sheetView tabSelected="1" workbookViewId="0">
      <selection activeCell="F4" sqref="F4"/>
    </sheetView>
  </sheetViews>
  <sheetFormatPr defaultRowHeight="15"/>
  <cols>
    <col min="1" max="1" width="4.28515625" customWidth="1"/>
    <col min="2" max="2" width="19" customWidth="1"/>
    <col min="3" max="3" width="13.28515625" customWidth="1"/>
    <col min="5" max="5" width="10.42578125" customWidth="1"/>
    <col min="6" max="6" width="11.42578125" customWidth="1"/>
    <col min="8" max="8" width="10.140625" customWidth="1"/>
    <col min="9" max="9" width="6" customWidth="1"/>
    <col min="10" max="10" width="3.42578125" customWidth="1"/>
    <col min="11" max="11" width="16.28515625" bestFit="1" customWidth="1"/>
    <col min="12" max="12" width="14.140625" customWidth="1"/>
    <col min="13" max="13" width="8.28515625" customWidth="1"/>
    <col min="14" max="14" width="9.28515625" customWidth="1"/>
    <col min="15" max="15" width="7.7109375" customWidth="1"/>
    <col min="16" max="16" width="8.140625" customWidth="1"/>
    <col min="17" max="17" width="8.85546875" customWidth="1"/>
  </cols>
  <sheetData>
    <row r="1" spans="2:23">
      <c r="B1" t="s">
        <v>62</v>
      </c>
      <c r="J1" t="s">
        <v>61</v>
      </c>
      <c r="O1" s="36" t="s">
        <v>83</v>
      </c>
      <c r="P1" s="36"/>
      <c r="Q1" s="37">
        <v>170</v>
      </c>
    </row>
    <row r="2" spans="2:23" ht="15.75" thickBot="1">
      <c r="H2" t="s">
        <v>89</v>
      </c>
    </row>
    <row r="3" spans="2:23" ht="15.75" thickBot="1">
      <c r="B3" s="3" t="s">
        <v>74</v>
      </c>
      <c r="G3" t="s">
        <v>56</v>
      </c>
      <c r="I3" s="20" t="s">
        <v>59</v>
      </c>
      <c r="O3" s="29" t="s">
        <v>64</v>
      </c>
      <c r="P3" s="30" t="s">
        <v>65</v>
      </c>
      <c r="Q3" s="31" t="s">
        <v>66</v>
      </c>
    </row>
    <row r="4" spans="2:23" ht="15.75" thickBot="1">
      <c r="B4" t="s">
        <v>63</v>
      </c>
      <c r="C4" s="12" t="s">
        <v>61</v>
      </c>
      <c r="D4" s="13" t="s">
        <v>53</v>
      </c>
      <c r="E4" s="12">
        <v>0.247</v>
      </c>
      <c r="F4" s="13" t="s">
        <v>88</v>
      </c>
      <c r="G4" s="12">
        <v>0.24</v>
      </c>
      <c r="H4" s="13" t="s">
        <v>57</v>
      </c>
      <c r="I4" s="20">
        <f>IF(E4,E4,C4*G4)</f>
        <v>0.247</v>
      </c>
      <c r="K4" s="16" t="s">
        <v>58</v>
      </c>
      <c r="L4" s="18" t="s">
        <v>60</v>
      </c>
      <c r="M4" s="38"/>
      <c r="O4" s="32">
        <f>100*100/(23.8*30.8)</f>
        <v>13.641820364509439</v>
      </c>
      <c r="P4" s="22">
        <v>6.51</v>
      </c>
      <c r="Q4" s="33">
        <f>P4*O4</f>
        <v>88.808250572956439</v>
      </c>
    </row>
    <row r="5" spans="2:23" ht="15.75" thickBot="1">
      <c r="B5" t="s">
        <v>55</v>
      </c>
      <c r="C5" s="14"/>
      <c r="D5" s="15" t="s">
        <v>53</v>
      </c>
      <c r="E5" s="14">
        <v>4.4999999999999998E-2</v>
      </c>
      <c r="F5" s="15" t="s">
        <v>54</v>
      </c>
      <c r="G5" s="14">
        <v>0.21</v>
      </c>
      <c r="H5" s="15" t="s">
        <v>57</v>
      </c>
      <c r="I5" s="20">
        <f>IF(E5,E5,C5*G5)</f>
        <v>4.4999999999999998E-2</v>
      </c>
      <c r="K5" s="17">
        <f>ROUND(1/((G4/I4)+(G5/I5)),2)</f>
        <v>0.18</v>
      </c>
      <c r="L5" s="19">
        <f>G4+G5</f>
        <v>0.44999999999999996</v>
      </c>
      <c r="M5" s="38"/>
      <c r="O5" s="26"/>
      <c r="P5" s="27"/>
      <c r="Q5" s="28">
        <f>$Q$1/(1/G5)</f>
        <v>35.700000000000003</v>
      </c>
    </row>
    <row r="6" spans="2:23">
      <c r="M6" s="39"/>
      <c r="O6" s="21"/>
      <c r="P6" s="21"/>
      <c r="Q6" s="21"/>
    </row>
    <row r="7" spans="2:23" ht="15.75" thickBot="1">
      <c r="I7" s="20" t="s">
        <v>59</v>
      </c>
      <c r="M7" s="39"/>
      <c r="O7" s="21"/>
      <c r="P7" s="21"/>
      <c r="Q7" s="21"/>
    </row>
    <row r="8" spans="2:23" ht="15.75" thickBot="1">
      <c r="B8" t="s">
        <v>71</v>
      </c>
      <c r="C8" s="12"/>
      <c r="D8" s="13" t="s">
        <v>53</v>
      </c>
      <c r="E8" s="12">
        <v>0.31</v>
      </c>
      <c r="F8" s="13" t="s">
        <v>54</v>
      </c>
      <c r="G8" s="12">
        <v>0.25</v>
      </c>
      <c r="H8" s="13" t="s">
        <v>57</v>
      </c>
      <c r="I8" s="20">
        <f t="shared" ref="I8:I9" si="0">IF(E8,E8,C8*G8)</f>
        <v>0.31</v>
      </c>
      <c r="K8" s="16" t="s">
        <v>58</v>
      </c>
      <c r="L8" s="18" t="s">
        <v>60</v>
      </c>
      <c r="M8" s="38"/>
      <c r="O8" s="23">
        <f>100*100/(23.8*37.5)</f>
        <v>11.204481792717086</v>
      </c>
      <c r="P8" s="24">
        <v>6.52</v>
      </c>
      <c r="Q8" s="25">
        <f>P8*O8</f>
        <v>73.053221288515402</v>
      </c>
    </row>
    <row r="9" spans="2:23" ht="15.75" thickBot="1">
      <c r="B9" t="s">
        <v>55</v>
      </c>
      <c r="C9" s="14"/>
      <c r="D9" s="15" t="s">
        <v>53</v>
      </c>
      <c r="E9" s="14">
        <v>4.4999999999999998E-2</v>
      </c>
      <c r="F9" s="15" t="s">
        <v>54</v>
      </c>
      <c r="G9" s="14">
        <v>0.2</v>
      </c>
      <c r="H9" s="15" t="s">
        <v>57</v>
      </c>
      <c r="I9" s="20">
        <f t="shared" si="0"/>
        <v>4.4999999999999998E-2</v>
      </c>
      <c r="K9" s="17">
        <f>ROUND(1/((G8/I8)+(G9/I9)),2)</f>
        <v>0.19</v>
      </c>
      <c r="L9" s="19">
        <f>G8+G9</f>
        <v>0.45</v>
      </c>
      <c r="M9" s="38"/>
      <c r="O9" s="26"/>
      <c r="P9" s="27"/>
      <c r="Q9" s="28">
        <f>$Q$1/(1/G9)</f>
        <v>34</v>
      </c>
    </row>
    <row r="10" spans="2:23">
      <c r="M10" s="39"/>
      <c r="O10" s="21"/>
      <c r="P10" s="21"/>
      <c r="Q10" s="21"/>
    </row>
    <row r="11" spans="2:23" ht="15.75" thickBot="1">
      <c r="I11" s="20" t="s">
        <v>59</v>
      </c>
      <c r="M11" s="39"/>
      <c r="O11" s="21"/>
      <c r="P11" s="21"/>
      <c r="Q11" s="21"/>
    </row>
    <row r="12" spans="2:23" ht="15.75" thickBot="1">
      <c r="B12" t="s">
        <v>72</v>
      </c>
      <c r="C12" s="12">
        <v>0.35</v>
      </c>
      <c r="D12" s="13" t="s">
        <v>53</v>
      </c>
      <c r="E12" s="12"/>
      <c r="F12" s="13" t="s">
        <v>54</v>
      </c>
      <c r="G12" s="12">
        <v>0.38</v>
      </c>
      <c r="H12" s="13" t="s">
        <v>57</v>
      </c>
      <c r="I12" s="20">
        <f t="shared" ref="I12:I13" si="1">IF(E12,E12,C12*G12)</f>
        <v>0.13299999999999998</v>
      </c>
      <c r="K12" s="16" t="s">
        <v>58</v>
      </c>
      <c r="L12" s="18" t="s">
        <v>60</v>
      </c>
      <c r="M12" s="38"/>
      <c r="O12" s="23">
        <f>100*100/(23.8*24.8)</f>
        <v>16.942260775277852</v>
      </c>
      <c r="P12" s="24">
        <v>6.85</v>
      </c>
      <c r="Q12" s="25">
        <f>P12*O12</f>
        <v>116.05448631065327</v>
      </c>
    </row>
    <row r="13" spans="2:23" ht="15.75" thickBot="1">
      <c r="B13" t="s">
        <v>55</v>
      </c>
      <c r="C13" s="14"/>
      <c r="D13" s="15" t="s">
        <v>53</v>
      </c>
      <c r="E13" s="14">
        <v>4.4999999999999998E-2</v>
      </c>
      <c r="F13" s="15" t="s">
        <v>54</v>
      </c>
      <c r="G13" s="14">
        <v>7.0000000000000007E-2</v>
      </c>
      <c r="H13" s="15" t="s">
        <v>57</v>
      </c>
      <c r="I13" s="20">
        <f t="shared" si="1"/>
        <v>4.4999999999999998E-2</v>
      </c>
      <c r="K13" s="17">
        <f>ROUND(1/((G12/I12)+(G13/I13)),2)</f>
        <v>0.23</v>
      </c>
      <c r="L13" s="19">
        <f>G12+G13</f>
        <v>0.45</v>
      </c>
      <c r="M13" s="38"/>
      <c r="O13" s="26"/>
      <c r="P13" s="27"/>
      <c r="Q13" s="28">
        <f>$Q$1/(1/G13)</f>
        <v>11.9</v>
      </c>
    </row>
    <row r="14" spans="2:23" ht="15.75" thickBot="1">
      <c r="M14" s="39"/>
      <c r="O14" s="21"/>
      <c r="P14" s="21"/>
      <c r="Q14" s="21"/>
    </row>
    <row r="15" spans="2:23" ht="15.75" thickBot="1">
      <c r="B15" t="s">
        <v>73</v>
      </c>
      <c r="C15" s="12">
        <v>0.53</v>
      </c>
      <c r="D15" s="13" t="s">
        <v>53</v>
      </c>
      <c r="E15" s="12"/>
      <c r="F15" s="13" t="s">
        <v>54</v>
      </c>
      <c r="G15" s="12">
        <v>0.25</v>
      </c>
      <c r="H15" s="13" t="s">
        <v>57</v>
      </c>
      <c r="I15" s="20">
        <f>IF(E15,E15,C15*G15)</f>
        <v>0.13250000000000001</v>
      </c>
      <c r="K15" s="16" t="s">
        <v>58</v>
      </c>
      <c r="L15" s="18" t="s">
        <v>60</v>
      </c>
      <c r="M15" s="38"/>
      <c r="N15" t="s">
        <v>85</v>
      </c>
      <c r="O15" s="23">
        <f>100*100/(23.8*30)</f>
        <v>14.005602240896359</v>
      </c>
      <c r="P15" s="24">
        <v>8.1199999999999992</v>
      </c>
      <c r="Q15" s="40">
        <f>P15*O15</f>
        <v>113.72549019607843</v>
      </c>
      <c r="W15" s="42"/>
    </row>
    <row r="16" spans="2:23" ht="15.75" thickBot="1">
      <c r="B16" t="s">
        <v>55</v>
      </c>
      <c r="C16" s="14"/>
      <c r="D16" s="15" t="s">
        <v>53</v>
      </c>
      <c r="E16" s="14">
        <v>4.4999999999999998E-2</v>
      </c>
      <c r="F16" s="15" t="s">
        <v>54</v>
      </c>
      <c r="G16" s="14">
        <v>0.2</v>
      </c>
      <c r="H16" s="15" t="s">
        <v>57</v>
      </c>
      <c r="I16" s="20">
        <f>IF(E16,E16,C16*G16)</f>
        <v>4.4999999999999998E-2</v>
      </c>
      <c r="K16" s="17">
        <f>ROUND(1/((G15/I15)+(G16/I16)),2)</f>
        <v>0.16</v>
      </c>
      <c r="L16" s="19">
        <f>G15+G16</f>
        <v>0.45</v>
      </c>
      <c r="M16" s="38"/>
      <c r="N16" t="s">
        <v>55</v>
      </c>
      <c r="O16" s="26"/>
      <c r="P16" s="27"/>
      <c r="Q16" s="41">
        <f>$Q$1/(1/G16)</f>
        <v>34</v>
      </c>
    </row>
    <row r="17" spans="2:19" ht="15.75" thickBot="1">
      <c r="M17" s="39"/>
      <c r="N17" t="s">
        <v>84</v>
      </c>
      <c r="O17" s="26"/>
      <c r="P17" s="27"/>
      <c r="Q17" s="41">
        <v>12</v>
      </c>
      <c r="R17" t="s">
        <v>86</v>
      </c>
      <c r="S17" s="21">
        <f>Q15+Q16+Q17</f>
        <v>159.72549019607843</v>
      </c>
    </row>
    <row r="18" spans="2:19" ht="15.75" thickBot="1">
      <c r="B18" s="3" t="s">
        <v>75</v>
      </c>
      <c r="I18" s="20" t="s">
        <v>59</v>
      </c>
      <c r="M18" s="39"/>
      <c r="O18" s="21"/>
      <c r="P18" s="21"/>
      <c r="Q18" s="21"/>
    </row>
    <row r="19" spans="2:19" ht="15.75" thickBot="1">
      <c r="B19" t="s">
        <v>76</v>
      </c>
      <c r="C19" s="12"/>
      <c r="D19" s="13" t="s">
        <v>53</v>
      </c>
      <c r="E19" s="12">
        <v>0.16</v>
      </c>
      <c r="F19" s="13" t="s">
        <v>54</v>
      </c>
      <c r="G19" s="12">
        <v>0.25</v>
      </c>
      <c r="H19" s="13" t="s">
        <v>57</v>
      </c>
      <c r="I19" s="20">
        <f t="shared" ref="I19:I20" si="2">IF(E19,E19,C19*G19)</f>
        <v>0.16</v>
      </c>
      <c r="K19" s="16" t="s">
        <v>58</v>
      </c>
      <c r="L19" s="18" t="s">
        <v>60</v>
      </c>
      <c r="M19" s="38"/>
      <c r="N19" t="s">
        <v>87</v>
      </c>
      <c r="O19" s="23">
        <f>100*100/(19.9*59.9)</f>
        <v>8.3891913658442459</v>
      </c>
      <c r="P19" s="24">
        <v>6.64</v>
      </c>
      <c r="Q19" s="25">
        <f>P19*O19</f>
        <v>55.704230669205792</v>
      </c>
    </row>
    <row r="20" spans="2:19" ht="15.75" thickBot="1">
      <c r="B20" t="s">
        <v>55</v>
      </c>
      <c r="C20" s="14"/>
      <c r="D20" s="15" t="s">
        <v>53</v>
      </c>
      <c r="E20" s="14">
        <v>4.4999999999999998E-2</v>
      </c>
      <c r="F20" s="15" t="s">
        <v>54</v>
      </c>
      <c r="G20" s="14">
        <v>0.2</v>
      </c>
      <c r="H20" s="15" t="s">
        <v>57</v>
      </c>
      <c r="I20" s="20">
        <f t="shared" si="2"/>
        <v>4.4999999999999998E-2</v>
      </c>
      <c r="K20" s="17">
        <f>ROUND(1/((G19/I19)+(G20/I20)),2)</f>
        <v>0.17</v>
      </c>
      <c r="L20" s="19">
        <f>G19+G20</f>
        <v>0.45</v>
      </c>
      <c r="M20" s="38"/>
      <c r="N20" t="s">
        <v>55</v>
      </c>
      <c r="O20" s="26"/>
      <c r="P20" s="27"/>
      <c r="Q20" s="28">
        <f>$Q$1/(1/G20)</f>
        <v>34</v>
      </c>
    </row>
    <row r="21" spans="2:19" ht="15.75" thickBot="1">
      <c r="M21" s="39"/>
      <c r="N21" t="s">
        <v>84</v>
      </c>
      <c r="O21" s="26"/>
      <c r="P21" s="27"/>
      <c r="Q21" s="41"/>
      <c r="R21" t="s">
        <v>86</v>
      </c>
      <c r="S21" s="21">
        <f>Q19+Q20+Q21</f>
        <v>89.704230669205799</v>
      </c>
    </row>
    <row r="22" spans="2:19" ht="15.75" thickBot="1">
      <c r="B22" s="3" t="s">
        <v>77</v>
      </c>
      <c r="I22" s="20" t="s">
        <v>59</v>
      </c>
      <c r="M22" s="39"/>
      <c r="O22" s="21"/>
      <c r="P22" s="21"/>
      <c r="Q22" s="21"/>
    </row>
    <row r="23" spans="2:19" ht="15.75" thickBot="1">
      <c r="B23" t="s">
        <v>78</v>
      </c>
      <c r="C23" s="12"/>
      <c r="D23" s="13" t="s">
        <v>53</v>
      </c>
      <c r="E23" s="12">
        <v>0.81</v>
      </c>
      <c r="F23" s="13" t="s">
        <v>54</v>
      </c>
      <c r="G23" s="12">
        <v>0.18</v>
      </c>
      <c r="H23" s="13" t="s">
        <v>57</v>
      </c>
      <c r="I23" s="20">
        <f t="shared" ref="I23:I24" si="3">IF(E23,E23,C23*G23)</f>
        <v>0.81</v>
      </c>
      <c r="K23" s="16" t="s">
        <v>58</v>
      </c>
      <c r="L23" s="18" t="s">
        <v>60</v>
      </c>
      <c r="M23" s="38"/>
      <c r="N23" t="s">
        <v>87</v>
      </c>
      <c r="O23" s="23">
        <f>100*100/(19.9*33.3)</f>
        <v>15.090467351773889</v>
      </c>
      <c r="P23" s="24">
        <v>7.54</v>
      </c>
      <c r="Q23" s="25">
        <f>P23*O23</f>
        <v>113.78212383237512</v>
      </c>
    </row>
    <row r="24" spans="2:19" ht="15.75" thickBot="1">
      <c r="B24" t="s">
        <v>55</v>
      </c>
      <c r="C24" s="14"/>
      <c r="D24" s="15" t="s">
        <v>53</v>
      </c>
      <c r="E24" s="14">
        <v>4.4999999999999998E-2</v>
      </c>
      <c r="F24" s="15" t="s">
        <v>54</v>
      </c>
      <c r="G24" s="14">
        <v>0.27</v>
      </c>
      <c r="H24" s="15" t="s">
        <v>57</v>
      </c>
      <c r="I24" s="20">
        <f t="shared" si="3"/>
        <v>4.4999999999999998E-2</v>
      </c>
      <c r="K24" s="17">
        <f>ROUND(1/((G23/I23)+(G24/I24)),2)</f>
        <v>0.16</v>
      </c>
      <c r="L24" s="19">
        <f>G23+G24</f>
        <v>0.45</v>
      </c>
      <c r="M24" s="38"/>
      <c r="N24" t="s">
        <v>55</v>
      </c>
      <c r="O24" s="26"/>
      <c r="P24" s="27"/>
      <c r="Q24" s="28">
        <f>$Q$1/(1/G24)</f>
        <v>45.900000000000006</v>
      </c>
    </row>
    <row r="25" spans="2:19" ht="15.75" thickBot="1">
      <c r="M25" s="39"/>
      <c r="N25" t="s">
        <v>84</v>
      </c>
      <c r="O25" s="26"/>
      <c r="P25" s="27"/>
      <c r="Q25" s="41">
        <v>7.5</v>
      </c>
      <c r="R25" t="s">
        <v>86</v>
      </c>
      <c r="S25" s="21">
        <f>Q23+Q24+Q25</f>
        <v>167.18212383237511</v>
      </c>
    </row>
    <row r="37" spans="1:7">
      <c r="B37" t="s">
        <v>79</v>
      </c>
      <c r="C37" s="34">
        <v>170</v>
      </c>
      <c r="F37" t="s">
        <v>67</v>
      </c>
    </row>
    <row r="38" spans="1:7">
      <c r="A38" t="s">
        <v>80</v>
      </c>
      <c r="B38">
        <v>5</v>
      </c>
      <c r="C38">
        <f>1/B38*100</f>
        <v>20</v>
      </c>
      <c r="D38" s="35">
        <f t="shared" ref="D38:D41" si="4">$C$37/C38</f>
        <v>8.5</v>
      </c>
    </row>
    <row r="39" spans="1:7">
      <c r="B39">
        <v>10</v>
      </c>
      <c r="C39">
        <f t="shared" ref="C39:C42" si="5">1/B39*100</f>
        <v>10</v>
      </c>
      <c r="D39" s="35">
        <f t="shared" si="4"/>
        <v>17</v>
      </c>
      <c r="F39" t="s">
        <v>68</v>
      </c>
      <c r="G39">
        <v>0.31</v>
      </c>
    </row>
    <row r="40" spans="1:7">
      <c r="B40">
        <v>12</v>
      </c>
      <c r="C40">
        <f t="shared" si="5"/>
        <v>8.3333333333333321</v>
      </c>
      <c r="D40" s="35">
        <f t="shared" si="4"/>
        <v>20.400000000000002</v>
      </c>
      <c r="F40" t="s">
        <v>69</v>
      </c>
      <c r="G40">
        <v>0.25</v>
      </c>
    </row>
    <row r="41" spans="1:7">
      <c r="B41">
        <v>15</v>
      </c>
      <c r="C41">
        <f t="shared" si="5"/>
        <v>6.666666666666667</v>
      </c>
      <c r="D41" s="35">
        <f t="shared" si="4"/>
        <v>25.5</v>
      </c>
      <c r="F41" t="s">
        <v>70</v>
      </c>
      <c r="G41">
        <f>G39/G40</f>
        <v>1.24</v>
      </c>
    </row>
    <row r="42" spans="1:7">
      <c r="B42">
        <v>20</v>
      </c>
      <c r="C42">
        <f t="shared" si="5"/>
        <v>5</v>
      </c>
      <c r="D42" s="35">
        <f>$C$37/C42</f>
        <v>34</v>
      </c>
    </row>
    <row r="43" spans="1:7">
      <c r="C43" t="s">
        <v>81</v>
      </c>
    </row>
    <row r="45" spans="1:7">
      <c r="D45" t="s">
        <v>82</v>
      </c>
    </row>
    <row r="46" spans="1:7">
      <c r="D46">
        <v>5</v>
      </c>
      <c r="E46">
        <f>$C$37/(1/D46*100)</f>
        <v>8.5</v>
      </c>
    </row>
    <row r="47" spans="1:7">
      <c r="D47">
        <v>10</v>
      </c>
      <c r="E47">
        <f t="shared" ref="E47:E49" si="6">$C$37/(1/D47*100)</f>
        <v>17</v>
      </c>
    </row>
    <row r="48" spans="1:7">
      <c r="D48">
        <v>15</v>
      </c>
      <c r="E48">
        <f t="shared" si="6"/>
        <v>25.5</v>
      </c>
    </row>
    <row r="49" spans="4:5">
      <c r="D49">
        <v>20</v>
      </c>
      <c r="E49">
        <f t="shared" si="6"/>
        <v>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Materiały budowlane - wady</vt:lpstr>
      <vt:lpstr>Termoizolacyjność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2013-01-25T20:49:18Z</dcterms:modified>
</cp:coreProperties>
</file>