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60" windowWidth="11295" windowHeight="5580" activeTab="2"/>
  </bookViews>
  <sheets>
    <sheet name="Ranking" sheetId="1" r:id="rId1"/>
    <sheet name="Materiały budowlane - wady" sheetId="2" r:id="rId2"/>
    <sheet name="Termoizolacyjność" sheetId="3" r:id="rId3"/>
  </sheets>
  <calcPr calcId="124519"/>
</workbook>
</file>

<file path=xl/calcChain.xml><?xml version="1.0" encoding="utf-8"?>
<calcChain xmlns="http://schemas.openxmlformats.org/spreadsheetml/2006/main">
  <c r="F39" i="3"/>
  <c r="G39"/>
  <c r="I39"/>
  <c r="F38"/>
  <c r="G38"/>
  <c r="I38"/>
  <c r="F36"/>
  <c r="I36" s="1"/>
  <c r="G36"/>
  <c r="F37"/>
  <c r="G37"/>
  <c r="I37"/>
  <c r="G34"/>
  <c r="G35"/>
  <c r="F35"/>
  <c r="I35"/>
  <c r="F34"/>
  <c r="I34" s="1"/>
  <c r="G33"/>
  <c r="I29"/>
  <c r="K29"/>
  <c r="F33"/>
  <c r="I33" s="1"/>
  <c r="T28"/>
  <c r="L29" l="1"/>
  <c r="I28"/>
  <c r="M29" s="1"/>
  <c r="B22" i="1"/>
  <c r="B20"/>
  <c r="B21"/>
  <c r="B23"/>
  <c r="B24"/>
  <c r="Q24" i="3"/>
  <c r="Q20"/>
  <c r="Q16"/>
  <c r="Q13"/>
  <c r="Q9"/>
  <c r="Q5"/>
  <c r="E54"/>
  <c r="E55"/>
  <c r="E56"/>
  <c r="E53"/>
  <c r="C45"/>
  <c r="D45" s="1"/>
  <c r="C46"/>
  <c r="D46" s="1"/>
  <c r="C47"/>
  <c r="D47" s="1"/>
  <c r="C48"/>
  <c r="D48" s="1"/>
  <c r="C49"/>
  <c r="D49" s="1"/>
  <c r="O23"/>
  <c r="Q23" s="1"/>
  <c r="O19"/>
  <c r="Q19" s="1"/>
  <c r="S21" s="1"/>
  <c r="T21" s="1"/>
  <c r="O15"/>
  <c r="Q15" s="1"/>
  <c r="O12"/>
  <c r="Q12" s="1"/>
  <c r="Q8"/>
  <c r="O8"/>
  <c r="G48"/>
  <c r="O4"/>
  <c r="Q4" s="1"/>
  <c r="L24"/>
  <c r="I24"/>
  <c r="I23"/>
  <c r="L20"/>
  <c r="I20"/>
  <c r="I19"/>
  <c r="L16"/>
  <c r="I16"/>
  <c r="I15"/>
  <c r="L13"/>
  <c r="I13"/>
  <c r="I12"/>
  <c r="L9"/>
  <c r="L5"/>
  <c r="I8"/>
  <c r="I9"/>
  <c r="I5"/>
  <c r="I4"/>
  <c r="D27" i="2"/>
  <c r="D26"/>
  <c r="E3" i="1"/>
  <c r="E4"/>
  <c r="E5"/>
  <c r="E6"/>
  <c r="E7"/>
  <c r="E8"/>
  <c r="E9"/>
  <c r="E11"/>
  <c r="E12"/>
  <c r="E13"/>
  <c r="E2"/>
  <c r="D14"/>
  <c r="C14"/>
  <c r="K20" i="3" l="1"/>
  <c r="M20" s="1"/>
  <c r="S17"/>
  <c r="T17" s="1"/>
  <c r="S25"/>
  <c r="T25" s="1"/>
  <c r="K24"/>
  <c r="M24" s="1"/>
  <c r="K16"/>
  <c r="M16" s="1"/>
  <c r="K5"/>
  <c r="M5" s="1"/>
  <c r="K13"/>
  <c r="M13" s="1"/>
  <c r="K9"/>
  <c r="M9" s="1"/>
  <c r="E14" i="1"/>
</calcChain>
</file>

<file path=xl/sharedStrings.xml><?xml version="1.0" encoding="utf-8"?>
<sst xmlns="http://schemas.openxmlformats.org/spreadsheetml/2006/main" count="204" uniqueCount="125">
  <si>
    <t>Bezpieczeństwo</t>
  </si>
  <si>
    <t>Ognioodporność</t>
  </si>
  <si>
    <t>Ekologiczność (brak zanieczyszczeń środowiska przy produkcji materiału)</t>
  </si>
  <si>
    <t>Zdrowie (brak szkodliwych substancji, które sa wydzielane podczas użytkowania)</t>
  </si>
  <si>
    <t>Obsługa</t>
  </si>
  <si>
    <t>Budowa</t>
  </si>
  <si>
    <t>Trwałość (tzn np. brak pęknięć)</t>
  </si>
  <si>
    <t>Koszt budowy m2 (wraz z ociepleniem, tynkami zewn, gładzią wew, tynkami wew)</t>
  </si>
  <si>
    <t>Zawilgocenia (skutkujące np. zapleśnieniem lub uszkodzeniem tynków wew)</t>
  </si>
  <si>
    <t>Łatwość budowy/montażu</t>
  </si>
  <si>
    <t>Łatwa obróbka przy remontach (wbijanie gwożdzi, zmiany w instalacji)</t>
  </si>
  <si>
    <t>Cechy materiału</t>
  </si>
  <si>
    <t>Suma punktów</t>
  </si>
  <si>
    <t>Szczelność budynku</t>
  </si>
  <si>
    <t>Akumulacja ciepła</t>
  </si>
  <si>
    <t>Izolacyjnośc akustyczna</t>
  </si>
  <si>
    <t>Termoizolacyjność (licząc z ociepleniem)</t>
  </si>
  <si>
    <t>Beton komórkowy</t>
  </si>
  <si>
    <t>Nasiąkliwy</t>
  </si>
  <si>
    <t>Cecha</t>
  </si>
  <si>
    <t>Co to oznacza?</t>
  </si>
  <si>
    <t>Wchłania np.. Wodę opadową</t>
  </si>
  <si>
    <t>Jakie są tego konsekwencje?</t>
  </si>
  <si>
    <t>Łatwy w obróbce</t>
  </si>
  <si>
    <t>Łatwo się przycina</t>
  </si>
  <si>
    <t>Łatwy w budowie, łatwo zrobić bruzdy pod instalacje'</t>
  </si>
  <si>
    <t>Trwałość wg Glapy</t>
  </si>
  <si>
    <t>Ceramika</t>
  </si>
  <si>
    <t>Silikat</t>
  </si>
  <si>
    <t>Thermomur</t>
  </si>
  <si>
    <t>~65lat</t>
  </si>
  <si>
    <t>~85lat</t>
  </si>
  <si>
    <t>~120lat</t>
  </si>
  <si>
    <t>Burza mózgów (każdy ma 100pkt do rozdzielenia na 6 cech)</t>
  </si>
  <si>
    <t>Suma</t>
  </si>
  <si>
    <t>Słonka</t>
  </si>
  <si>
    <t>Słonek</t>
  </si>
  <si>
    <t>ceramika</t>
  </si>
  <si>
    <t>silikat</t>
  </si>
  <si>
    <t>beton komórkowy</t>
  </si>
  <si>
    <t>termomur, silikat</t>
  </si>
  <si>
    <t>termomur</t>
  </si>
  <si>
    <t>ceramika, beton komórkowy</t>
  </si>
  <si>
    <t>najlepszy</t>
  </si>
  <si>
    <t>najgorszy</t>
  </si>
  <si>
    <t>b.d</t>
  </si>
  <si>
    <t>?</t>
  </si>
  <si>
    <t>Porotherm</t>
  </si>
  <si>
    <t>Krucha</t>
  </si>
  <si>
    <t>Trzeba się delikatnie obchodzić podczas transportu i na budowie. Ostrożnie wiercić w scianach.</t>
  </si>
  <si>
    <t>Nasiąkliwa</t>
  </si>
  <si>
    <t>Unikać na budowie nadmiernego zalewania</t>
  </si>
  <si>
    <t>U [W/mK]</t>
  </si>
  <si>
    <r>
      <rPr>
        <sz val="11"/>
        <color theme="1"/>
        <rFont val="DejaVu Sans"/>
        <family val="2"/>
        <charset val="238"/>
      </rPr>
      <t>λ</t>
    </r>
    <r>
      <rPr>
        <sz val="11"/>
        <color theme="1"/>
        <rFont val="Calibri"/>
        <family val="2"/>
        <charset val="238"/>
      </rPr>
      <t xml:space="preserve"> [</t>
    </r>
    <r>
      <rPr>
        <sz val="11"/>
        <color theme="1"/>
        <rFont val="Calibri"/>
        <family val="2"/>
        <charset val="238"/>
        <scheme val="minor"/>
      </rPr>
      <t>W/m2K]</t>
    </r>
  </si>
  <si>
    <t>Styropian</t>
  </si>
  <si>
    <t>grubość</t>
  </si>
  <si>
    <t>[m]</t>
  </si>
  <si>
    <t>U całej przegrody</t>
  </si>
  <si>
    <t>λ</t>
  </si>
  <si>
    <t>Grubość ściany</t>
  </si>
  <si>
    <t xml:space="preserve"> </t>
  </si>
  <si>
    <t>Wpisz λ [W/m2K] a jeśli nie znasz to wpisz U. Pole z λ pozostaw wtedy puste.</t>
  </si>
  <si>
    <t>Pustak ceramiczny: MEGA-MAX 240/238 P+W, CERPOL-KOZŁOWICE Sp. z o. o.</t>
  </si>
  <si>
    <t>szt/m2</t>
  </si>
  <si>
    <t>cena szt</t>
  </si>
  <si>
    <t>koszt m2</t>
  </si>
  <si>
    <t>U = l / d</t>
  </si>
  <si>
    <t>l</t>
  </si>
  <si>
    <t>d</t>
  </si>
  <si>
    <t>U</t>
  </si>
  <si>
    <t>THERMOPOR 25 P+W Leier S.A.</t>
  </si>
  <si>
    <t>Porotherm 38 P+W, WIENERBERGER</t>
  </si>
  <si>
    <t>Porotherm 25/30 AKU, WIEERBERGER</t>
  </si>
  <si>
    <t>CERAMIKA</t>
  </si>
  <si>
    <t>BETON KOMÓRKOWY</t>
  </si>
  <si>
    <t>YTONG PP 4/0.6 S+GT gr. 24cm</t>
  </si>
  <si>
    <t>SILIKAT</t>
  </si>
  <si>
    <t>SILKA E 18A</t>
  </si>
  <si>
    <t>1m3</t>
  </si>
  <si>
    <t>cm</t>
  </si>
  <si>
    <t>m2</t>
  </si>
  <si>
    <t>grubosc [cm]</t>
  </si>
  <si>
    <t>1m3 styropianu</t>
  </si>
  <si>
    <t>Zaprawa</t>
  </si>
  <si>
    <t>Pustak</t>
  </si>
  <si>
    <t>Razem</t>
  </si>
  <si>
    <t>Bloczek</t>
  </si>
  <si>
    <r>
      <rPr>
        <sz val="11"/>
        <color theme="1"/>
        <rFont val="DejaVu Sans"/>
        <family val="2"/>
        <charset val="238"/>
      </rPr>
      <t>λ</t>
    </r>
    <r>
      <rPr>
        <sz val="11"/>
        <color theme="1"/>
        <rFont val="Calibri"/>
        <family val="2"/>
        <charset val="238"/>
      </rPr>
      <t xml:space="preserve"> [</t>
    </r>
    <r>
      <rPr>
        <sz val="11"/>
        <color theme="1"/>
        <rFont val="Calibri"/>
        <family val="2"/>
        <charset val="238"/>
        <scheme val="minor"/>
      </rPr>
      <t>W/mK]</t>
    </r>
  </si>
  <si>
    <t>x</t>
  </si>
  <si>
    <t>Zdrowie</t>
  </si>
  <si>
    <t>Trwałość</t>
  </si>
  <si>
    <t>Zawilgocenia</t>
  </si>
  <si>
    <t>Szczelność</t>
  </si>
  <si>
    <t>Termoizolacyjność</t>
  </si>
  <si>
    <t>Koszt budowy</t>
  </si>
  <si>
    <t>Łatwa obróbka</t>
  </si>
  <si>
    <t>Ranking</t>
  </si>
  <si>
    <t>Keramzybeton</t>
  </si>
  <si>
    <t>usunięte/nie znaczące</t>
  </si>
  <si>
    <t>Keramzytobeton</t>
  </si>
  <si>
    <t>Termo Optiroc Akustyczny 18</t>
  </si>
  <si>
    <t>1,7kWh</t>
  </si>
  <si>
    <t>20min</t>
  </si>
  <si>
    <t xml:space="preserve">beton  </t>
  </si>
  <si>
    <t>4,25kWh</t>
  </si>
  <si>
    <t>porotherm</t>
  </si>
  <si>
    <t>6,7kWh</t>
  </si>
  <si>
    <t>1h20min</t>
  </si>
  <si>
    <t>12kWh</t>
  </si>
  <si>
    <t>2h30min</t>
  </si>
  <si>
    <t>50min</t>
  </si>
  <si>
    <t>WYBÓR STYROPIANU</t>
  </si>
  <si>
    <t>Styropian biały</t>
  </si>
  <si>
    <t>Styropian grafitowy</t>
  </si>
  <si>
    <t>λ [W/m2K]</t>
  </si>
  <si>
    <t>Powierzchnia [m2]</t>
  </si>
  <si>
    <t>Grubość[m]</t>
  </si>
  <si>
    <t>Ile m3?</t>
  </si>
  <si>
    <t>Cena m3</t>
  </si>
  <si>
    <t>Koszt całk</t>
  </si>
  <si>
    <t>Styropian 0,0031</t>
  </si>
  <si>
    <t>S. biały Manex</t>
  </si>
  <si>
    <t>S. grafit Manex</t>
  </si>
  <si>
    <t>Swisspor LAMBDA EPS 031 gr. 18</t>
  </si>
  <si>
    <t>Swisspor Lambda EPS 031 Fasada 20 cm</t>
  </si>
</sst>
</file>

<file path=xl/styles.xml><?xml version="1.0" encoding="utf-8"?>
<styleSheet xmlns="http://schemas.openxmlformats.org/spreadsheetml/2006/main">
  <numFmts count="4">
    <numFmt numFmtId="6" formatCode="#,##0\ &quot;zł&quot;;[Red]\-#,##0\ &quot;zł&quot;"/>
    <numFmt numFmtId="44" formatCode="_-* #,##0.00\ &quot;zł&quot;_-;\-* #,##0.00\ &quot;zł&quot;_-;_-* &quot;-&quot;??\ &quot;zł&quot;_-;_-@_-"/>
    <numFmt numFmtId="164" formatCode="#,##0.0\ &quot;zł&quot;;[Red]\-#,##0.0\ &quot;zł&quot;"/>
    <numFmt numFmtId="165" formatCode="#,##0.00\ &quot;zł&quot;"/>
  </numFmts>
  <fonts count="9">
    <font>
      <sz val="11"/>
      <color theme="1"/>
      <name val="Calibri"/>
      <family val="2"/>
      <charset val="238"/>
      <scheme val="minor"/>
    </font>
    <font>
      <sz val="10"/>
      <color rgb="FFCC0000"/>
      <name val="Calibri"/>
      <family val="2"/>
      <charset val="238"/>
      <scheme val="minor"/>
    </font>
    <font>
      <sz val="10"/>
      <color rgb="FF204A87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3" tint="-0.249977111117893"/>
      <name val="Calibri"/>
      <family val="2"/>
      <charset val="238"/>
      <scheme val="minor"/>
    </font>
    <font>
      <b/>
      <sz val="14"/>
      <color theme="3" tint="-0.249977111117893"/>
      <name val="Calibri"/>
      <family val="2"/>
      <charset val="238"/>
      <scheme val="minor"/>
    </font>
    <font>
      <sz val="11"/>
      <color theme="1"/>
      <name val="DejaVu Sans"/>
      <family val="2"/>
      <charset val="238"/>
    </font>
    <font>
      <sz val="11"/>
      <color theme="1"/>
      <name val="Calibri"/>
      <family val="2"/>
      <charset val="238"/>
    </font>
    <font>
      <sz val="11"/>
      <color theme="0" tint="-0.499984740745262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0" fontId="4" fillId="2" borderId="1" xfId="0" applyFont="1" applyFill="1" applyBorder="1"/>
    <xf numFmtId="0" fontId="5" fillId="2" borderId="1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2" xfId="0" applyFill="1" applyBorder="1"/>
    <xf numFmtId="0" fontId="8" fillId="5" borderId="0" xfId="0" applyFont="1" applyFill="1"/>
    <xf numFmtId="2" fontId="0" fillId="0" borderId="0" xfId="0" applyNumberFormat="1"/>
    <xf numFmtId="2" fontId="0" fillId="6" borderId="1" xfId="0" applyNumberFormat="1" applyFill="1" applyBorder="1"/>
    <xf numFmtId="2" fontId="0" fillId="6" borderId="3" xfId="0" applyNumberFormat="1" applyFill="1" applyBorder="1"/>
    <xf numFmtId="2" fontId="0" fillId="6" borderId="10" xfId="0" applyNumberFormat="1" applyFill="1" applyBorder="1"/>
    <xf numFmtId="2" fontId="0" fillId="6" borderId="4" xfId="0" applyNumberFormat="1" applyFill="1" applyBorder="1"/>
    <xf numFmtId="2" fontId="0" fillId="6" borderId="5" xfId="0" applyNumberFormat="1" applyFill="1" applyBorder="1"/>
    <xf numFmtId="2" fontId="0" fillId="6" borderId="11" xfId="0" applyNumberFormat="1" applyFill="1" applyBorder="1"/>
    <xf numFmtId="2" fontId="0" fillId="6" borderId="6" xfId="0" applyNumberFormat="1" applyFill="1" applyBorder="1"/>
    <xf numFmtId="0" fontId="0" fillId="6" borderId="3" xfId="0" applyFill="1" applyBorder="1"/>
    <xf numFmtId="0" fontId="0" fillId="6" borderId="10" xfId="0" applyFill="1" applyBorder="1"/>
    <xf numFmtId="0" fontId="0" fillId="6" borderId="4" xfId="0" applyFill="1" applyBorder="1"/>
    <xf numFmtId="2" fontId="0" fillId="6" borderId="12" xfId="0" applyNumberFormat="1" applyFill="1" applyBorder="1"/>
    <xf numFmtId="2" fontId="0" fillId="6" borderId="13" xfId="0" applyNumberFormat="1" applyFill="1" applyBorder="1"/>
    <xf numFmtId="6" fontId="0" fillId="0" borderId="0" xfId="0" applyNumberFormat="1"/>
    <xf numFmtId="164" fontId="0" fillId="0" borderId="0" xfId="0" applyNumberFormat="1"/>
    <xf numFmtId="0" fontId="0" fillId="5" borderId="0" xfId="0" applyFill="1"/>
    <xf numFmtId="165" fontId="0" fillId="5" borderId="0" xfId="0" applyNumberFormat="1" applyFill="1"/>
    <xf numFmtId="0" fontId="0" fillId="0" borderId="0" xfId="0" applyFill="1" applyBorder="1"/>
    <xf numFmtId="0" fontId="0" fillId="0" borderId="0" xfId="0" applyFill="1"/>
    <xf numFmtId="2" fontId="3" fillId="6" borderId="4" xfId="0" applyNumberFormat="1" applyFont="1" applyFill="1" applyBorder="1"/>
    <xf numFmtId="2" fontId="3" fillId="6" borderId="6" xfId="0" applyNumberFormat="1" applyFont="1" applyFill="1" applyBorder="1"/>
    <xf numFmtId="44" fontId="0" fillId="0" borderId="0" xfId="0" applyNumberFormat="1"/>
    <xf numFmtId="0" fontId="0" fillId="0" borderId="0" xfId="0" applyFont="1"/>
    <xf numFmtId="0" fontId="3" fillId="0" borderId="1" xfId="0" applyFont="1" applyBorder="1"/>
    <xf numFmtId="0" fontId="0" fillId="0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Fill="1" applyBorder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topLeftCell="A13" workbookViewId="0">
      <selection activeCell="B29" sqref="B29"/>
    </sheetView>
  </sheetViews>
  <sheetFormatPr defaultRowHeight="15"/>
  <cols>
    <col min="1" max="1" width="15" customWidth="1"/>
    <col min="2" max="2" width="30.140625" customWidth="1"/>
    <col min="3" max="3" width="10.140625" customWidth="1"/>
    <col min="4" max="4" width="12.85546875" customWidth="1"/>
    <col min="5" max="5" width="12.5703125" bestFit="1" customWidth="1"/>
    <col min="6" max="11" width="13.140625" customWidth="1"/>
  </cols>
  <sheetData>
    <row r="1" spans="1:8">
      <c r="A1" t="s">
        <v>33</v>
      </c>
      <c r="C1" s="9" t="s">
        <v>35</v>
      </c>
      <c r="D1" s="9" t="s">
        <v>36</v>
      </c>
      <c r="E1" s="9" t="s">
        <v>34</v>
      </c>
      <c r="F1" s="9" t="s">
        <v>43</v>
      </c>
      <c r="H1" s="1" t="s">
        <v>44</v>
      </c>
    </row>
    <row r="2" spans="1:8">
      <c r="A2" s="46" t="s">
        <v>0</v>
      </c>
      <c r="B2" s="7" t="s">
        <v>1</v>
      </c>
      <c r="C2" s="4"/>
      <c r="D2" s="4"/>
      <c r="E2" s="4">
        <f>SUM(C2:D2)</f>
        <v>0</v>
      </c>
      <c r="F2" t="s">
        <v>37</v>
      </c>
      <c r="H2" s="2"/>
    </row>
    <row r="3" spans="1:8" ht="45">
      <c r="A3" s="46"/>
      <c r="B3" s="7" t="s">
        <v>2</v>
      </c>
      <c r="C3" s="4"/>
      <c r="D3" s="4"/>
      <c r="E3" s="4">
        <f t="shared" ref="E3:E14" si="0">SUM(C3:D3)</f>
        <v>0</v>
      </c>
      <c r="F3" t="s">
        <v>37</v>
      </c>
      <c r="H3" s="1"/>
    </row>
    <row r="4" spans="1:8" ht="51" customHeight="1">
      <c r="A4" s="46"/>
      <c r="B4" s="7" t="s">
        <v>3</v>
      </c>
      <c r="C4" s="4"/>
      <c r="D4" s="4">
        <v>20</v>
      </c>
      <c r="E4" s="11">
        <f t="shared" si="0"/>
        <v>20</v>
      </c>
      <c r="F4" t="s">
        <v>38</v>
      </c>
      <c r="H4" s="1" t="s">
        <v>39</v>
      </c>
    </row>
    <row r="5" spans="1:8" ht="18.75">
      <c r="A5" s="47" t="s">
        <v>4</v>
      </c>
      <c r="B5" s="8" t="s">
        <v>6</v>
      </c>
      <c r="C5" s="5">
        <v>35</v>
      </c>
      <c r="D5" s="5">
        <v>16</v>
      </c>
      <c r="E5" s="11">
        <f t="shared" si="0"/>
        <v>51</v>
      </c>
      <c r="F5" t="s">
        <v>40</v>
      </c>
      <c r="H5" s="1" t="s">
        <v>39</v>
      </c>
    </row>
    <row r="6" spans="1:8" ht="51" customHeight="1">
      <c r="A6" s="47"/>
      <c r="B6" s="8" t="s">
        <v>8</v>
      </c>
      <c r="C6" s="5">
        <v>20</v>
      </c>
      <c r="D6" s="5">
        <v>17</v>
      </c>
      <c r="E6" s="11">
        <f t="shared" si="0"/>
        <v>37</v>
      </c>
      <c r="H6" s="1"/>
    </row>
    <row r="7" spans="1:8" ht="18.75">
      <c r="A7" s="47"/>
      <c r="B7" s="8" t="s">
        <v>13</v>
      </c>
      <c r="C7" s="5">
        <v>5</v>
      </c>
      <c r="D7" s="5">
        <v>17</v>
      </c>
      <c r="E7" s="11">
        <f t="shared" si="0"/>
        <v>22</v>
      </c>
      <c r="F7" t="s">
        <v>41</v>
      </c>
      <c r="H7" s="1" t="s">
        <v>42</v>
      </c>
    </row>
    <row r="8" spans="1:8" ht="51" customHeight="1">
      <c r="A8" s="47"/>
      <c r="B8" s="8" t="s">
        <v>10</v>
      </c>
      <c r="C8" s="5">
        <v>5</v>
      </c>
      <c r="D8" s="5"/>
      <c r="E8" s="10">
        <f t="shared" si="0"/>
        <v>5</v>
      </c>
    </row>
    <row r="9" spans="1:8" ht="51" customHeight="1">
      <c r="A9" s="46" t="s">
        <v>5</v>
      </c>
      <c r="B9" s="7" t="s">
        <v>7</v>
      </c>
      <c r="C9" s="4"/>
      <c r="D9" s="4">
        <v>10</v>
      </c>
      <c r="E9" s="10">
        <f t="shared" si="0"/>
        <v>10</v>
      </c>
      <c r="F9" t="s">
        <v>45</v>
      </c>
    </row>
    <row r="10" spans="1:8">
      <c r="A10" s="46"/>
      <c r="B10" s="7" t="s">
        <v>9</v>
      </c>
      <c r="C10" s="4"/>
      <c r="D10" s="4"/>
      <c r="E10" s="4"/>
    </row>
    <row r="11" spans="1:8" ht="30">
      <c r="A11" s="47" t="s">
        <v>11</v>
      </c>
      <c r="B11" s="8" t="s">
        <v>16</v>
      </c>
      <c r="C11" s="5">
        <v>20</v>
      </c>
      <c r="D11" s="5">
        <v>20</v>
      </c>
      <c r="E11" s="11">
        <f t="shared" si="0"/>
        <v>40</v>
      </c>
      <c r="F11" t="s">
        <v>39</v>
      </c>
      <c r="H11" t="s">
        <v>46</v>
      </c>
    </row>
    <row r="12" spans="1:8">
      <c r="A12" s="47"/>
      <c r="B12" s="8" t="s">
        <v>14</v>
      </c>
      <c r="C12" s="5">
        <v>15</v>
      </c>
      <c r="D12" s="5"/>
      <c r="E12" s="10">
        <f t="shared" si="0"/>
        <v>15</v>
      </c>
    </row>
    <row r="13" spans="1:8">
      <c r="A13" s="47"/>
      <c r="B13" s="8" t="s">
        <v>15</v>
      </c>
      <c r="C13" s="5"/>
      <c r="D13" s="5"/>
      <c r="E13" s="4">
        <f t="shared" si="0"/>
        <v>0</v>
      </c>
    </row>
    <row r="14" spans="1:8">
      <c r="A14" s="4"/>
      <c r="B14" s="6" t="s">
        <v>12</v>
      </c>
      <c r="C14" s="4">
        <f>SUM(C2:C13)</f>
        <v>100</v>
      </c>
      <c r="D14" s="4">
        <f>SUM(D2:D13)</f>
        <v>100</v>
      </c>
      <c r="E14" s="4">
        <f t="shared" si="0"/>
        <v>200</v>
      </c>
    </row>
    <row r="18" spans="1:11">
      <c r="F18" s="9" t="s">
        <v>98</v>
      </c>
    </row>
    <row r="19" spans="1:11">
      <c r="A19" s="3"/>
      <c r="B19" t="s">
        <v>96</v>
      </c>
      <c r="C19" s="43" t="s">
        <v>26</v>
      </c>
      <c r="D19" t="s">
        <v>89</v>
      </c>
      <c r="E19" t="s">
        <v>90</v>
      </c>
      <c r="F19" t="s">
        <v>91</v>
      </c>
      <c r="G19" t="s">
        <v>92</v>
      </c>
      <c r="H19" t="s">
        <v>93</v>
      </c>
      <c r="I19" t="s">
        <v>14</v>
      </c>
      <c r="J19" t="s">
        <v>94</v>
      </c>
      <c r="K19" t="s">
        <v>95</v>
      </c>
    </row>
    <row r="20" spans="1:11">
      <c r="A20" t="s">
        <v>17</v>
      </c>
      <c r="B20">
        <f t="shared" ref="B20:B24" si="1">D20*1+E20*2.55+F20*1.85+G20*1.1+H20*2+I20*0.75+J20*0.5+K20*0.25</f>
        <v>51.35</v>
      </c>
      <c r="C20" t="s">
        <v>30</v>
      </c>
      <c r="D20">
        <v>9</v>
      </c>
      <c r="E20">
        <v>1</v>
      </c>
      <c r="G20">
        <v>8</v>
      </c>
      <c r="H20">
        <v>8</v>
      </c>
      <c r="I20">
        <v>10</v>
      </c>
      <c r="J20">
        <v>10</v>
      </c>
      <c r="K20">
        <v>10</v>
      </c>
    </row>
    <row r="21" spans="1:11">
      <c r="A21" t="s">
        <v>27</v>
      </c>
      <c r="B21">
        <f t="shared" si="1"/>
        <v>56.05</v>
      </c>
      <c r="C21" t="s">
        <v>31</v>
      </c>
      <c r="D21">
        <v>4.5</v>
      </c>
      <c r="E21">
        <v>9</v>
      </c>
      <c r="G21">
        <v>6</v>
      </c>
      <c r="H21">
        <v>7</v>
      </c>
      <c r="I21">
        <v>4</v>
      </c>
      <c r="J21">
        <v>5</v>
      </c>
      <c r="K21">
        <v>10</v>
      </c>
    </row>
    <row r="22" spans="1:11">
      <c r="A22" t="s">
        <v>97</v>
      </c>
      <c r="B22">
        <f>D22*1+E22*2.55+F22*1.85+G22*1.1+H22*2+I22*0.75+J22*0.5+K22*0.25</f>
        <v>44.7</v>
      </c>
      <c r="D22">
        <v>6.5</v>
      </c>
      <c r="E22">
        <v>3</v>
      </c>
      <c r="G22">
        <v>8</v>
      </c>
      <c r="H22">
        <v>7</v>
      </c>
      <c r="I22">
        <v>5</v>
      </c>
      <c r="J22">
        <v>5</v>
      </c>
      <c r="K22">
        <v>6</v>
      </c>
    </row>
    <row r="23" spans="1:11">
      <c r="A23" t="s">
        <v>28</v>
      </c>
      <c r="B23">
        <f t="shared" si="1"/>
        <v>58.75</v>
      </c>
      <c r="D23">
        <v>8.5</v>
      </c>
      <c r="E23">
        <v>9</v>
      </c>
      <c r="G23">
        <v>8</v>
      </c>
      <c r="H23">
        <v>7</v>
      </c>
      <c r="I23">
        <v>1</v>
      </c>
      <c r="J23">
        <v>5</v>
      </c>
      <c r="K23">
        <v>5</v>
      </c>
    </row>
    <row r="24" spans="1:11">
      <c r="A24" t="s">
        <v>29</v>
      </c>
      <c r="B24">
        <f t="shared" si="1"/>
        <v>71.25</v>
      </c>
      <c r="C24" t="s">
        <v>32</v>
      </c>
      <c r="D24">
        <v>7.5</v>
      </c>
      <c r="E24">
        <v>10</v>
      </c>
      <c r="G24">
        <v>10</v>
      </c>
      <c r="H24">
        <v>10</v>
      </c>
      <c r="I24">
        <v>7</v>
      </c>
      <c r="J24">
        <v>2</v>
      </c>
      <c r="K24">
        <v>4</v>
      </c>
    </row>
    <row r="30" spans="1:11">
      <c r="C30" t="s">
        <v>39</v>
      </c>
      <c r="E30" t="s">
        <v>101</v>
      </c>
      <c r="F30" t="s">
        <v>102</v>
      </c>
      <c r="G30">
        <v>10</v>
      </c>
    </row>
    <row r="31" spans="1:11">
      <c r="C31" t="s">
        <v>103</v>
      </c>
      <c r="E31" t="s">
        <v>104</v>
      </c>
      <c r="F31" t="s">
        <v>110</v>
      </c>
      <c r="G31">
        <v>7</v>
      </c>
    </row>
    <row r="32" spans="1:11">
      <c r="C32" t="s">
        <v>105</v>
      </c>
      <c r="E32" t="s">
        <v>106</v>
      </c>
      <c r="F32" t="s">
        <v>107</v>
      </c>
      <c r="G32">
        <v>4</v>
      </c>
    </row>
    <row r="33" spans="3:7">
      <c r="C33" t="s">
        <v>38</v>
      </c>
      <c r="E33" t="s">
        <v>108</v>
      </c>
      <c r="F33" t="s">
        <v>109</v>
      </c>
      <c r="G33">
        <v>1</v>
      </c>
    </row>
  </sheetData>
  <mergeCells count="4">
    <mergeCell ref="A2:A4"/>
    <mergeCell ref="A5:A8"/>
    <mergeCell ref="A9:A10"/>
    <mergeCell ref="A11:A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5:D27"/>
  <sheetViews>
    <sheetView workbookViewId="0">
      <selection activeCell="D28" sqref="D28"/>
    </sheetView>
  </sheetViews>
  <sheetFormatPr defaultRowHeight="15"/>
  <cols>
    <col min="1" max="1" width="26.85546875" bestFit="1" customWidth="1"/>
    <col min="2" max="2" width="27.7109375" bestFit="1" customWidth="1"/>
    <col min="3" max="3" width="49" bestFit="1" customWidth="1"/>
  </cols>
  <sheetData>
    <row r="5" spans="1:3">
      <c r="A5" s="3" t="s">
        <v>17</v>
      </c>
    </row>
    <row r="7" spans="1:3">
      <c r="A7" s="3" t="s">
        <v>19</v>
      </c>
      <c r="B7" s="3" t="s">
        <v>20</v>
      </c>
      <c r="C7" s="3" t="s">
        <v>22</v>
      </c>
    </row>
    <row r="8" spans="1:3">
      <c r="A8" t="s">
        <v>18</v>
      </c>
      <c r="B8" t="s">
        <v>21</v>
      </c>
    </row>
    <row r="9" spans="1:3">
      <c r="A9" t="s">
        <v>23</v>
      </c>
      <c r="B9" t="s">
        <v>24</v>
      </c>
      <c r="C9" t="s">
        <v>25</v>
      </c>
    </row>
    <row r="12" spans="1:3">
      <c r="A12" t="s">
        <v>47</v>
      </c>
    </row>
    <row r="13" spans="1:3">
      <c r="A13" t="s">
        <v>19</v>
      </c>
    </row>
    <row r="14" spans="1:3">
      <c r="A14" t="s">
        <v>48</v>
      </c>
      <c r="B14" t="s">
        <v>49</v>
      </c>
    </row>
    <row r="15" spans="1:3">
      <c r="A15" t="s">
        <v>50</v>
      </c>
      <c r="B15" t="s">
        <v>51</v>
      </c>
    </row>
    <row r="22" spans="2:4">
      <c r="B22">
        <v>0.2</v>
      </c>
      <c r="C22">
        <v>0.3</v>
      </c>
    </row>
    <row r="23" spans="2:4">
      <c r="B23">
        <v>4.4999999999999998E-2</v>
      </c>
      <c r="C23">
        <v>0.20399999999999999</v>
      </c>
    </row>
    <row r="26" spans="2:4">
      <c r="D26">
        <f>(B22/B23)+(C22/C23)</f>
        <v>5.9150326797385624</v>
      </c>
    </row>
    <row r="27" spans="2:4">
      <c r="D27">
        <f>1/D26</f>
        <v>0.16906077348066298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W56"/>
  <sheetViews>
    <sheetView tabSelected="1" topLeftCell="A19" workbookViewId="0">
      <selection activeCell="G41" sqref="G41"/>
    </sheetView>
  </sheetViews>
  <sheetFormatPr defaultRowHeight="15"/>
  <cols>
    <col min="1" max="1" width="4.28515625" customWidth="1"/>
    <col min="2" max="2" width="19" customWidth="1"/>
    <col min="3" max="3" width="17.85546875" customWidth="1"/>
    <col min="4" max="4" width="10.5703125" customWidth="1"/>
    <col min="5" max="5" width="10.42578125" customWidth="1"/>
    <col min="6" max="6" width="11.42578125" customWidth="1"/>
    <col min="8" max="8" width="10.140625" customWidth="1"/>
    <col min="9" max="9" width="10.42578125" customWidth="1"/>
    <col min="10" max="10" width="3.42578125" customWidth="1"/>
    <col min="11" max="11" width="16.28515625" bestFit="1" customWidth="1"/>
    <col min="12" max="12" width="14.140625" customWidth="1"/>
    <col min="13" max="13" width="8.28515625" customWidth="1"/>
    <col min="14" max="14" width="9.28515625" customWidth="1"/>
    <col min="15" max="15" width="7.7109375" customWidth="1"/>
    <col min="16" max="16" width="8.140625" customWidth="1"/>
    <col min="17" max="17" width="8.85546875" customWidth="1"/>
  </cols>
  <sheetData>
    <row r="1" spans="2:23">
      <c r="B1" t="s">
        <v>61</v>
      </c>
      <c r="J1" t="s">
        <v>60</v>
      </c>
      <c r="O1" s="36" t="s">
        <v>82</v>
      </c>
      <c r="P1" s="36"/>
      <c r="Q1" s="37">
        <v>170</v>
      </c>
    </row>
    <row r="2" spans="2:23" ht="15.75" thickBot="1">
      <c r="H2" t="s">
        <v>88</v>
      </c>
    </row>
    <row r="3" spans="2:23" ht="15.75" thickBot="1">
      <c r="B3" s="3" t="s">
        <v>73</v>
      </c>
      <c r="G3" t="s">
        <v>55</v>
      </c>
      <c r="I3" s="20" t="s">
        <v>58</v>
      </c>
      <c r="O3" s="29" t="s">
        <v>63</v>
      </c>
      <c r="P3" s="30" t="s">
        <v>64</v>
      </c>
      <c r="Q3" s="31" t="s">
        <v>65</v>
      </c>
    </row>
    <row r="4" spans="2:23" ht="15.75" thickBot="1">
      <c r="B4" t="s">
        <v>62</v>
      </c>
      <c r="C4" s="12" t="s">
        <v>60</v>
      </c>
      <c r="D4" s="13" t="s">
        <v>52</v>
      </c>
      <c r="E4" s="12">
        <v>0.247</v>
      </c>
      <c r="F4" s="13" t="s">
        <v>87</v>
      </c>
      <c r="G4" s="12">
        <v>0.24</v>
      </c>
      <c r="H4" s="13" t="s">
        <v>56</v>
      </c>
      <c r="I4" s="20">
        <f>IF(E4,E4,C4*G4)</f>
        <v>0.247</v>
      </c>
      <c r="K4" s="16" t="s">
        <v>57</v>
      </c>
      <c r="L4" s="18" t="s">
        <v>59</v>
      </c>
      <c r="M4" s="38"/>
      <c r="O4" s="32">
        <f>100*100/(23.8*30.8)</f>
        <v>13.641820364509439</v>
      </c>
      <c r="P4" s="22">
        <v>6.51</v>
      </c>
      <c r="Q4" s="33">
        <f>P4*O4</f>
        <v>88.808250572956439</v>
      </c>
    </row>
    <row r="5" spans="2:23" ht="15.75" thickBot="1">
      <c r="B5" t="s">
        <v>54</v>
      </c>
      <c r="C5" s="14"/>
      <c r="D5" s="15" t="s">
        <v>52</v>
      </c>
      <c r="E5" s="14">
        <v>4.4999999999999998E-2</v>
      </c>
      <c r="F5" s="15" t="s">
        <v>53</v>
      </c>
      <c r="G5" s="14">
        <v>0.21</v>
      </c>
      <c r="H5" s="15" t="s">
        <v>56</v>
      </c>
      <c r="I5" s="20">
        <f>IF(E5,E5,C5*G5)</f>
        <v>4.4999999999999998E-2</v>
      </c>
      <c r="K5" s="17">
        <f>ROUND(1/((G4/I4)+(G5/I5)),2)</f>
        <v>0.18</v>
      </c>
      <c r="L5" s="19">
        <f>G4+G5</f>
        <v>0.44999999999999996</v>
      </c>
      <c r="M5" s="38">
        <f>K5*L5</f>
        <v>8.0999999999999989E-2</v>
      </c>
      <c r="O5" s="26"/>
      <c r="P5" s="27"/>
      <c r="Q5" s="28">
        <f>$Q$1/(1/G5)</f>
        <v>35.700000000000003</v>
      </c>
    </row>
    <row r="6" spans="2:23">
      <c r="M6" s="39"/>
      <c r="O6" s="21"/>
      <c r="P6" s="21"/>
      <c r="Q6" s="21"/>
    </row>
    <row r="7" spans="2:23" ht="15.75" thickBot="1">
      <c r="I7" s="20" t="s">
        <v>58</v>
      </c>
      <c r="M7" s="39"/>
      <c r="O7" s="21"/>
      <c r="P7" s="21"/>
      <c r="Q7" s="21"/>
    </row>
    <row r="8" spans="2:23" ht="15.75" thickBot="1">
      <c r="B8" t="s">
        <v>70</v>
      </c>
      <c r="C8" s="12"/>
      <c r="D8" s="13" t="s">
        <v>52</v>
      </c>
      <c r="E8" s="12">
        <v>0.31</v>
      </c>
      <c r="F8" s="13" t="s">
        <v>53</v>
      </c>
      <c r="G8" s="12">
        <v>0.25</v>
      </c>
      <c r="H8" s="13" t="s">
        <v>56</v>
      </c>
      <c r="I8" s="20">
        <f t="shared" ref="I8:I9" si="0">IF(E8,E8,C8*G8)</f>
        <v>0.31</v>
      </c>
      <c r="K8" s="16" t="s">
        <v>57</v>
      </c>
      <c r="L8" s="18" t="s">
        <v>59</v>
      </c>
      <c r="M8" s="38"/>
      <c r="O8" s="23">
        <f>100*100/(23.8*37.5)</f>
        <v>11.204481792717086</v>
      </c>
      <c r="P8" s="24">
        <v>6.52</v>
      </c>
      <c r="Q8" s="25">
        <f>P8*O8</f>
        <v>73.053221288515402</v>
      </c>
    </row>
    <row r="9" spans="2:23" ht="15.75" thickBot="1">
      <c r="B9" t="s">
        <v>54</v>
      </c>
      <c r="C9" s="14"/>
      <c r="D9" s="15" t="s">
        <v>52</v>
      </c>
      <c r="E9" s="14">
        <v>4.4999999999999998E-2</v>
      </c>
      <c r="F9" s="15" t="s">
        <v>53</v>
      </c>
      <c r="G9" s="14">
        <v>0.2</v>
      </c>
      <c r="H9" s="15" t="s">
        <v>56</v>
      </c>
      <c r="I9" s="20">
        <f t="shared" si="0"/>
        <v>4.4999999999999998E-2</v>
      </c>
      <c r="K9" s="17">
        <f>ROUND(1/((G8/I8)+(G9/I9)),2)</f>
        <v>0.19</v>
      </c>
      <c r="L9" s="19">
        <f>G8+G9</f>
        <v>0.45</v>
      </c>
      <c r="M9" s="38">
        <f>K9*L9</f>
        <v>8.5500000000000007E-2</v>
      </c>
      <c r="O9" s="26"/>
      <c r="P9" s="27"/>
      <c r="Q9" s="28">
        <f>$Q$1/(1/G9)</f>
        <v>34</v>
      </c>
    </row>
    <row r="10" spans="2:23">
      <c r="M10" s="39"/>
      <c r="O10" s="21"/>
      <c r="P10" s="21"/>
      <c r="Q10" s="21"/>
    </row>
    <row r="11" spans="2:23" ht="15.75" thickBot="1">
      <c r="I11" s="20" t="s">
        <v>58</v>
      </c>
      <c r="M11" s="39"/>
      <c r="O11" s="21"/>
      <c r="P11" s="21"/>
      <c r="Q11" s="21"/>
    </row>
    <row r="12" spans="2:23" ht="15.75" thickBot="1">
      <c r="B12" t="s">
        <v>71</v>
      </c>
      <c r="C12" s="12">
        <v>0.35</v>
      </c>
      <c r="D12" s="13" t="s">
        <v>52</v>
      </c>
      <c r="E12" s="12"/>
      <c r="F12" s="13" t="s">
        <v>53</v>
      </c>
      <c r="G12" s="12">
        <v>0.38</v>
      </c>
      <c r="H12" s="13" t="s">
        <v>56</v>
      </c>
      <c r="I12" s="20">
        <f t="shared" ref="I12:I13" si="1">IF(E12,E12,C12*G12)</f>
        <v>0.13299999999999998</v>
      </c>
      <c r="K12" s="16" t="s">
        <v>57</v>
      </c>
      <c r="L12" s="18" t="s">
        <v>59</v>
      </c>
      <c r="M12" s="38"/>
      <c r="O12" s="23">
        <f>100*100/(23.8*24.8)</f>
        <v>16.942260775277852</v>
      </c>
      <c r="P12" s="24">
        <v>6.85</v>
      </c>
      <c r="Q12" s="25">
        <f>P12*O12</f>
        <v>116.05448631065327</v>
      </c>
    </row>
    <row r="13" spans="2:23" ht="15.75" thickBot="1">
      <c r="B13" t="s">
        <v>54</v>
      </c>
      <c r="C13" s="14"/>
      <c r="D13" s="15" t="s">
        <v>52</v>
      </c>
      <c r="E13" s="14">
        <v>4.4999999999999998E-2</v>
      </c>
      <c r="F13" s="15" t="s">
        <v>53</v>
      </c>
      <c r="G13" s="14">
        <v>7.0000000000000007E-2</v>
      </c>
      <c r="H13" s="15" t="s">
        <v>56</v>
      </c>
      <c r="I13" s="20">
        <f t="shared" si="1"/>
        <v>4.4999999999999998E-2</v>
      </c>
      <c r="K13" s="17">
        <f>ROUND(1/((G12/I12)+(G13/I13)),2)</f>
        <v>0.23</v>
      </c>
      <c r="L13" s="19">
        <f>G12+G13</f>
        <v>0.45</v>
      </c>
      <c r="M13" s="38">
        <f>K13*L13</f>
        <v>0.10350000000000001</v>
      </c>
      <c r="O13" s="26"/>
      <c r="P13" s="27"/>
      <c r="Q13" s="28">
        <f>$Q$1/(1/G13)</f>
        <v>11.9</v>
      </c>
    </row>
    <row r="14" spans="2:23" ht="15.75" thickBot="1">
      <c r="M14" s="39"/>
      <c r="O14" s="21"/>
      <c r="P14" s="21"/>
      <c r="Q14" s="21"/>
    </row>
    <row r="15" spans="2:23" ht="15.75" thickBot="1">
      <c r="B15" t="s">
        <v>72</v>
      </c>
      <c r="C15" s="12">
        <v>0.53</v>
      </c>
      <c r="D15" s="13" t="s">
        <v>52</v>
      </c>
      <c r="E15" s="12"/>
      <c r="F15" s="13" t="s">
        <v>53</v>
      </c>
      <c r="G15" s="12">
        <v>0.25</v>
      </c>
      <c r="H15" s="13" t="s">
        <v>56</v>
      </c>
      <c r="I15" s="20">
        <f>IF(E15,E15,C15*G15)</f>
        <v>0.13250000000000001</v>
      </c>
      <c r="K15" s="16" t="s">
        <v>57</v>
      </c>
      <c r="L15" s="18" t="s">
        <v>59</v>
      </c>
      <c r="M15" s="38"/>
      <c r="N15" t="s">
        <v>84</v>
      </c>
      <c r="O15" s="23">
        <f>100*100/(23.8*30)</f>
        <v>14.005602240896359</v>
      </c>
      <c r="P15" s="24">
        <v>8.1199999999999992</v>
      </c>
      <c r="Q15" s="40">
        <f>P15*O15</f>
        <v>113.72549019607843</v>
      </c>
      <c r="W15" s="42"/>
    </row>
    <row r="16" spans="2:23" ht="15.75" thickBot="1">
      <c r="B16" t="s">
        <v>54</v>
      </c>
      <c r="C16" s="14"/>
      <c r="D16" s="15" t="s">
        <v>52</v>
      </c>
      <c r="E16" s="14">
        <v>4.4999999999999998E-2</v>
      </c>
      <c r="F16" s="15" t="s">
        <v>53</v>
      </c>
      <c r="G16" s="14">
        <v>0.2</v>
      </c>
      <c r="H16" s="15" t="s">
        <v>56</v>
      </c>
      <c r="I16" s="20">
        <f>IF(E16,E16,C16*G16)</f>
        <v>4.4999999999999998E-2</v>
      </c>
      <c r="K16" s="17">
        <f>ROUND(1/((G15/I15)+(G16/I16)),2)</f>
        <v>0.16</v>
      </c>
      <c r="L16" s="19">
        <f>G15+G16</f>
        <v>0.45</v>
      </c>
      <c r="M16" s="38">
        <f>K16*L16</f>
        <v>7.2000000000000008E-2</v>
      </c>
      <c r="N16" t="s">
        <v>54</v>
      </c>
      <c r="O16" s="26"/>
      <c r="P16" s="27"/>
      <c r="Q16" s="41">
        <f>$Q$1/(1/G16)</f>
        <v>34</v>
      </c>
    </row>
    <row r="17" spans="2:20" ht="15.75" thickBot="1">
      <c r="M17" s="39"/>
      <c r="N17" t="s">
        <v>83</v>
      </c>
      <c r="O17" s="26"/>
      <c r="P17" s="27"/>
      <c r="Q17" s="41">
        <v>12</v>
      </c>
      <c r="R17" t="s">
        <v>85</v>
      </c>
      <c r="S17" s="21">
        <f>Q15+Q16+Q17</f>
        <v>159.72549019607843</v>
      </c>
      <c r="T17" s="21">
        <f>S17+55</f>
        <v>214.72549019607843</v>
      </c>
    </row>
    <row r="18" spans="2:20" ht="15.75" thickBot="1">
      <c r="B18" s="3" t="s">
        <v>74</v>
      </c>
      <c r="I18" s="20" t="s">
        <v>58</v>
      </c>
      <c r="M18" s="39"/>
      <c r="O18" s="21"/>
      <c r="P18" s="21"/>
      <c r="Q18" s="21"/>
      <c r="T18" s="21"/>
    </row>
    <row r="19" spans="2:20" ht="15.75" thickBot="1">
      <c r="B19" t="s">
        <v>75</v>
      </c>
      <c r="C19" s="12"/>
      <c r="D19" s="13" t="s">
        <v>52</v>
      </c>
      <c r="E19" s="12">
        <v>0.16</v>
      </c>
      <c r="F19" s="13" t="s">
        <v>53</v>
      </c>
      <c r="G19" s="12">
        <v>0.25</v>
      </c>
      <c r="H19" s="13" t="s">
        <v>56</v>
      </c>
      <c r="I19" s="20">
        <f t="shared" ref="I19:I20" si="2">IF(E19,E19,C19*G19)</f>
        <v>0.16</v>
      </c>
      <c r="K19" s="16" t="s">
        <v>57</v>
      </c>
      <c r="L19" s="18" t="s">
        <v>59</v>
      </c>
      <c r="M19" s="38"/>
      <c r="N19" t="s">
        <v>86</v>
      </c>
      <c r="O19" s="23">
        <f>100*100/(19.9*59.9)</f>
        <v>8.3891913658442459</v>
      </c>
      <c r="P19" s="24">
        <v>6.64</v>
      </c>
      <c r="Q19" s="25">
        <f>P19*O19</f>
        <v>55.704230669205792</v>
      </c>
      <c r="T19" s="21"/>
    </row>
    <row r="20" spans="2:20" ht="15.75" thickBot="1">
      <c r="B20" t="s">
        <v>54</v>
      </c>
      <c r="C20" s="14"/>
      <c r="D20" s="15" t="s">
        <v>52</v>
      </c>
      <c r="E20" s="14">
        <v>4.4999999999999998E-2</v>
      </c>
      <c r="F20" s="15" t="s">
        <v>53</v>
      </c>
      <c r="G20" s="14">
        <v>0.2</v>
      </c>
      <c r="H20" s="15" t="s">
        <v>56</v>
      </c>
      <c r="I20" s="20">
        <f t="shared" si="2"/>
        <v>4.4999999999999998E-2</v>
      </c>
      <c r="K20" s="17">
        <f>ROUND(1/((G19/I19)+(G20/I20)),2)</f>
        <v>0.17</v>
      </c>
      <c r="L20" s="19">
        <f>G19+G20</f>
        <v>0.45</v>
      </c>
      <c r="M20" s="38">
        <f>K20*L20</f>
        <v>7.6500000000000012E-2</v>
      </c>
      <c r="N20" t="s">
        <v>54</v>
      </c>
      <c r="O20" s="26"/>
      <c r="P20" s="27"/>
      <c r="Q20" s="28">
        <f>$Q$1/(1/G20)</f>
        <v>34</v>
      </c>
      <c r="T20" s="21"/>
    </row>
    <row r="21" spans="2:20" ht="15.75" thickBot="1">
      <c r="M21" s="39"/>
      <c r="N21" t="s">
        <v>83</v>
      </c>
      <c r="O21" s="26"/>
      <c r="P21" s="27"/>
      <c r="Q21" s="41">
        <v>12</v>
      </c>
      <c r="R21" t="s">
        <v>85</v>
      </c>
      <c r="S21" s="21">
        <f>Q19+Q20+Q21</f>
        <v>101.7042306692058</v>
      </c>
      <c r="T21" s="21">
        <f t="shared" ref="T21:T25" si="3">S21+55</f>
        <v>156.7042306692058</v>
      </c>
    </row>
    <row r="22" spans="2:20" ht="15.75" thickBot="1">
      <c r="B22" s="3" t="s">
        <v>76</v>
      </c>
      <c r="I22" s="20" t="s">
        <v>58</v>
      </c>
      <c r="M22" s="39"/>
      <c r="O22" s="21"/>
      <c r="P22" s="21"/>
      <c r="Q22" s="21"/>
      <c r="T22" s="21"/>
    </row>
    <row r="23" spans="2:20" ht="15.75" thickBot="1">
      <c r="B23" t="s">
        <v>77</v>
      </c>
      <c r="C23" s="12"/>
      <c r="D23" s="13" t="s">
        <v>52</v>
      </c>
      <c r="E23" s="12">
        <v>0.81</v>
      </c>
      <c r="F23" s="13" t="s">
        <v>53</v>
      </c>
      <c r="G23" s="12">
        <v>0.24</v>
      </c>
      <c r="H23" s="13" t="s">
        <v>56</v>
      </c>
      <c r="I23" s="20">
        <f t="shared" ref="I23:I24" si="4">IF(E23,E23,C23*G23)</f>
        <v>0.81</v>
      </c>
      <c r="K23" s="16" t="s">
        <v>57</v>
      </c>
      <c r="L23" s="18" t="s">
        <v>59</v>
      </c>
      <c r="M23" s="38"/>
      <c r="N23" t="s">
        <v>86</v>
      </c>
      <c r="O23" s="23">
        <f>100*100/(19.9*33.3)</f>
        <v>15.090467351773889</v>
      </c>
      <c r="P23" s="24">
        <v>7.54</v>
      </c>
      <c r="Q23" s="25">
        <f>P23*O23</f>
        <v>113.78212383237512</v>
      </c>
      <c r="T23" s="21"/>
    </row>
    <row r="24" spans="2:20" ht="15.75" thickBot="1">
      <c r="B24" t="s">
        <v>54</v>
      </c>
      <c r="C24" s="14"/>
      <c r="D24" s="15" t="s">
        <v>52</v>
      </c>
      <c r="E24" s="14">
        <v>0.04</v>
      </c>
      <c r="F24" s="15" t="s">
        <v>53</v>
      </c>
      <c r="G24" s="14">
        <v>0.25</v>
      </c>
      <c r="H24" s="15" t="s">
        <v>56</v>
      </c>
      <c r="I24" s="20">
        <f t="shared" si="4"/>
        <v>0.04</v>
      </c>
      <c r="K24" s="17">
        <f>ROUND(1/((G23/I23)+(G24/I24)),2)</f>
        <v>0.15</v>
      </c>
      <c r="L24" s="19">
        <f>G23+G24</f>
        <v>0.49</v>
      </c>
      <c r="M24" s="38">
        <f>K24*L24</f>
        <v>7.3499999999999996E-2</v>
      </c>
      <c r="N24" t="s">
        <v>54</v>
      </c>
      <c r="O24" s="26"/>
      <c r="P24" s="27"/>
      <c r="Q24" s="28">
        <f>$Q$1/(1/G24)</f>
        <v>42.5</v>
      </c>
      <c r="T24" s="21"/>
    </row>
    <row r="25" spans="2:20" ht="15.75" thickBot="1">
      <c r="M25" s="39"/>
      <c r="N25" t="s">
        <v>83</v>
      </c>
      <c r="O25" s="26"/>
      <c r="P25" s="27"/>
      <c r="Q25" s="41">
        <v>7.5</v>
      </c>
      <c r="R25" t="s">
        <v>85</v>
      </c>
      <c r="S25" s="21">
        <f>Q23+Q24+Q25</f>
        <v>163.78212383237513</v>
      </c>
      <c r="T25" s="21">
        <f t="shared" si="3"/>
        <v>218.78212383237513</v>
      </c>
    </row>
    <row r="26" spans="2:20">
      <c r="T26" s="21"/>
    </row>
    <row r="27" spans="2:20" ht="15.75" thickBot="1">
      <c r="B27" s="3" t="s">
        <v>99</v>
      </c>
      <c r="I27" s="20" t="s">
        <v>58</v>
      </c>
      <c r="T27" s="21"/>
    </row>
    <row r="28" spans="2:20" ht="15.75" thickBot="1">
      <c r="B28" t="s">
        <v>100</v>
      </c>
      <c r="C28" s="12"/>
      <c r="D28" s="13" t="s">
        <v>52</v>
      </c>
      <c r="E28" s="12">
        <v>0.73</v>
      </c>
      <c r="F28" s="13" t="s">
        <v>53</v>
      </c>
      <c r="G28" s="12">
        <v>0.18</v>
      </c>
      <c r="H28" s="13" t="s">
        <v>56</v>
      </c>
      <c r="I28" s="20">
        <f t="shared" ref="I28" si="5">IF(E28,E28,C28*G28)</f>
        <v>0.73</v>
      </c>
      <c r="K28" s="16" t="s">
        <v>57</v>
      </c>
      <c r="L28" s="18" t="s">
        <v>59</v>
      </c>
      <c r="S28">
        <v>200</v>
      </c>
      <c r="T28" s="21">
        <f>S28+35</f>
        <v>235</v>
      </c>
    </row>
    <row r="29" spans="2:20" ht="15.75" thickBot="1">
      <c r="B29" t="s">
        <v>54</v>
      </c>
      <c r="C29" s="14"/>
      <c r="D29" s="15" t="s">
        <v>52</v>
      </c>
      <c r="E29" s="14">
        <v>4.4999999999999998E-2</v>
      </c>
      <c r="F29" s="15" t="s">
        <v>53</v>
      </c>
      <c r="G29" s="14">
        <v>0.27</v>
      </c>
      <c r="H29" s="15" t="s">
        <v>56</v>
      </c>
      <c r="I29" s="20">
        <f>IF(E29,E29,C29*G29)</f>
        <v>4.4999999999999998E-2</v>
      </c>
      <c r="K29" s="17">
        <f>ROUND(1/((G28/I28)+(G29/I29)),2)</f>
        <v>0.16</v>
      </c>
      <c r="L29" s="19">
        <f>G28+G29</f>
        <v>0.45</v>
      </c>
      <c r="M29" s="38">
        <f>K29*L29</f>
        <v>7.2000000000000008E-2</v>
      </c>
    </row>
    <row r="31" spans="2:20">
      <c r="B31" s="3" t="s">
        <v>111</v>
      </c>
    </row>
    <row r="32" spans="2:20">
      <c r="B32" s="5"/>
      <c r="C32" s="5" t="s">
        <v>115</v>
      </c>
      <c r="D32" s="5" t="s">
        <v>116</v>
      </c>
      <c r="E32" s="5" t="s">
        <v>114</v>
      </c>
      <c r="F32" s="5" t="s">
        <v>117</v>
      </c>
      <c r="G32" s="5" t="s">
        <v>52</v>
      </c>
      <c r="H32" s="5" t="s">
        <v>118</v>
      </c>
      <c r="I32" s="45" t="s">
        <v>119</v>
      </c>
    </row>
    <row r="33" spans="1:9">
      <c r="B33" s="5" t="s">
        <v>112</v>
      </c>
      <c r="C33" s="5">
        <v>200</v>
      </c>
      <c r="D33" s="5">
        <v>0.25</v>
      </c>
      <c r="E33" s="5">
        <v>0.04</v>
      </c>
      <c r="F33" s="5">
        <f>C33*D33</f>
        <v>50</v>
      </c>
      <c r="G33" s="44">
        <f>E33/D33</f>
        <v>0.16</v>
      </c>
      <c r="H33" s="5">
        <v>130</v>
      </c>
      <c r="I33" s="5">
        <f>H33*F33</f>
        <v>6500</v>
      </c>
    </row>
    <row r="34" spans="1:9">
      <c r="B34" s="5" t="s">
        <v>113</v>
      </c>
      <c r="C34" s="5">
        <v>200</v>
      </c>
      <c r="D34" s="5">
        <v>0.2</v>
      </c>
      <c r="E34" s="5">
        <v>3.3000000000000002E-2</v>
      </c>
      <c r="F34" s="5">
        <f>C34*D34</f>
        <v>40</v>
      </c>
      <c r="G34" s="44">
        <f>ROUND(E34/D34,2)</f>
        <v>0.17</v>
      </c>
      <c r="H34" s="5">
        <v>170</v>
      </c>
      <c r="I34" s="5">
        <f>H34*F34</f>
        <v>6800</v>
      </c>
    </row>
    <row r="35" spans="1:9">
      <c r="B35" s="45" t="s">
        <v>120</v>
      </c>
      <c r="C35" s="5">
        <v>200</v>
      </c>
      <c r="D35" s="5">
        <v>0.15</v>
      </c>
      <c r="E35" s="5">
        <v>3.1E-2</v>
      </c>
      <c r="F35" s="5">
        <f>C35*D35</f>
        <v>30</v>
      </c>
      <c r="G35" s="44">
        <f>ROUND(E35/D35,2)</f>
        <v>0.21</v>
      </c>
      <c r="H35" s="5">
        <v>190</v>
      </c>
      <c r="I35" s="5">
        <f>H35*F35</f>
        <v>5700</v>
      </c>
    </row>
    <row r="36" spans="1:9">
      <c r="B36" s="5" t="s">
        <v>121</v>
      </c>
      <c r="C36" s="5">
        <v>200</v>
      </c>
      <c r="D36" s="5">
        <v>0.28000000000000003</v>
      </c>
      <c r="E36" s="5">
        <v>4.3999999999999997E-2</v>
      </c>
      <c r="F36" s="5">
        <f t="shared" ref="F36:F38" si="6">C36*D36</f>
        <v>56.000000000000007</v>
      </c>
      <c r="G36" s="44">
        <f t="shared" ref="G36:G37" si="7">ROUND(E36/D36,2)</f>
        <v>0.16</v>
      </c>
      <c r="H36" s="5">
        <v>132</v>
      </c>
      <c r="I36" s="5">
        <f t="shared" ref="I36:I37" si="8">H36*F36</f>
        <v>7392.0000000000009</v>
      </c>
    </row>
    <row r="37" spans="1:9">
      <c r="B37" s="5" t="s">
        <v>122</v>
      </c>
      <c r="C37" s="5">
        <v>200</v>
      </c>
      <c r="D37" s="5">
        <v>0.26</v>
      </c>
      <c r="E37" s="5">
        <v>4.2000000000000003E-2</v>
      </c>
      <c r="F37" s="5">
        <f t="shared" si="6"/>
        <v>52</v>
      </c>
      <c r="G37" s="44">
        <f t="shared" si="7"/>
        <v>0.16</v>
      </c>
      <c r="H37" s="5">
        <v>192</v>
      </c>
      <c r="I37" s="5">
        <f t="shared" si="8"/>
        <v>9984</v>
      </c>
    </row>
    <row r="38" spans="1:9">
      <c r="B38" s="45" t="s">
        <v>123</v>
      </c>
      <c r="C38" s="45">
        <v>200</v>
      </c>
      <c r="D38" s="45">
        <v>0.18</v>
      </c>
      <c r="E38" s="5">
        <v>3.1E-2</v>
      </c>
      <c r="F38" s="5">
        <f t="shared" ref="F38" si="9">C38*D38</f>
        <v>36</v>
      </c>
      <c r="G38" s="44">
        <f t="shared" ref="G38" si="10">ROUND(E38/D38,2)</f>
        <v>0.17</v>
      </c>
      <c r="H38" s="5">
        <v>138</v>
      </c>
      <c r="I38" s="5">
        <f t="shared" ref="I38" si="11">H38*F38</f>
        <v>4968</v>
      </c>
    </row>
    <row r="39" spans="1:9">
      <c r="B39" s="45" t="s">
        <v>124</v>
      </c>
      <c r="C39" s="45">
        <v>200</v>
      </c>
      <c r="D39" s="45">
        <v>0.2</v>
      </c>
      <c r="E39" s="5">
        <v>3.1E-2</v>
      </c>
      <c r="F39" s="5">
        <f t="shared" ref="F39" si="12">C39*D39</f>
        <v>40</v>
      </c>
      <c r="G39" s="44">
        <f t="shared" ref="G39" si="13">ROUND(E39/D39,2)</f>
        <v>0.16</v>
      </c>
      <c r="H39" s="5">
        <v>140</v>
      </c>
      <c r="I39" s="5">
        <f t="shared" ref="I39" si="14">H39*F39</f>
        <v>5600</v>
      </c>
    </row>
    <row r="41" spans="1:9">
      <c r="G41" s="48"/>
    </row>
    <row r="44" spans="1:9">
      <c r="B44" t="s">
        <v>78</v>
      </c>
      <c r="C44" s="34">
        <v>170</v>
      </c>
      <c r="F44" t="s">
        <v>66</v>
      </c>
    </row>
    <row r="45" spans="1:9">
      <c r="A45" t="s">
        <v>79</v>
      </c>
      <c r="B45">
        <v>5</v>
      </c>
      <c r="C45">
        <f>1/B45*100</f>
        <v>20</v>
      </c>
      <c r="D45" s="35">
        <f t="shared" ref="D45:D48" si="15">$C$44/C45</f>
        <v>8.5</v>
      </c>
    </row>
    <row r="46" spans="1:9">
      <c r="B46">
        <v>10</v>
      </c>
      <c r="C46">
        <f t="shared" ref="C46:C49" si="16">1/B46*100</f>
        <v>10</v>
      </c>
      <c r="D46" s="35">
        <f t="shared" si="15"/>
        <v>17</v>
      </c>
      <c r="F46" t="s">
        <v>67</v>
      </c>
      <c r="G46">
        <v>0.31</v>
      </c>
    </row>
    <row r="47" spans="1:9">
      <c r="B47">
        <v>12</v>
      </c>
      <c r="C47">
        <f t="shared" si="16"/>
        <v>8.3333333333333321</v>
      </c>
      <c r="D47" s="35">
        <f t="shared" si="15"/>
        <v>20.400000000000002</v>
      </c>
      <c r="F47" t="s">
        <v>68</v>
      </c>
      <c r="G47">
        <v>0.25</v>
      </c>
    </row>
    <row r="48" spans="1:9">
      <c r="B48">
        <v>15</v>
      </c>
      <c r="C48">
        <f t="shared" si="16"/>
        <v>6.666666666666667</v>
      </c>
      <c r="D48" s="35">
        <f t="shared" si="15"/>
        <v>25.5</v>
      </c>
      <c r="F48" t="s">
        <v>69</v>
      </c>
      <c r="G48">
        <f>G46/G47</f>
        <v>1.24</v>
      </c>
    </row>
    <row r="49" spans="2:5">
      <c r="B49">
        <v>20</v>
      </c>
      <c r="C49">
        <f t="shared" si="16"/>
        <v>5</v>
      </c>
      <c r="D49" s="35">
        <f>$C$44/C49</f>
        <v>34</v>
      </c>
    </row>
    <row r="50" spans="2:5">
      <c r="C50" t="s">
        <v>80</v>
      </c>
    </row>
    <row r="52" spans="2:5">
      <c r="D52" t="s">
        <v>81</v>
      </c>
    </row>
    <row r="53" spans="2:5">
      <c r="D53">
        <v>5</v>
      </c>
      <c r="E53">
        <f>$C$44/(1/D53*100)</f>
        <v>8.5</v>
      </c>
    </row>
    <row r="54" spans="2:5">
      <c r="D54">
        <v>10</v>
      </c>
      <c r="E54">
        <f t="shared" ref="E54:E56" si="17">$C$44/(1/D54*100)</f>
        <v>17</v>
      </c>
    </row>
    <row r="55" spans="2:5">
      <c r="D55">
        <v>15</v>
      </c>
      <c r="E55">
        <f t="shared" si="17"/>
        <v>25.5</v>
      </c>
    </row>
    <row r="56" spans="2:5">
      <c r="D56">
        <v>20</v>
      </c>
      <c r="E56">
        <f t="shared" si="17"/>
        <v>34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Ranking</vt:lpstr>
      <vt:lpstr>Materiały budowlane - wady</vt:lpstr>
      <vt:lpstr>Termoizolacyjność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2013-08-23T14:01:03Z</dcterms:modified>
</cp:coreProperties>
</file>