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C\AFRL\pglinux\AFRL_pygran\"/>
    </mc:Choice>
  </mc:AlternateContent>
  <xr:revisionPtr revIDLastSave="0" documentId="13_ncr:1_{1327FE52-A015-4E06-A8BE-864522C82EFE}" xr6:coauthVersionLast="47" xr6:coauthVersionMax="47" xr10:uidLastSave="{00000000-0000-0000-0000-000000000000}"/>
  <bookViews>
    <workbookView xWindow="11928" yWindow="1896" windowWidth="17280" windowHeight="8994" tabRatio="383" xr2:uid="{463DC042-841B-4626-A3C9-B718BA86EF9B}"/>
  </bookViews>
  <sheets>
    <sheet name="PDC 2D" sheetId="2" r:id="rId1"/>
    <sheet name="pressure_drop_comparison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2" i="2" l="1"/>
  <c r="Z2" i="2"/>
  <c r="Q8" i="2"/>
  <c r="Q7" i="2"/>
  <c r="M5" i="2"/>
  <c r="O5" i="2"/>
  <c r="M6" i="2"/>
  <c r="Q6" i="2"/>
  <c r="O6" i="2"/>
  <c r="M7" i="2"/>
  <c r="O7" i="2"/>
  <c r="M8" i="2"/>
  <c r="O8" i="2"/>
  <c r="L5" i="2"/>
  <c r="L6" i="2"/>
  <c r="L7" i="2"/>
  <c r="L8" i="2"/>
  <c r="Z5" i="2"/>
  <c r="AA5" i="2"/>
  <c r="AB5" i="2"/>
  <c r="Z6" i="2"/>
  <c r="AA6" i="2"/>
  <c r="AB6" i="2"/>
  <c r="Z7" i="2"/>
  <c r="J7" i="2" s="1"/>
  <c r="AA7" i="2"/>
  <c r="AB7" i="2"/>
  <c r="Z8" i="2"/>
  <c r="AA8" i="2"/>
  <c r="AB8" i="2"/>
  <c r="T5" i="2"/>
  <c r="T6" i="2"/>
  <c r="T7" i="2"/>
  <c r="T8" i="2"/>
  <c r="Q5" i="2"/>
  <c r="G5" i="2"/>
  <c r="J5" i="2"/>
  <c r="G6" i="2"/>
  <c r="J6" i="2"/>
  <c r="G7" i="2"/>
  <c r="G8" i="2"/>
  <c r="J8" i="2"/>
  <c r="B5" i="2"/>
  <c r="B6" i="2"/>
  <c r="B7" i="2"/>
  <c r="B8" i="2"/>
  <c r="AB4" i="2"/>
  <c r="Q4" i="2" s="1"/>
  <c r="N4" i="2"/>
  <c r="B4" i="2"/>
  <c r="G4" i="2" s="1"/>
  <c r="AB3" i="2"/>
  <c r="T3" i="2" s="1"/>
  <c r="N3" i="2"/>
  <c r="B3" i="2"/>
  <c r="G3" i="2" s="1"/>
  <c r="T2" i="2"/>
  <c r="N2" i="2"/>
  <c r="L2" i="1"/>
  <c r="V2" i="1"/>
  <c r="U2" i="1"/>
  <c r="B2" i="2"/>
  <c r="G2" i="2" s="1"/>
  <c r="W2" i="1"/>
  <c r="L3" i="1"/>
  <c r="O38" i="1"/>
  <c r="N38" i="1"/>
  <c r="M38" i="1"/>
  <c r="U38" i="1"/>
  <c r="V38" i="1"/>
  <c r="W38" i="1"/>
  <c r="X38" i="1"/>
  <c r="Y38" i="1"/>
  <c r="L38" i="1"/>
  <c r="J38" i="1"/>
  <c r="T38" i="1" s="1"/>
  <c r="D38" i="1"/>
  <c r="Y45" i="1"/>
  <c r="Y29" i="1"/>
  <c r="Y30" i="1"/>
  <c r="Y31" i="1"/>
  <c r="Y32" i="1"/>
  <c r="Y33" i="1"/>
  <c r="Y34" i="1"/>
  <c r="Y35" i="1"/>
  <c r="Y36" i="1"/>
  <c r="Y37" i="1"/>
  <c r="Y39" i="1"/>
  <c r="J39" i="1" s="1"/>
  <c r="T39" i="1" s="1"/>
  <c r="Y40" i="1"/>
  <c r="J40" i="1" s="1"/>
  <c r="T40" i="1" s="1"/>
  <c r="Y41" i="1"/>
  <c r="J41" i="1" s="1"/>
  <c r="T41" i="1" s="1"/>
  <c r="Y42" i="1"/>
  <c r="Y43" i="1"/>
  <c r="Y44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J63" i="1" s="1"/>
  <c r="T63" i="1" s="1"/>
  <c r="Y64" i="1"/>
  <c r="J64" i="1" s="1"/>
  <c r="T64" i="1" s="1"/>
  <c r="Y65" i="1"/>
  <c r="J65" i="1" s="1"/>
  <c r="T65" i="1" s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J81" i="1" s="1"/>
  <c r="T81" i="1" s="1"/>
  <c r="Y82" i="1"/>
  <c r="J82" i="1" s="1"/>
  <c r="T82" i="1" s="1"/>
  <c r="Y83" i="1"/>
  <c r="J83" i="1" s="1"/>
  <c r="T83" i="1" s="1"/>
  <c r="Y84" i="1"/>
  <c r="Y85" i="1"/>
  <c r="Y86" i="1"/>
  <c r="Y87" i="1"/>
  <c r="Y88" i="1"/>
  <c r="Y89" i="1"/>
  <c r="Y90" i="1"/>
  <c r="Y91" i="1"/>
  <c r="Y92" i="1"/>
  <c r="Y23" i="1"/>
  <c r="Y24" i="1"/>
  <c r="Y25" i="1"/>
  <c r="Y26" i="1"/>
  <c r="Y27" i="1"/>
  <c r="Y28" i="1"/>
  <c r="C27" i="1"/>
  <c r="C28" i="1"/>
  <c r="D28" i="1" s="1"/>
  <c r="C26" i="1"/>
  <c r="D26" i="1" s="1"/>
  <c r="C24" i="1"/>
  <c r="D24" i="1" s="1"/>
  <c r="C25" i="1"/>
  <c r="D25" i="1" s="1"/>
  <c r="C23" i="1"/>
  <c r="D23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" i="1"/>
  <c r="C3" i="1"/>
  <c r="D3" i="1" s="1"/>
  <c r="V3" i="1" s="1"/>
  <c r="C4" i="1"/>
  <c r="D4" i="1" s="1"/>
  <c r="X4" i="1" s="1"/>
  <c r="C48" i="1"/>
  <c r="D48" i="1" s="1"/>
  <c r="U48" i="1" s="1"/>
  <c r="C58" i="1"/>
  <c r="D58" i="1" s="1"/>
  <c r="U58" i="1" s="1"/>
  <c r="C59" i="1"/>
  <c r="D59" i="1" s="1"/>
  <c r="W59" i="1" s="1"/>
  <c r="C57" i="1"/>
  <c r="D57" i="1" s="1"/>
  <c r="U57" i="1" s="1"/>
  <c r="C52" i="1"/>
  <c r="D52" i="1" s="1"/>
  <c r="W52" i="1" s="1"/>
  <c r="C53" i="1"/>
  <c r="D53" i="1" s="1"/>
  <c r="U53" i="1" s="1"/>
  <c r="C51" i="1"/>
  <c r="D51" i="1" s="1"/>
  <c r="W51" i="1" s="1"/>
  <c r="C49" i="1"/>
  <c r="D49" i="1" s="1"/>
  <c r="U49" i="1" s="1"/>
  <c r="C50" i="1"/>
  <c r="D50" i="1" s="1"/>
  <c r="U50" i="1" s="1"/>
  <c r="C46" i="1"/>
  <c r="D46" i="1" s="1"/>
  <c r="U46" i="1" s="1"/>
  <c r="C47" i="1"/>
  <c r="D47" i="1" s="1"/>
  <c r="W47" i="1" s="1"/>
  <c r="C45" i="1"/>
  <c r="D45" i="1" s="1"/>
  <c r="U45" i="1" s="1"/>
  <c r="C36" i="1"/>
  <c r="D36" i="1" s="1"/>
  <c r="U36" i="1" s="1"/>
  <c r="C37" i="1"/>
  <c r="D37" i="1" s="1"/>
  <c r="U37" i="1" s="1"/>
  <c r="C35" i="1"/>
  <c r="D35" i="1" s="1"/>
  <c r="U35" i="1" s="1"/>
  <c r="C33" i="1"/>
  <c r="D33" i="1" s="1"/>
  <c r="U33" i="1" s="1"/>
  <c r="C34" i="1"/>
  <c r="D34" i="1" s="1"/>
  <c r="W34" i="1" s="1"/>
  <c r="C32" i="1"/>
  <c r="D32" i="1" s="1"/>
  <c r="U32" i="1" s="1"/>
  <c r="C30" i="1"/>
  <c r="D30" i="1" s="1"/>
  <c r="W30" i="1" s="1"/>
  <c r="C31" i="1"/>
  <c r="D31" i="1" s="1"/>
  <c r="U31" i="1" s="1"/>
  <c r="C29" i="1"/>
  <c r="D29" i="1" s="1"/>
  <c r="U29" i="1" s="1"/>
  <c r="C9" i="1"/>
  <c r="D9" i="1" s="1"/>
  <c r="W9" i="1" s="1"/>
  <c r="C10" i="1"/>
  <c r="D10" i="1" s="1"/>
  <c r="W10" i="1" s="1"/>
  <c r="C8" i="1"/>
  <c r="D8" i="1" s="1"/>
  <c r="U8" i="1" s="1"/>
  <c r="C2" i="1"/>
  <c r="D2" i="1" s="1"/>
  <c r="C44" i="1"/>
  <c r="D44" i="1" s="1"/>
  <c r="U44" i="1" s="1"/>
  <c r="C43" i="1"/>
  <c r="D43" i="1" s="1"/>
  <c r="W43" i="1" s="1"/>
  <c r="C42" i="1"/>
  <c r="D42" i="1" s="1"/>
  <c r="U42" i="1" s="1"/>
  <c r="D39" i="1"/>
  <c r="W39" i="1" s="1"/>
  <c r="D40" i="1"/>
  <c r="U40" i="1" s="1"/>
  <c r="D41" i="1"/>
  <c r="U41" i="1" s="1"/>
  <c r="M84" i="1"/>
  <c r="M85" i="1"/>
  <c r="M86" i="1"/>
  <c r="M87" i="1"/>
  <c r="M88" i="1"/>
  <c r="M89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64" i="1"/>
  <c r="M65" i="1"/>
  <c r="M66" i="1"/>
  <c r="M83" i="1"/>
  <c r="M82" i="1"/>
  <c r="C88" i="1"/>
  <c r="D88" i="1" s="1"/>
  <c r="V88" i="1" s="1"/>
  <c r="C89" i="1"/>
  <c r="D89" i="1" s="1"/>
  <c r="U89" i="1" s="1"/>
  <c r="C85" i="1"/>
  <c r="D85" i="1" s="1"/>
  <c r="U85" i="1" s="1"/>
  <c r="C86" i="1"/>
  <c r="D86" i="1" s="1"/>
  <c r="U86" i="1" s="1"/>
  <c r="C79" i="1"/>
  <c r="D79" i="1" s="1"/>
  <c r="W79" i="1" s="1"/>
  <c r="C80" i="1"/>
  <c r="D80" i="1" s="1"/>
  <c r="V80" i="1" s="1"/>
  <c r="C76" i="1"/>
  <c r="D76" i="1" s="1"/>
  <c r="V76" i="1" s="1"/>
  <c r="C77" i="1"/>
  <c r="D77" i="1" s="1"/>
  <c r="U77" i="1" s="1"/>
  <c r="C73" i="1"/>
  <c r="D73" i="1" s="1"/>
  <c r="U73" i="1" s="1"/>
  <c r="C74" i="1"/>
  <c r="D74" i="1" s="1"/>
  <c r="U74" i="1" s="1"/>
  <c r="C70" i="1"/>
  <c r="D70" i="1" s="1"/>
  <c r="U70" i="1" s="1"/>
  <c r="C71" i="1"/>
  <c r="D71" i="1" s="1"/>
  <c r="W71" i="1" s="1"/>
  <c r="C67" i="1"/>
  <c r="D67" i="1" s="1"/>
  <c r="W67" i="1" s="1"/>
  <c r="C68" i="1"/>
  <c r="D68" i="1" s="1"/>
  <c r="V68" i="1" s="1"/>
  <c r="C87" i="1"/>
  <c r="D87" i="1" s="1"/>
  <c r="W87" i="1" s="1"/>
  <c r="C84" i="1"/>
  <c r="D84" i="1" s="1"/>
  <c r="V84" i="1" s="1"/>
  <c r="C78" i="1"/>
  <c r="D78" i="1" s="1"/>
  <c r="U78" i="1" s="1"/>
  <c r="C75" i="1"/>
  <c r="D75" i="1" s="1"/>
  <c r="W75" i="1" s="1"/>
  <c r="C72" i="1"/>
  <c r="D72" i="1" s="1"/>
  <c r="V72" i="1" s="1"/>
  <c r="C69" i="1"/>
  <c r="D69" i="1" s="1"/>
  <c r="U69" i="1" s="1"/>
  <c r="C66" i="1"/>
  <c r="D66" i="1" s="1"/>
  <c r="U66" i="1" s="1"/>
  <c r="AX16" i="1"/>
  <c r="C18" i="1"/>
  <c r="D18" i="1" s="1"/>
  <c r="W18" i="1" s="1"/>
  <c r="C19" i="1"/>
  <c r="D19" i="1" s="1"/>
  <c r="V19" i="1" s="1"/>
  <c r="C17" i="1"/>
  <c r="D17" i="1" s="1"/>
  <c r="W17" i="1" s="1"/>
  <c r="C12" i="1"/>
  <c r="D12" i="1" s="1"/>
  <c r="X12" i="1" s="1"/>
  <c r="C13" i="1"/>
  <c r="D13" i="1" s="1"/>
  <c r="X13" i="1" s="1"/>
  <c r="C11" i="1"/>
  <c r="D11" i="1" s="1"/>
  <c r="V11" i="1" s="1"/>
  <c r="T4" i="2" l="1"/>
  <c r="Q3" i="2"/>
  <c r="AA4" i="2"/>
  <c r="O4" i="2" s="1"/>
  <c r="Z4" i="2"/>
  <c r="AA3" i="2"/>
  <c r="O3" i="2" s="1"/>
  <c r="Z3" i="2"/>
  <c r="Q2" i="2"/>
  <c r="AA2" i="2"/>
  <c r="O2" i="2" s="1"/>
  <c r="J75" i="1"/>
  <c r="T75" i="1" s="1"/>
  <c r="X68" i="1"/>
  <c r="J74" i="1"/>
  <c r="T74" i="1" s="1"/>
  <c r="J67" i="1"/>
  <c r="T67" i="1" s="1"/>
  <c r="J73" i="1"/>
  <c r="T73" i="1" s="1"/>
  <c r="J66" i="1"/>
  <c r="T66" i="1" s="1"/>
  <c r="J89" i="1"/>
  <c r="T89" i="1" s="1"/>
  <c r="J88" i="1"/>
  <c r="T88" i="1" s="1"/>
  <c r="J80" i="1"/>
  <c r="T80" i="1" s="1"/>
  <c r="J72" i="1"/>
  <c r="T72" i="1" s="1"/>
  <c r="J57" i="1"/>
  <c r="T57" i="1" s="1"/>
  <c r="J87" i="1"/>
  <c r="T87" i="1" s="1"/>
  <c r="J79" i="1"/>
  <c r="T79" i="1" s="1"/>
  <c r="J71" i="1"/>
  <c r="T71" i="1" s="1"/>
  <c r="J86" i="1"/>
  <c r="T86" i="1" s="1"/>
  <c r="J78" i="1"/>
  <c r="T78" i="1" s="1"/>
  <c r="J70" i="1"/>
  <c r="T70" i="1" s="1"/>
  <c r="J37" i="1"/>
  <c r="T37" i="1" s="1"/>
  <c r="J59" i="1"/>
  <c r="T59" i="1" s="1"/>
  <c r="J85" i="1"/>
  <c r="T85" i="1" s="1"/>
  <c r="J77" i="1"/>
  <c r="T77" i="1" s="1"/>
  <c r="J69" i="1"/>
  <c r="T69" i="1" s="1"/>
  <c r="J58" i="1"/>
  <c r="T58" i="1" s="1"/>
  <c r="J84" i="1"/>
  <c r="T84" i="1" s="1"/>
  <c r="J76" i="1"/>
  <c r="T76" i="1" s="1"/>
  <c r="J53" i="1"/>
  <c r="T53" i="1" s="1"/>
  <c r="J26" i="1"/>
  <c r="T26" i="1" s="1"/>
  <c r="J52" i="1"/>
  <c r="T52" i="1" s="1"/>
  <c r="J44" i="1"/>
  <c r="T44" i="1" s="1"/>
  <c r="J45" i="1"/>
  <c r="T45" i="1" s="1"/>
  <c r="J47" i="1"/>
  <c r="T47" i="1" s="1"/>
  <c r="J51" i="1"/>
  <c r="T51" i="1" s="1"/>
  <c r="J43" i="1"/>
  <c r="T43" i="1" s="1"/>
  <c r="W80" i="1"/>
  <c r="J50" i="1"/>
  <c r="T50" i="1" s="1"/>
  <c r="J42" i="1"/>
  <c r="T42" i="1" s="1"/>
  <c r="X88" i="1"/>
  <c r="J49" i="1"/>
  <c r="T49" i="1" s="1"/>
  <c r="J68" i="1"/>
  <c r="T68" i="1" s="1"/>
  <c r="J48" i="1"/>
  <c r="T48" i="1" s="1"/>
  <c r="J31" i="1"/>
  <c r="T31" i="1" s="1"/>
  <c r="W48" i="1"/>
  <c r="J3" i="1"/>
  <c r="T3" i="1" s="1"/>
  <c r="J46" i="1"/>
  <c r="T46" i="1" s="1"/>
  <c r="J9" i="1"/>
  <c r="T9" i="1" s="1"/>
  <c r="U76" i="1"/>
  <c r="N76" i="1" s="1"/>
  <c r="W73" i="1"/>
  <c r="U47" i="1"/>
  <c r="V43" i="1"/>
  <c r="U34" i="1"/>
  <c r="J2" i="1"/>
  <c r="T2" i="1" s="1"/>
  <c r="V87" i="1"/>
  <c r="X84" i="1"/>
  <c r="W53" i="1"/>
  <c r="W49" i="1"/>
  <c r="U43" i="1"/>
  <c r="U13" i="1"/>
  <c r="U87" i="1"/>
  <c r="W84" i="1"/>
  <c r="V75" i="1"/>
  <c r="X72" i="1"/>
  <c r="J36" i="1"/>
  <c r="T36" i="1" s="1"/>
  <c r="J28" i="1"/>
  <c r="T28" i="1" s="1"/>
  <c r="U84" i="1"/>
  <c r="N84" i="1" s="1"/>
  <c r="X80" i="1"/>
  <c r="W77" i="1"/>
  <c r="U75" i="1"/>
  <c r="W72" i="1"/>
  <c r="X48" i="1"/>
  <c r="X35" i="1"/>
  <c r="X31" i="1"/>
  <c r="U72" i="1"/>
  <c r="N72" i="1" s="1"/>
  <c r="J4" i="1"/>
  <c r="T4" i="1" s="1"/>
  <c r="W88" i="1"/>
  <c r="U80" i="1"/>
  <c r="N80" i="1" s="1"/>
  <c r="W68" i="1"/>
  <c r="V59" i="1"/>
  <c r="V51" i="1"/>
  <c r="X44" i="1"/>
  <c r="W35" i="1"/>
  <c r="J11" i="1"/>
  <c r="T11" i="1" s="1"/>
  <c r="U88" i="1"/>
  <c r="N88" i="1" s="1"/>
  <c r="W85" i="1"/>
  <c r="X76" i="1"/>
  <c r="U68" i="1"/>
  <c r="N68" i="1" s="1"/>
  <c r="U59" i="1"/>
  <c r="U51" i="1"/>
  <c r="W44" i="1"/>
  <c r="L44" i="1" s="1"/>
  <c r="X40" i="1"/>
  <c r="V30" i="1"/>
  <c r="W76" i="1"/>
  <c r="V71" i="1"/>
  <c r="V47" i="1"/>
  <c r="W40" i="1"/>
  <c r="V34" i="1"/>
  <c r="U30" i="1"/>
  <c r="J35" i="1"/>
  <c r="T35" i="1" s="1"/>
  <c r="J34" i="1"/>
  <c r="T34" i="1" s="1"/>
  <c r="J33" i="1"/>
  <c r="T33" i="1" s="1"/>
  <c r="J32" i="1"/>
  <c r="T32" i="1" s="1"/>
  <c r="J30" i="1"/>
  <c r="T30" i="1" s="1"/>
  <c r="U26" i="1"/>
  <c r="X26" i="1"/>
  <c r="W28" i="1"/>
  <c r="V28" i="1"/>
  <c r="W31" i="1"/>
  <c r="L31" i="1" s="1"/>
  <c r="M31" i="1" s="1"/>
  <c r="J13" i="1"/>
  <c r="T13" i="1" s="1"/>
  <c r="X89" i="1"/>
  <c r="X85" i="1"/>
  <c r="X77" i="1"/>
  <c r="X73" i="1"/>
  <c r="X69" i="1"/>
  <c r="X57" i="1"/>
  <c r="X53" i="1"/>
  <c r="V52" i="1"/>
  <c r="X49" i="1"/>
  <c r="V48" i="1"/>
  <c r="N48" i="1" s="1"/>
  <c r="X45" i="1"/>
  <c r="V44" i="1"/>
  <c r="N44" i="1" s="1"/>
  <c r="X41" i="1"/>
  <c r="V40" i="1"/>
  <c r="N40" i="1" s="1"/>
  <c r="O40" i="1" s="1"/>
  <c r="X36" i="1"/>
  <c r="V35" i="1"/>
  <c r="N35" i="1" s="1"/>
  <c r="O35" i="1" s="1"/>
  <c r="X32" i="1"/>
  <c r="V31" i="1"/>
  <c r="N31" i="1" s="1"/>
  <c r="O31" i="1" s="1"/>
  <c r="U79" i="1"/>
  <c r="U71" i="1"/>
  <c r="U39" i="1"/>
  <c r="W69" i="1"/>
  <c r="W57" i="1"/>
  <c r="U52" i="1"/>
  <c r="N52" i="1" s="1"/>
  <c r="W45" i="1"/>
  <c r="W41" i="1"/>
  <c r="W36" i="1"/>
  <c r="W32" i="1"/>
  <c r="V79" i="1"/>
  <c r="V39" i="1"/>
  <c r="U67" i="1"/>
  <c r="J12" i="1"/>
  <c r="T12" i="1" s="1"/>
  <c r="W89" i="1"/>
  <c r="V89" i="1"/>
  <c r="N89" i="1" s="1"/>
  <c r="X86" i="1"/>
  <c r="V85" i="1"/>
  <c r="N85" i="1" s="1"/>
  <c r="X78" i="1"/>
  <c r="V77" i="1"/>
  <c r="N77" i="1" s="1"/>
  <c r="X74" i="1"/>
  <c r="V73" i="1"/>
  <c r="N73" i="1" s="1"/>
  <c r="X70" i="1"/>
  <c r="V69" i="1"/>
  <c r="N69" i="1" s="1"/>
  <c r="X66" i="1"/>
  <c r="X58" i="1"/>
  <c r="V57" i="1"/>
  <c r="N57" i="1" s="1"/>
  <c r="V53" i="1"/>
  <c r="N53" i="1" s="1"/>
  <c r="X50" i="1"/>
  <c r="V49" i="1"/>
  <c r="N49" i="1" s="1"/>
  <c r="X46" i="1"/>
  <c r="V45" i="1"/>
  <c r="N45" i="1" s="1"/>
  <c r="O45" i="1" s="1"/>
  <c r="X42" i="1"/>
  <c r="V41" i="1"/>
  <c r="N41" i="1" s="1"/>
  <c r="O41" i="1" s="1"/>
  <c r="X37" i="1"/>
  <c r="V36" i="1"/>
  <c r="N36" i="1" s="1"/>
  <c r="X33" i="1"/>
  <c r="V32" i="1"/>
  <c r="N32" i="1" s="1"/>
  <c r="O32" i="1" s="1"/>
  <c r="X29" i="1"/>
  <c r="J18" i="1"/>
  <c r="T18" i="1" s="1"/>
  <c r="J10" i="1"/>
  <c r="T10" i="1" s="1"/>
  <c r="V10" i="1"/>
  <c r="W86" i="1"/>
  <c r="W78" i="1"/>
  <c r="W74" i="1"/>
  <c r="W70" i="1"/>
  <c r="W66" i="1"/>
  <c r="W58" i="1"/>
  <c r="W50" i="1"/>
  <c r="W46" i="1"/>
  <c r="L46" i="1" s="1"/>
  <c r="W42" i="1"/>
  <c r="W37" i="1"/>
  <c r="W33" i="1"/>
  <c r="L33" i="1" s="1"/>
  <c r="M33" i="1" s="1"/>
  <c r="W29" i="1"/>
  <c r="V67" i="1"/>
  <c r="J24" i="1"/>
  <c r="T24" i="1" s="1"/>
  <c r="J17" i="1"/>
  <c r="T17" i="1" s="1"/>
  <c r="J29" i="1"/>
  <c r="T29" i="1" s="1"/>
  <c r="X87" i="1"/>
  <c r="V86" i="1"/>
  <c r="N86" i="1" s="1"/>
  <c r="X79" i="1"/>
  <c r="V78" i="1"/>
  <c r="N78" i="1" s="1"/>
  <c r="X75" i="1"/>
  <c r="V74" i="1"/>
  <c r="N74" i="1" s="1"/>
  <c r="X71" i="1"/>
  <c r="V70" i="1"/>
  <c r="N70" i="1" s="1"/>
  <c r="X67" i="1"/>
  <c r="V66" i="1"/>
  <c r="N66" i="1" s="1"/>
  <c r="X59" i="1"/>
  <c r="V58" i="1"/>
  <c r="N58" i="1" s="1"/>
  <c r="X51" i="1"/>
  <c r="V50" i="1"/>
  <c r="N50" i="1" s="1"/>
  <c r="X47" i="1"/>
  <c r="L47" i="1" s="1"/>
  <c r="V46" i="1"/>
  <c r="N46" i="1" s="1"/>
  <c r="X43" i="1"/>
  <c r="L43" i="1" s="1"/>
  <c r="V42" i="1"/>
  <c r="N42" i="1" s="1"/>
  <c r="O42" i="1" s="1"/>
  <c r="X39" i="1"/>
  <c r="L39" i="1" s="1"/>
  <c r="M39" i="1" s="1"/>
  <c r="V37" i="1"/>
  <c r="N37" i="1" s="1"/>
  <c r="X34" i="1"/>
  <c r="L34" i="1" s="1"/>
  <c r="M34" i="1" s="1"/>
  <c r="V33" i="1"/>
  <c r="N33" i="1" s="1"/>
  <c r="O33" i="1" s="1"/>
  <c r="X30" i="1"/>
  <c r="L30" i="1" s="1"/>
  <c r="M30" i="1" s="1"/>
  <c r="V29" i="1"/>
  <c r="N29" i="1" s="1"/>
  <c r="O29" i="1" s="1"/>
  <c r="X52" i="1"/>
  <c r="J27" i="1"/>
  <c r="T27" i="1" s="1"/>
  <c r="X23" i="1"/>
  <c r="W23" i="1"/>
  <c r="U23" i="1"/>
  <c r="V23" i="1"/>
  <c r="V25" i="1"/>
  <c r="W25" i="1"/>
  <c r="U25" i="1"/>
  <c r="X25" i="1"/>
  <c r="V24" i="1"/>
  <c r="W24" i="1"/>
  <c r="U24" i="1"/>
  <c r="X24" i="1"/>
  <c r="X18" i="1"/>
  <c r="L18" i="1" s="1"/>
  <c r="U28" i="1"/>
  <c r="N28" i="1" s="1"/>
  <c r="W26" i="1"/>
  <c r="X10" i="1"/>
  <c r="L10" i="1" s="1"/>
  <c r="D27" i="1"/>
  <c r="V26" i="1"/>
  <c r="J8" i="1"/>
  <c r="T8" i="1" s="1"/>
  <c r="J19" i="1"/>
  <c r="T19" i="1" s="1"/>
  <c r="J23" i="1"/>
  <c r="T23" i="1" s="1"/>
  <c r="X28" i="1"/>
  <c r="J25" i="1"/>
  <c r="T25" i="1" s="1"/>
  <c r="V8" i="1"/>
  <c r="N8" i="1" s="1"/>
  <c r="W8" i="1"/>
  <c r="V18" i="1"/>
  <c r="X19" i="1"/>
  <c r="X11" i="1"/>
  <c r="X3" i="1"/>
  <c r="U12" i="1"/>
  <c r="U4" i="1"/>
  <c r="V9" i="1"/>
  <c r="X17" i="1"/>
  <c r="L17" i="1" s="1"/>
  <c r="M17" i="1" s="1"/>
  <c r="X9" i="1"/>
  <c r="L9" i="1" s="1"/>
  <c r="U19" i="1"/>
  <c r="N19" i="1" s="1"/>
  <c r="U11" i="1"/>
  <c r="N11" i="1" s="1"/>
  <c r="U3" i="1"/>
  <c r="N3" i="1" s="1"/>
  <c r="W13" i="1"/>
  <c r="L13" i="1" s="1"/>
  <c r="M13" i="1" s="1"/>
  <c r="V13" i="1"/>
  <c r="N13" i="1" s="1"/>
  <c r="X8" i="1"/>
  <c r="U18" i="1"/>
  <c r="U10" i="1"/>
  <c r="W12" i="1"/>
  <c r="L12" i="1" s="1"/>
  <c r="M12" i="1" s="1"/>
  <c r="W4" i="1"/>
  <c r="L4" i="1" s="1"/>
  <c r="V12" i="1"/>
  <c r="U17" i="1"/>
  <c r="U9" i="1"/>
  <c r="V17" i="1"/>
  <c r="W19" i="1"/>
  <c r="W11" i="1"/>
  <c r="W3" i="1"/>
  <c r="V4" i="1"/>
  <c r="X2" i="1"/>
  <c r="AA6" i="1"/>
  <c r="P7" i="1"/>
  <c r="AA14" i="1"/>
  <c r="AA15" i="1"/>
  <c r="AA16" i="1"/>
  <c r="AA20" i="1"/>
  <c r="AA21" i="1"/>
  <c r="AA22" i="1"/>
  <c r="AA54" i="1"/>
  <c r="AA55" i="1"/>
  <c r="AA56" i="1"/>
  <c r="AA60" i="1"/>
  <c r="AA61" i="1"/>
  <c r="AA62" i="1"/>
  <c r="AA63" i="1"/>
  <c r="AA64" i="1"/>
  <c r="AA65" i="1"/>
  <c r="AA81" i="1"/>
  <c r="AA82" i="1"/>
  <c r="AA83" i="1"/>
  <c r="AA90" i="1"/>
  <c r="AA91" i="1"/>
  <c r="AA92" i="1"/>
  <c r="AA5" i="1"/>
  <c r="BA6" i="1"/>
  <c r="M4" i="2" l="1"/>
  <c r="J4" i="2"/>
  <c r="L4" i="2" s="1"/>
  <c r="J3" i="2"/>
  <c r="L3" i="2" s="1"/>
  <c r="M3" i="2"/>
  <c r="M2" i="2"/>
  <c r="J2" i="2"/>
  <c r="L2" i="2" s="1"/>
  <c r="O11" i="1"/>
  <c r="AD11" i="1"/>
  <c r="L45" i="1"/>
  <c r="M45" i="1" s="1"/>
  <c r="O8" i="1"/>
  <c r="AD8" i="1"/>
  <c r="L36" i="1"/>
  <c r="L35" i="1"/>
  <c r="M35" i="1" s="1"/>
  <c r="N51" i="1"/>
  <c r="N39" i="1"/>
  <c r="O39" i="1" s="1"/>
  <c r="L28" i="1"/>
  <c r="N71" i="1"/>
  <c r="N75" i="1"/>
  <c r="N79" i="1"/>
  <c r="N87" i="1"/>
  <c r="N34" i="1"/>
  <c r="O34" i="1" s="1"/>
  <c r="N43" i="1"/>
  <c r="L40" i="1"/>
  <c r="M40" i="1" s="1"/>
  <c r="N59" i="1"/>
  <c r="N30" i="1"/>
  <c r="O30" i="1" s="1"/>
  <c r="N47" i="1"/>
  <c r="N26" i="1"/>
  <c r="O26" i="1" s="1"/>
  <c r="L29" i="1"/>
  <c r="M29" i="1" s="1"/>
  <c r="L19" i="1"/>
  <c r="N18" i="1"/>
  <c r="N67" i="1"/>
  <c r="L37" i="1"/>
  <c r="L42" i="1"/>
  <c r="M42" i="1" s="1"/>
  <c r="L41" i="1"/>
  <c r="M41" i="1" s="1"/>
  <c r="L32" i="1"/>
  <c r="M32" i="1" s="1"/>
  <c r="N9" i="1"/>
  <c r="L26" i="1"/>
  <c r="M26" i="1" s="1"/>
  <c r="N25" i="1"/>
  <c r="N12" i="1"/>
  <c r="N10" i="1"/>
  <c r="N24" i="1"/>
  <c r="L8" i="1"/>
  <c r="L24" i="1"/>
  <c r="L11" i="1"/>
  <c r="L25" i="1"/>
  <c r="N23" i="1"/>
  <c r="O23" i="1" s="1"/>
  <c r="L23" i="1"/>
  <c r="M23" i="1" s="1"/>
  <c r="W27" i="1"/>
  <c r="X27" i="1"/>
  <c r="U27" i="1"/>
  <c r="V27" i="1"/>
  <c r="N4" i="1"/>
  <c r="N2" i="1"/>
  <c r="N17" i="1"/>
  <c r="O17" i="1" s="1"/>
  <c r="C92" i="1"/>
  <c r="C91" i="1"/>
  <c r="D83" i="1"/>
  <c r="D82" i="1"/>
  <c r="D65" i="1"/>
  <c r="D64" i="1"/>
  <c r="C62" i="1"/>
  <c r="C61" i="1"/>
  <c r="C56" i="1"/>
  <c r="C55" i="1"/>
  <c r="C22" i="1"/>
  <c r="C21" i="1"/>
  <c r="C16" i="1"/>
  <c r="C15" i="1"/>
  <c r="C7" i="1"/>
  <c r="C6" i="1"/>
  <c r="M11" i="1" l="1"/>
  <c r="AC11" i="1"/>
  <c r="M2" i="1"/>
  <c r="AC2" i="1"/>
  <c r="M8" i="1"/>
  <c r="AC8" i="1"/>
  <c r="O2" i="1"/>
  <c r="AD2" i="1"/>
  <c r="D55" i="1"/>
  <c r="W55" i="1" s="1"/>
  <c r="J55" i="1"/>
  <c r="T55" i="1" s="1"/>
  <c r="D56" i="1"/>
  <c r="X56" i="1" s="1"/>
  <c r="J56" i="1"/>
  <c r="T56" i="1" s="1"/>
  <c r="D61" i="1"/>
  <c r="X61" i="1" s="1"/>
  <c r="J61" i="1"/>
  <c r="T61" i="1" s="1"/>
  <c r="D92" i="1"/>
  <c r="U92" i="1" s="1"/>
  <c r="J92" i="1"/>
  <c r="T92" i="1" s="1"/>
  <c r="D62" i="1"/>
  <c r="V62" i="1" s="1"/>
  <c r="J62" i="1"/>
  <c r="T62" i="1" s="1"/>
  <c r="D91" i="1"/>
  <c r="X91" i="1" s="1"/>
  <c r="J91" i="1"/>
  <c r="T91" i="1" s="1"/>
  <c r="W91" i="1"/>
  <c r="X55" i="1"/>
  <c r="W56" i="1"/>
  <c r="L56" i="1" s="1"/>
  <c r="U56" i="1"/>
  <c r="N56" i="1" s="1"/>
  <c r="V56" i="1"/>
  <c r="U64" i="1"/>
  <c r="W64" i="1"/>
  <c r="V64" i="1"/>
  <c r="X64" i="1"/>
  <c r="W65" i="1"/>
  <c r="U65" i="1"/>
  <c r="V65" i="1"/>
  <c r="X65" i="1"/>
  <c r="U61" i="1"/>
  <c r="V61" i="1"/>
  <c r="W61" i="1"/>
  <c r="U82" i="1"/>
  <c r="V82" i="1"/>
  <c r="W82" i="1"/>
  <c r="X82" i="1"/>
  <c r="W83" i="1"/>
  <c r="U83" i="1"/>
  <c r="X83" i="1"/>
  <c r="V83" i="1"/>
  <c r="N27" i="1"/>
  <c r="D6" i="1"/>
  <c r="U6" i="1" s="1"/>
  <c r="J6" i="1"/>
  <c r="T6" i="1" s="1"/>
  <c r="D15" i="1"/>
  <c r="W15" i="1" s="1"/>
  <c r="J15" i="1"/>
  <c r="T15" i="1" s="1"/>
  <c r="D16" i="1"/>
  <c r="U16" i="1" s="1"/>
  <c r="J16" i="1"/>
  <c r="T16" i="1" s="1"/>
  <c r="D7" i="1"/>
  <c r="X7" i="1" s="1"/>
  <c r="J7" i="1"/>
  <c r="T7" i="1" s="1"/>
  <c r="D21" i="1"/>
  <c r="X21" i="1" s="1"/>
  <c r="J21" i="1"/>
  <c r="T21" i="1" s="1"/>
  <c r="D22" i="1"/>
  <c r="U22" i="1" s="1"/>
  <c r="J22" i="1"/>
  <c r="T22" i="1" s="1"/>
  <c r="L27" i="1"/>
  <c r="AX14" i="1"/>
  <c r="AX15" i="1"/>
  <c r="AC60" i="1"/>
  <c r="AC63" i="1"/>
  <c r="AC81" i="1"/>
  <c r="AC90" i="1"/>
  <c r="M81" i="1"/>
  <c r="M90" i="1"/>
  <c r="C90" i="1"/>
  <c r="D81" i="1"/>
  <c r="AT12" i="1"/>
  <c r="AT11" i="1"/>
  <c r="AU7" i="1"/>
  <c r="AT6" i="1"/>
  <c r="AT5" i="1"/>
  <c r="M60" i="1"/>
  <c r="M63" i="1"/>
  <c r="D63" i="1"/>
  <c r="C20" i="1"/>
  <c r="C14" i="1"/>
  <c r="C5" i="1"/>
  <c r="C60" i="1"/>
  <c r="C54" i="1"/>
  <c r="V21" i="1" l="1"/>
  <c r="V92" i="1"/>
  <c r="L55" i="1"/>
  <c r="X92" i="1"/>
  <c r="U62" i="1"/>
  <c r="N65" i="1"/>
  <c r="W92" i="1"/>
  <c r="N64" i="1"/>
  <c r="U55" i="1"/>
  <c r="U91" i="1"/>
  <c r="N61" i="1"/>
  <c r="V91" i="1"/>
  <c r="X15" i="1"/>
  <c r="V15" i="1"/>
  <c r="W6" i="1"/>
  <c r="L6" i="1" s="1"/>
  <c r="M6" i="1" s="1"/>
  <c r="V55" i="1"/>
  <c r="N55" i="1" s="1"/>
  <c r="N82" i="1"/>
  <c r="N92" i="1"/>
  <c r="D60" i="1"/>
  <c r="X60" i="1" s="1"/>
  <c r="J60" i="1"/>
  <c r="T60" i="1" s="1"/>
  <c r="X22" i="1"/>
  <c r="X62" i="1"/>
  <c r="D90" i="1"/>
  <c r="W90" i="1" s="1"/>
  <c r="J90" i="1"/>
  <c r="T90" i="1" s="1"/>
  <c r="V22" i="1"/>
  <c r="W62" i="1"/>
  <c r="W21" i="1"/>
  <c r="L21" i="1" s="1"/>
  <c r="D54" i="1"/>
  <c r="U54" i="1" s="1"/>
  <c r="J54" i="1"/>
  <c r="T54" i="1" s="1"/>
  <c r="N83" i="1"/>
  <c r="N62" i="1"/>
  <c r="V6" i="1"/>
  <c r="N6" i="1" s="1"/>
  <c r="X6" i="1"/>
  <c r="W7" i="1"/>
  <c r="L7" i="1" s="1"/>
  <c r="W16" i="1"/>
  <c r="U21" i="1"/>
  <c r="V7" i="1"/>
  <c r="U15" i="1"/>
  <c r="N15" i="1" s="1"/>
  <c r="N21" i="1"/>
  <c r="N22" i="1"/>
  <c r="U81" i="1"/>
  <c r="W81" i="1"/>
  <c r="V81" i="1"/>
  <c r="X81" i="1"/>
  <c r="U7" i="1"/>
  <c r="W63" i="1"/>
  <c r="X63" i="1"/>
  <c r="V63" i="1"/>
  <c r="U63" i="1"/>
  <c r="W54" i="1"/>
  <c r="L54" i="1" s="1"/>
  <c r="X54" i="1"/>
  <c r="W22" i="1"/>
  <c r="L22" i="1" s="1"/>
  <c r="X16" i="1"/>
  <c r="D5" i="1"/>
  <c r="U5" i="1" s="1"/>
  <c r="J5" i="1"/>
  <c r="T5" i="1" s="1"/>
  <c r="D14" i="1"/>
  <c r="U14" i="1" s="1"/>
  <c r="J14" i="1"/>
  <c r="T14" i="1" s="1"/>
  <c r="V16" i="1"/>
  <c r="N16" i="1" s="1"/>
  <c r="D20" i="1"/>
  <c r="U20" i="1" s="1"/>
  <c r="J20" i="1"/>
  <c r="T20" i="1" s="1"/>
  <c r="L15" i="1"/>
  <c r="X5" i="1"/>
  <c r="L16" i="1" l="1"/>
  <c r="AC54" i="1"/>
  <c r="M54" i="1"/>
  <c r="W60" i="1"/>
  <c r="V60" i="1"/>
  <c r="V54" i="1"/>
  <c r="N54" i="1" s="1"/>
  <c r="O54" i="1" s="1"/>
  <c r="V90" i="1"/>
  <c r="U60" i="1"/>
  <c r="N60" i="1" s="1"/>
  <c r="U90" i="1"/>
  <c r="N90" i="1" s="1"/>
  <c r="N63" i="1"/>
  <c r="N91" i="1"/>
  <c r="V20" i="1"/>
  <c r="N20" i="1" s="1"/>
  <c r="O20" i="1" s="1"/>
  <c r="N81" i="1"/>
  <c r="X90" i="1"/>
  <c r="W5" i="1"/>
  <c r="L5" i="1" s="1"/>
  <c r="V5" i="1"/>
  <c r="N5" i="1" s="1"/>
  <c r="W20" i="1"/>
  <c r="X20" i="1"/>
  <c r="W14" i="1"/>
  <c r="L14" i="1" s="1"/>
  <c r="AC14" i="1" s="1"/>
  <c r="X14" i="1"/>
  <c r="V14" i="1"/>
  <c r="N14" i="1" s="1"/>
  <c r="N7" i="1"/>
  <c r="O5" i="1" l="1"/>
  <c r="AD5" i="1"/>
  <c r="O14" i="1"/>
  <c r="AD14" i="1"/>
  <c r="L20" i="1"/>
  <c r="AC20" i="1" s="1"/>
  <c r="M14" i="1"/>
  <c r="AC5" i="1"/>
  <c r="M5" i="1"/>
  <c r="M20" i="1" l="1"/>
</calcChain>
</file>

<file path=xl/sharedStrings.xml><?xml version="1.0" encoding="utf-8"?>
<sst xmlns="http://schemas.openxmlformats.org/spreadsheetml/2006/main" count="112" uniqueCount="77">
  <si>
    <t>gal/min</t>
  </si>
  <si>
    <t>N</t>
  </si>
  <si>
    <t>Rel. Error</t>
  </si>
  <si>
    <t>Std. Dev.</t>
  </si>
  <si>
    <t>ID (in)</t>
  </si>
  <si>
    <t>DP (in)</t>
  </si>
  <si>
    <t>Fluent dp/dx (Pa/m)</t>
  </si>
  <si>
    <t>Cheng dp/dx (Pa/m)</t>
  </si>
  <si>
    <t>continuity convergence</t>
  </si>
  <si>
    <t>notes</t>
  </si>
  <si>
    <t>fluent fixed, high continuity residual</t>
  </si>
  <si>
    <t>pressure convergence</t>
  </si>
  <si>
    <t>yes</t>
  </si>
  <si>
    <t>oscillating about a solution. Refine mesh just a bit (used 2e-3, 15" long)</t>
  </si>
  <si>
    <t>mesh size 2e-3, porous length 15"</t>
  </si>
  <si>
    <t>Same as 1/4" DP ^</t>
  </si>
  <si>
    <t>case name</t>
  </si>
  <si>
    <t>three_halves_ID_somewhat_coarse_longer_one_eight_DP</t>
  </si>
  <si>
    <t>three_halves_ID_somewhat_coarse_longer_one_quarter_DP.cas</t>
  </si>
  <si>
    <t>three_halves_ID_somewhat_coarse_longer_seven_sixteen_DP.cas</t>
  </si>
  <si>
    <t>one_quarter_in_in_out_pt_8mm_DP_fixed.cas</t>
  </si>
  <si>
    <t>one_quarter_in_in_out_1mm_DP_fixed.cas</t>
  </si>
  <si>
    <t>one_quarter_in_in_out_1_pt_2mm_DP_fixed.cas</t>
  </si>
  <si>
    <t>one_in_ID_one_quarter_DP_long.cas</t>
  </si>
  <si>
    <t>one_in_ID_seven_sixteen_DP_long.cas</t>
  </si>
  <si>
    <t>2090.0564133858265 total pressure drop, great continuity but strange behavior at end of porous zone</t>
  </si>
  <si>
    <t>facet avg velo</t>
  </si>
  <si>
    <t>fluent new c1c2</t>
  </si>
  <si>
    <t>avg velo guess</t>
  </si>
  <si>
    <t>con conv new c1c2</t>
  </si>
  <si>
    <t>pres conv new c1c2</t>
  </si>
  <si>
    <t>case name new c1c2</t>
  </si>
  <si>
    <t>one_quarter_ID_pt_8_DP_fourier_new_C1C2.cas</t>
  </si>
  <si>
    <t>one_quarter_ID_one_DP_fourier_new_C1C2_NO_conv.cas</t>
  </si>
  <si>
    <t>bad convergence on velo too- 1.3742e-02</t>
  </si>
  <si>
    <t>1/4",1"</t>
  </si>
  <si>
    <t>cheng with hard code velo</t>
  </si>
  <si>
    <t>porosity total</t>
  </si>
  <si>
    <t>porosity vol avg</t>
  </si>
  <si>
    <t>Cheng dP/dx (Pa/m)</t>
  </si>
  <si>
    <t>re-check with correct vol avg porosity input into fluent for init turbulence calc</t>
  </si>
  <si>
    <t>por flu vol</t>
  </si>
  <si>
    <t>cheng my vol avg poros</t>
  </si>
  <si>
    <t>rel err my vol avg poros</t>
  </si>
  <si>
    <t>AE mine</t>
  </si>
  <si>
    <t>BE mine</t>
  </si>
  <si>
    <t>AE fluent</t>
  </si>
  <si>
    <t>BE fluent</t>
  </si>
  <si>
    <t>superficial velo</t>
  </si>
  <si>
    <t>Re (mine)</t>
  </si>
  <si>
    <t>turb %</t>
  </si>
  <si>
    <t>Weight Std Dev</t>
  </si>
  <si>
    <t>RE ncs wgt</t>
  </si>
  <si>
    <t>RE ncs fluent</t>
  </si>
  <si>
    <t>242036.18863124 is superficial</t>
  </si>
  <si>
    <t>porosity fluent vol avg</t>
  </si>
  <si>
    <t>Fluent phys velo?</t>
  </si>
  <si>
    <t>A_E</t>
  </si>
  <si>
    <t>B_E</t>
  </si>
  <si>
    <t>C1 (m^-2)</t>
  </si>
  <si>
    <t>C1 fluent (m^-2)</t>
  </si>
  <si>
    <t>C2 (m^-1)</t>
  </si>
  <si>
    <t>C2 fluent (m^-1)</t>
  </si>
  <si>
    <t>Cheng fluent C1C2</t>
  </si>
  <si>
    <t>wgt stddev</t>
  </si>
  <si>
    <t>0pt26-0pt7_25pt4-2D</t>
  </si>
  <si>
    <t>Fluent dpdx test</t>
  </si>
  <si>
    <t>no</t>
  </si>
  <si>
    <t>0pt26-0pt7_25pt4-2D-supvel</t>
  </si>
  <si>
    <t>DNC w/ turbulence</t>
  </si>
  <si>
    <t>DNC w/ physical velo</t>
  </si>
  <si>
    <t>0pt26-0pt7_25pt4-2D-turb</t>
  </si>
  <si>
    <t>Re</t>
  </si>
  <si>
    <t>radial/uniform porosity</t>
  </si>
  <si>
    <t>radial</t>
  </si>
  <si>
    <t>uniform</t>
  </si>
  <si>
    <t>&lt;1E-6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</si>
</sst>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E+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1" fontId="0" fillId="0" borderId="9" xfId="0" applyNumberFormat="1" applyBorder="1"/>
    <xf numFmtId="11" fontId="0" fillId="0" borderId="2" xfId="0" applyNumberForma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166" fontId="0" fillId="0" borderId="0" xfId="0" applyNumberFormat="1" applyBorder="1"/>
    <xf numFmtId="10" fontId="0" fillId="0" borderId="0" xfId="1" applyNumberFormat="1" applyFont="1" applyBorder="1"/>
    <xf numFmtId="11" fontId="0" fillId="0" borderId="0" xfId="0" applyNumberFormat="1" applyBorder="1"/>
    <xf numFmtId="0" fontId="0" fillId="0" borderId="12" xfId="0" applyBorder="1"/>
    <xf numFmtId="0" fontId="0" fillId="0" borderId="13" xfId="0" applyBorder="1"/>
    <xf numFmtId="166" fontId="0" fillId="0" borderId="2" xfId="0" applyNumberFormat="1" applyBorder="1"/>
    <xf numFmtId="10" fontId="0" fillId="0" borderId="2" xfId="1" applyNumberFormat="1" applyFont="1" applyBorder="1"/>
    <xf numFmtId="0" fontId="0" fillId="0" borderId="1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9792E-B442-477C-BC50-852CC27D29E1}">
  <dimension ref="A1:AB8"/>
  <sheetViews>
    <sheetView tabSelected="1" zoomScaleNormal="100" workbookViewId="0">
      <selection activeCell="D17" sqref="D17"/>
    </sheetView>
  </sheetViews>
  <sheetFormatPr defaultRowHeight="14.4" x14ac:dyDescent="0.55000000000000004"/>
  <cols>
    <col min="2" max="2" width="9.47265625" customWidth="1"/>
    <col min="4" max="4" width="19.89453125" customWidth="1"/>
    <col min="5" max="5" width="14.1015625" customWidth="1"/>
    <col min="8" max="8" width="13.5234375" customWidth="1"/>
    <col min="9" max="9" width="18.1015625" customWidth="1"/>
    <col min="10" max="11" width="16.3125" customWidth="1"/>
    <col min="12" max="12" width="9.05078125" bestFit="1" customWidth="1"/>
    <col min="13" max="13" width="9.7890625" customWidth="1"/>
    <col min="14" max="14" width="13.734375" customWidth="1"/>
    <col min="15" max="15" width="10.20703125" customWidth="1"/>
    <col min="16" max="16" width="14.1015625" customWidth="1"/>
    <col min="17" max="17" width="15.26171875" customWidth="1"/>
    <col min="18" max="18" width="13.41796875" customWidth="1"/>
    <col min="19" max="19" width="9.68359375" customWidth="1"/>
    <col min="21" max="21" width="23.5234375" customWidth="1"/>
    <col min="22" max="22" width="18.734375" customWidth="1"/>
    <col min="23" max="23" width="18.1015625" customWidth="1"/>
    <col min="28" max="28" width="12.47265625" customWidth="1"/>
  </cols>
  <sheetData>
    <row r="1" spans="1:28" s="15" customFormat="1" ht="14.7" thickBot="1" x14ac:dyDescent="0.6">
      <c r="A1" s="15" t="s">
        <v>4</v>
      </c>
      <c r="B1" s="15" t="s">
        <v>5</v>
      </c>
      <c r="C1" s="15" t="s">
        <v>0</v>
      </c>
      <c r="D1" s="15" t="s">
        <v>73</v>
      </c>
      <c r="E1" s="15" t="s">
        <v>56</v>
      </c>
      <c r="F1" s="15" t="s">
        <v>50</v>
      </c>
      <c r="G1" s="15" t="s">
        <v>1</v>
      </c>
      <c r="H1" s="15" t="s">
        <v>38</v>
      </c>
      <c r="I1" s="15" t="s">
        <v>55</v>
      </c>
      <c r="J1" s="15" t="s">
        <v>39</v>
      </c>
      <c r="K1" s="15" t="s">
        <v>6</v>
      </c>
      <c r="L1" s="15" t="s">
        <v>2</v>
      </c>
      <c r="M1" s="15" t="s">
        <v>59</v>
      </c>
      <c r="N1" s="15" t="s">
        <v>60</v>
      </c>
      <c r="O1" s="15" t="s">
        <v>61</v>
      </c>
      <c r="P1" s="15" t="s">
        <v>62</v>
      </c>
      <c r="Q1" s="15" t="s">
        <v>63</v>
      </c>
      <c r="R1" s="15" t="s">
        <v>66</v>
      </c>
      <c r="S1" s="15" t="s">
        <v>64</v>
      </c>
      <c r="T1" s="15" t="s">
        <v>72</v>
      </c>
      <c r="U1" s="15" t="s">
        <v>16</v>
      </c>
      <c r="V1" s="15" t="s">
        <v>8</v>
      </c>
      <c r="W1" s="15" t="s">
        <v>11</v>
      </c>
      <c r="X1" s="15" t="s">
        <v>9</v>
      </c>
      <c r="Z1" s="15" t="s">
        <v>57</v>
      </c>
      <c r="AA1" s="15" t="s">
        <v>58</v>
      </c>
      <c r="AB1" s="15" t="s">
        <v>48</v>
      </c>
    </row>
    <row r="2" spans="1:28" ht="14.7" thickTop="1" x14ac:dyDescent="0.55000000000000004">
      <c r="A2" s="17">
        <v>0.26</v>
      </c>
      <c r="B2" s="16">
        <f>0.7/25.4</f>
        <v>2.7559055118110236E-2</v>
      </c>
      <c r="C2" s="16">
        <v>1</v>
      </c>
      <c r="D2" s="16" t="s">
        <v>74</v>
      </c>
      <c r="E2" s="16" t="s">
        <v>12</v>
      </c>
      <c r="F2" s="16">
        <v>0</v>
      </c>
      <c r="G2" s="16">
        <f>A2/B2</f>
        <v>9.4342857142857142</v>
      </c>
      <c r="H2" s="16">
        <v>0.39143350491468798</v>
      </c>
      <c r="I2" s="16">
        <v>0.39160763999999998</v>
      </c>
      <c r="J2" s="18">
        <f>Z2*POWER(1-I2,2)*0.001003*AB2/(POWER(I2,3)*POWER(B2*0.0254,2)) + AA2*(1-I2)*998.2*POWER(AB2,2)/(POWER(I2,3)*(B2*0.0254))</f>
        <v>80244602.884925619</v>
      </c>
      <c r="K2" s="18">
        <v>46579499.476851299</v>
      </c>
      <c r="L2" s="19">
        <f>2*(J2-K2)/(J2+K2)</f>
        <v>0.53089440857293269</v>
      </c>
      <c r="M2" s="18">
        <f>Z2*(1-I2)^2/((I2^3)*((B2*0.0254)^2))</f>
        <v>2499173050.7885456</v>
      </c>
      <c r="N2" s="18">
        <f>10218752000</f>
        <v>10218752000</v>
      </c>
      <c r="O2" s="18">
        <f>2*AA2*(1-I2)/((I2^3)*B2*0.0254)</f>
        <v>44666.026285756612</v>
      </c>
      <c r="P2" s="18">
        <v>197536.08</v>
      </c>
      <c r="Q2" s="18">
        <f>N2*0.001003*AB2 + 0.5*P2*998.2*AB2^2</f>
        <v>353342306.24495471</v>
      </c>
      <c r="R2" s="18">
        <v>50361280</v>
      </c>
      <c r="S2" s="16">
        <v>0.16599192600210799</v>
      </c>
      <c r="T2" s="16">
        <f>AB2*0.0254*B2*998.2/(0.001003*I2)</f>
        <v>3276.5845970308455</v>
      </c>
      <c r="U2" s="16" t="s">
        <v>65</v>
      </c>
      <c r="V2" s="20">
        <v>2.486E-6</v>
      </c>
      <c r="W2" s="20">
        <v>4.8038000000000003E-9</v>
      </c>
      <c r="X2" s="16" t="s">
        <v>69</v>
      </c>
      <c r="Y2" s="16"/>
      <c r="Z2" s="16">
        <f>(185+(17*I2/(1-I2))*POWER(G2/(G2-1),2))</f>
        <v>198.69108154815825</v>
      </c>
      <c r="AA2" s="16">
        <f>1.3*POWER((1-I2)/I2,1/3)+0.03*POWER(G2/(G2-1),2)</f>
        <v>1.543174640729875</v>
      </c>
      <c r="AB2" s="21">
        <f>C2*0.003785411784/(60*PI()*POWER(A2*0.0127,2))</f>
        <v>1.8418653118291655</v>
      </c>
    </row>
    <row r="3" spans="1:28" x14ac:dyDescent="0.55000000000000004">
      <c r="A3" s="17">
        <v>0.26</v>
      </c>
      <c r="B3" s="16">
        <f>0.7/25.4</f>
        <v>2.7559055118110236E-2</v>
      </c>
      <c r="C3" s="16">
        <v>1</v>
      </c>
      <c r="D3" s="16" t="s">
        <v>74</v>
      </c>
      <c r="E3" s="16" t="s">
        <v>67</v>
      </c>
      <c r="F3" s="16">
        <v>0</v>
      </c>
      <c r="G3" s="16">
        <f>A3/B3</f>
        <v>9.4342857142857142</v>
      </c>
      <c r="H3" s="16">
        <v>0.39143350491468798</v>
      </c>
      <c r="I3" s="16">
        <v>0.39160763999999998</v>
      </c>
      <c r="J3" s="18">
        <f>Z3*POWER(1-I3,2)*0.001003*AB3/(POWER(I3,3)*POWER(B3*0.0254,2)) + AA3*(1-I3)*998.2*POWER(AB3,2)/(POWER(I3,3)*(B3*0.0254))</f>
        <v>80244602.884925619</v>
      </c>
      <c r="K3" s="18">
        <v>44927448.348657697</v>
      </c>
      <c r="L3" s="19">
        <f>2*(J3-K3)/(J3+K3)</f>
        <v>0.56429776756414496</v>
      </c>
      <c r="M3" s="18">
        <f>Z3*(1-I3)^2/((I3^3)*((B3*0.0254)^2))</f>
        <v>2499173050.7885456</v>
      </c>
      <c r="N3" s="18">
        <f>10218752000</f>
        <v>10218752000</v>
      </c>
      <c r="O3" s="18">
        <f>2*AA3*(1-I3)/((I3^3)*B3*0.0254)</f>
        <v>44666.026285756612</v>
      </c>
      <c r="P3" s="18">
        <v>197536.08</v>
      </c>
      <c r="Q3" s="18">
        <f>N3*0.001003*AB3 + 0.5*P3*998.2*AB3^2</f>
        <v>353342306.24495471</v>
      </c>
      <c r="R3" s="18">
        <v>44517962</v>
      </c>
      <c r="S3" s="16">
        <v>0.16599192600210799</v>
      </c>
      <c r="T3" s="16">
        <f>AB3*0.0254*B3*998.2/(0.001003*I3)</f>
        <v>3276.5845970308455</v>
      </c>
      <c r="U3" s="16" t="s">
        <v>68</v>
      </c>
      <c r="V3" s="20">
        <v>1.5909E-2</v>
      </c>
      <c r="W3" s="20">
        <v>1.1571999999999999E-6</v>
      </c>
      <c r="X3" s="16"/>
      <c r="Y3" s="16"/>
      <c r="Z3" s="16">
        <f>(185+(17*I3/(1-I3))*POWER(G3/(G3-1),2))</f>
        <v>198.69108154815825</v>
      </c>
      <c r="AA3" s="16">
        <f>1.3*POWER((1-I3)/I3,1/3)+0.03*POWER(G3/(G3-1),2)</f>
        <v>1.543174640729875</v>
      </c>
      <c r="AB3" s="21">
        <f>C3*0.003785411784/(60*PI()*POWER(A3*0.0127,2))</f>
        <v>1.8418653118291655</v>
      </c>
    </row>
    <row r="4" spans="1:28" x14ac:dyDescent="0.55000000000000004">
      <c r="A4" s="17">
        <v>0.26</v>
      </c>
      <c r="B4" s="16">
        <f>0.7/25.4</f>
        <v>2.7559055118110236E-2</v>
      </c>
      <c r="C4" s="16">
        <v>1</v>
      </c>
      <c r="D4" s="16" t="s">
        <v>74</v>
      </c>
      <c r="E4" s="16" t="s">
        <v>67</v>
      </c>
      <c r="F4" s="16">
        <v>6.1462083460340002</v>
      </c>
      <c r="G4" s="16">
        <f>A4/B4</f>
        <v>9.4342857142857142</v>
      </c>
      <c r="H4" s="16">
        <v>0.39143350491468798</v>
      </c>
      <c r="I4" s="16">
        <v>0.39160763999999998</v>
      </c>
      <c r="J4" s="18">
        <f>Z4*POWER(1-I4,2)*0.001003*AB4/(POWER(I4,3)*POWER(B4*0.0254,2)) + AA4*(1-I4)*998.2*POWER(AB4,2)/(POWER(I4,3)*(B4*0.0254))</f>
        <v>80244602.884925619</v>
      </c>
      <c r="K4" s="18">
        <v>71510191.312465996</v>
      </c>
      <c r="L4" s="19">
        <f>2*(J4-K4)/(J4+K4)</f>
        <v>0.11511216655334834</v>
      </c>
      <c r="M4" s="18">
        <f>Z4*(1-I4)^2/((I4^3)*((B4*0.0254)^2))</f>
        <v>2499173050.7885456</v>
      </c>
      <c r="N4" s="18">
        <f>10218752000</f>
        <v>10218752000</v>
      </c>
      <c r="O4" s="18">
        <f>2*AA4*(1-I4)/((I4^3)*B4*0.0254)</f>
        <v>44666.026285756612</v>
      </c>
      <c r="P4" s="18">
        <v>197536.08</v>
      </c>
      <c r="Q4" s="18">
        <f>N4*0.001003*AB4 + 0.5*P4*998.2*AB4^2</f>
        <v>353342306.24495471</v>
      </c>
      <c r="R4" s="18">
        <v>70468286</v>
      </c>
      <c r="S4" s="16">
        <v>0.16599192600210799</v>
      </c>
      <c r="T4" s="16">
        <f>AB4*0.0254*B4*998.2/(0.001003*I4)</f>
        <v>3276.5845970308455</v>
      </c>
      <c r="U4" s="16" t="s">
        <v>71</v>
      </c>
      <c r="V4" s="20">
        <v>0.25323000000000001</v>
      </c>
      <c r="W4" s="20">
        <v>2.2485999999999999E-2</v>
      </c>
      <c r="X4" s="16" t="s">
        <v>70</v>
      </c>
      <c r="Y4" s="16"/>
      <c r="Z4" s="16">
        <f>(185+(17*I4/(1-I4))*POWER(G4/(G4-1),2))</f>
        <v>198.69108154815825</v>
      </c>
      <c r="AA4" s="16">
        <f>1.3*POWER((1-I4)/I4,1/3)+0.03*POWER(G4/(G4-1),2)</f>
        <v>1.543174640729875</v>
      </c>
      <c r="AB4" s="21">
        <f>C4*0.003785411784/(60*PI()*POWER(A4*0.0127,2))</f>
        <v>1.8418653118291655</v>
      </c>
    </row>
    <row r="5" spans="1:28" x14ac:dyDescent="0.55000000000000004">
      <c r="A5" s="17">
        <v>0.26</v>
      </c>
      <c r="B5" s="16">
        <f t="shared" ref="B5:B8" si="0">0.7/25.4</f>
        <v>2.7559055118110236E-2</v>
      </c>
      <c r="C5" s="16">
        <v>1</v>
      </c>
      <c r="D5" s="16" t="s">
        <v>75</v>
      </c>
      <c r="E5" s="16" t="s">
        <v>12</v>
      </c>
      <c r="F5" s="16">
        <v>6.1462083460340002</v>
      </c>
      <c r="G5" s="16">
        <f t="shared" ref="G5:G8" si="1">A5/B5</f>
        <v>9.4342857142857142</v>
      </c>
      <c r="H5" s="16">
        <v>0.39143350491468798</v>
      </c>
      <c r="I5" s="16">
        <v>0.39160763999999998</v>
      </c>
      <c r="J5" s="18">
        <f t="shared" ref="J5:J8" si="2">Z5*POWER(1-I5,2)*0.001003*AB5/(POWER(I5,3)*POWER(B5*0.0254,2)) + AA5*(1-I5)*998.2*POWER(AB5,2)/(POWER(I5,3)*(B5*0.0254))</f>
        <v>80244602.884925619</v>
      </c>
      <c r="K5" s="18">
        <v>80640296.909986094</v>
      </c>
      <c r="L5" s="19">
        <f t="shared" ref="L5:L8" si="3">2*(J5-K5)/(J5+K5)</f>
        <v>-4.9189703392286841E-3</v>
      </c>
      <c r="M5" s="18">
        <f t="shared" ref="M5:N8" si="4">Z5*(1-I5)^2/((I5^3)*((B5*0.0254)^2))</f>
        <v>2499173050.7885456</v>
      </c>
      <c r="N5" s="18">
        <v>2499173050.7885456</v>
      </c>
      <c r="O5" s="18">
        <f t="shared" ref="O5:O8" si="5">2*AA5*(1-I5)/((I5^3)*B5*0.0254)</f>
        <v>44666.026285756612</v>
      </c>
      <c r="P5" s="18">
        <v>44666.026285756612</v>
      </c>
      <c r="Q5" s="18">
        <f t="shared" ref="Q5:Q8" si="6">N5*0.001003*AB5 + 0.5*P5*998.2*AB5^2</f>
        <v>80244602.884925604</v>
      </c>
      <c r="R5" s="16"/>
      <c r="S5" s="16">
        <v>0.16599192600210799</v>
      </c>
      <c r="T5" s="16">
        <f t="shared" ref="T5:T8" si="7">AB5*0.0254*B5*998.2/(0.001003*I5)</f>
        <v>3276.5845970308455</v>
      </c>
      <c r="U5" s="16"/>
      <c r="V5" s="16" t="s">
        <v>76</v>
      </c>
      <c r="W5" s="16" t="s">
        <v>76</v>
      </c>
      <c r="X5" s="16"/>
      <c r="Y5" s="16"/>
      <c r="Z5" s="16">
        <f t="shared" ref="Z5:Z8" si="8">(185+(17*I5/(1-I5))*POWER(G5/(G5-1),2))</f>
        <v>198.69108154815825</v>
      </c>
      <c r="AA5" s="16">
        <f t="shared" ref="AA5:AA8" si="9">1.3*POWER((1-I5)/I5,1/3)+0.03*POWER(G5/(G5-1),2)</f>
        <v>1.543174640729875</v>
      </c>
      <c r="AB5" s="21">
        <f t="shared" ref="AB5:AB8" si="10">C5*0.003785411784/(60*PI()*POWER(A5*0.0127,2))</f>
        <v>1.8418653118291655</v>
      </c>
    </row>
    <row r="6" spans="1:28" x14ac:dyDescent="0.55000000000000004">
      <c r="A6" s="17">
        <v>0.26</v>
      </c>
      <c r="B6" s="16">
        <f t="shared" si="0"/>
        <v>2.7559055118110236E-2</v>
      </c>
      <c r="C6" s="16">
        <v>1</v>
      </c>
      <c r="D6" s="16" t="s">
        <v>75</v>
      </c>
      <c r="E6" s="16" t="s">
        <v>67</v>
      </c>
      <c r="F6" s="16">
        <v>6.1462083460340002</v>
      </c>
      <c r="G6" s="16">
        <f t="shared" si="1"/>
        <v>9.4342857142857142</v>
      </c>
      <c r="H6" s="16">
        <v>0.39143350491468798</v>
      </c>
      <c r="I6" s="16">
        <v>0.39160763999999998</v>
      </c>
      <c r="J6" s="18">
        <f t="shared" si="2"/>
        <v>80244602.884925619</v>
      </c>
      <c r="K6" s="18">
        <v>80413053.821640804</v>
      </c>
      <c r="L6" s="19">
        <f t="shared" si="3"/>
        <v>-2.0970172249288222E-3</v>
      </c>
      <c r="M6" s="18">
        <f t="shared" si="4"/>
        <v>2499173050.7885456</v>
      </c>
      <c r="N6" s="18">
        <v>2499173050.7885456</v>
      </c>
      <c r="O6" s="18">
        <f t="shared" si="5"/>
        <v>44666.026285756612</v>
      </c>
      <c r="P6" s="18">
        <v>44666.026285756612</v>
      </c>
      <c r="Q6" s="18">
        <f t="shared" si="6"/>
        <v>80244602.884925604</v>
      </c>
      <c r="R6" s="16"/>
      <c r="S6" s="16">
        <v>0.16599192600210799</v>
      </c>
      <c r="T6" s="16">
        <f t="shared" si="7"/>
        <v>3276.5845970308455</v>
      </c>
      <c r="U6" s="16"/>
      <c r="V6" s="16" t="s">
        <v>76</v>
      </c>
      <c r="W6" s="16" t="s">
        <v>76</v>
      </c>
      <c r="X6" s="16"/>
      <c r="Y6" s="16"/>
      <c r="Z6" s="16">
        <f t="shared" si="8"/>
        <v>198.69108154815825</v>
      </c>
      <c r="AA6" s="16">
        <f t="shared" si="9"/>
        <v>1.543174640729875</v>
      </c>
      <c r="AB6" s="21">
        <f t="shared" si="10"/>
        <v>1.8418653118291655</v>
      </c>
    </row>
    <row r="7" spans="1:28" x14ac:dyDescent="0.55000000000000004">
      <c r="A7" s="17">
        <v>0.26</v>
      </c>
      <c r="B7" s="16">
        <f t="shared" si="0"/>
        <v>2.7559055118110236E-2</v>
      </c>
      <c r="C7" s="16">
        <v>1</v>
      </c>
      <c r="D7" s="16" t="s">
        <v>75</v>
      </c>
      <c r="E7" s="16" t="s">
        <v>12</v>
      </c>
      <c r="F7" s="16">
        <v>0</v>
      </c>
      <c r="G7" s="16">
        <f t="shared" si="1"/>
        <v>9.4342857142857142</v>
      </c>
      <c r="H7" s="16">
        <v>0.39143350491468798</v>
      </c>
      <c r="I7" s="16">
        <v>0.39160763999999998</v>
      </c>
      <c r="J7" s="18">
        <f t="shared" si="2"/>
        <v>80244602.884925619</v>
      </c>
      <c r="K7" s="18">
        <v>80618159.672066793</v>
      </c>
      <c r="L7" s="19">
        <f t="shared" si="3"/>
        <v>-4.6444159133326567E-3</v>
      </c>
      <c r="M7" s="18">
        <f t="shared" si="4"/>
        <v>2499173050.7885456</v>
      </c>
      <c r="N7" s="18">
        <v>2499173050.7885456</v>
      </c>
      <c r="O7" s="18">
        <f t="shared" si="5"/>
        <v>44666.026285756612</v>
      </c>
      <c r="P7" s="18">
        <v>44666.026285756612</v>
      </c>
      <c r="Q7" s="18">
        <f t="shared" si="6"/>
        <v>80244602.884925604</v>
      </c>
      <c r="R7" s="16"/>
      <c r="S7" s="16">
        <v>0.16599192600210799</v>
      </c>
      <c r="T7" s="16">
        <f t="shared" si="7"/>
        <v>3276.5845970308455</v>
      </c>
      <c r="U7" s="16"/>
      <c r="V7" s="16" t="s">
        <v>76</v>
      </c>
      <c r="W7" s="16" t="s">
        <v>76</v>
      </c>
      <c r="X7" s="16"/>
      <c r="Y7" s="16"/>
      <c r="Z7" s="16">
        <f t="shared" si="8"/>
        <v>198.69108154815825</v>
      </c>
      <c r="AA7" s="16">
        <f t="shared" si="9"/>
        <v>1.543174640729875</v>
      </c>
      <c r="AB7" s="21">
        <f t="shared" si="10"/>
        <v>1.8418653118291655</v>
      </c>
    </row>
    <row r="8" spans="1:28" x14ac:dyDescent="0.55000000000000004">
      <c r="A8" s="22">
        <v>0.26</v>
      </c>
      <c r="B8" s="4">
        <f t="shared" si="0"/>
        <v>2.7559055118110236E-2</v>
      </c>
      <c r="C8" s="4">
        <v>1</v>
      </c>
      <c r="D8" s="4" t="s">
        <v>75</v>
      </c>
      <c r="E8" s="4" t="s">
        <v>67</v>
      </c>
      <c r="F8" s="4">
        <v>0</v>
      </c>
      <c r="G8" s="4">
        <f t="shared" si="1"/>
        <v>9.4342857142857142</v>
      </c>
      <c r="H8" s="4">
        <v>0.39143350491468798</v>
      </c>
      <c r="I8" s="4">
        <v>0.39160763999999998</v>
      </c>
      <c r="J8" s="23">
        <f t="shared" si="2"/>
        <v>80244602.884925619</v>
      </c>
      <c r="K8" s="23">
        <v>80412230.329618499</v>
      </c>
      <c r="L8" s="24">
        <f t="shared" si="3"/>
        <v>-2.086776408309096E-3</v>
      </c>
      <c r="M8" s="23">
        <f t="shared" si="4"/>
        <v>2499173050.7885456</v>
      </c>
      <c r="N8" s="23">
        <v>2499173050.7885456</v>
      </c>
      <c r="O8" s="23">
        <f t="shared" si="5"/>
        <v>44666.026285756612</v>
      </c>
      <c r="P8" s="23">
        <v>44666.026285756612</v>
      </c>
      <c r="Q8" s="23">
        <f t="shared" si="6"/>
        <v>80244602.884925604</v>
      </c>
      <c r="R8" s="4"/>
      <c r="S8" s="4">
        <v>0.16599192600210799</v>
      </c>
      <c r="T8" s="4">
        <f t="shared" si="7"/>
        <v>3276.5845970308455</v>
      </c>
      <c r="U8" s="4"/>
      <c r="V8" s="4" t="s">
        <v>76</v>
      </c>
      <c r="W8" s="4" t="s">
        <v>76</v>
      </c>
      <c r="X8" s="4"/>
      <c r="Y8" s="4"/>
      <c r="Z8" s="4">
        <f t="shared" si="8"/>
        <v>198.69108154815825</v>
      </c>
      <c r="AA8" s="4">
        <f t="shared" si="9"/>
        <v>1.543174640729875</v>
      </c>
      <c r="AB8" s="25">
        <f t="shared" si="10"/>
        <v>1.8418653118291655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EAFDC-C085-4ED6-B679-39D2B8BAA662}">
  <dimension ref="A1:BA92"/>
  <sheetViews>
    <sheetView workbookViewId="0">
      <selection activeCell="L2" sqref="L2"/>
    </sheetView>
  </sheetViews>
  <sheetFormatPr defaultColWidth="8.83984375" defaultRowHeight="14.4" x14ac:dyDescent="0.55000000000000004"/>
  <cols>
    <col min="5" max="5" width="12.1015625" customWidth="1"/>
    <col min="6" max="6" width="9.9453125" customWidth="1"/>
    <col min="10" max="10" width="13" customWidth="1"/>
    <col min="11" max="11" width="17.15625" customWidth="1"/>
    <col min="12" max="12" width="13.578125" customWidth="1"/>
    <col min="14" max="14" width="11.83984375" customWidth="1"/>
    <col min="16" max="16" width="14.62890625" customWidth="1"/>
    <col min="25" max="25" width="11.578125" bestFit="1" customWidth="1"/>
    <col min="26" max="26" width="11.83984375" bestFit="1" customWidth="1"/>
    <col min="28" max="28" width="14.47265625" customWidth="1"/>
    <col min="29" max="29" width="11.83984375" customWidth="1"/>
  </cols>
  <sheetData>
    <row r="1" spans="1:53" ht="14.7" thickBot="1" x14ac:dyDescent="0.6">
      <c r="A1" t="s">
        <v>0</v>
      </c>
      <c r="B1" t="s">
        <v>4</v>
      </c>
      <c r="C1" t="s">
        <v>5</v>
      </c>
      <c r="D1" t="s">
        <v>1</v>
      </c>
      <c r="E1" t="s">
        <v>37</v>
      </c>
      <c r="F1" t="s">
        <v>38</v>
      </c>
      <c r="G1" t="s">
        <v>41</v>
      </c>
      <c r="H1" t="s">
        <v>3</v>
      </c>
      <c r="I1" t="s">
        <v>51</v>
      </c>
      <c r="J1" t="s">
        <v>49</v>
      </c>
      <c r="K1" t="s">
        <v>6</v>
      </c>
      <c r="L1" t="s">
        <v>39</v>
      </c>
      <c r="M1" t="s">
        <v>2</v>
      </c>
      <c r="N1" t="s">
        <v>42</v>
      </c>
      <c r="O1" t="s">
        <v>43</v>
      </c>
      <c r="P1" t="s">
        <v>8</v>
      </c>
      <c r="Q1" t="s">
        <v>11</v>
      </c>
      <c r="R1" t="s">
        <v>16</v>
      </c>
      <c r="S1" t="s">
        <v>9</v>
      </c>
      <c r="T1" t="s">
        <v>50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26</v>
      </c>
      <c r="AA1" t="s">
        <v>28</v>
      </c>
      <c r="AB1" t="s">
        <v>27</v>
      </c>
      <c r="AC1" t="s">
        <v>53</v>
      </c>
      <c r="AD1" t="s">
        <v>52</v>
      </c>
      <c r="AE1" t="s">
        <v>29</v>
      </c>
      <c r="AF1" t="s">
        <v>30</v>
      </c>
      <c r="AG1" t="s">
        <v>31</v>
      </c>
      <c r="AR1" t="s">
        <v>4</v>
      </c>
      <c r="AT1" t="s">
        <v>5</v>
      </c>
      <c r="AU1" t="s">
        <v>6</v>
      </c>
      <c r="AV1" t="s">
        <v>7</v>
      </c>
      <c r="AW1" t="s">
        <v>10</v>
      </c>
    </row>
    <row r="2" spans="1:53" s="6" customFormat="1" x14ac:dyDescent="0.55000000000000004">
      <c r="A2" s="5">
        <v>1</v>
      </c>
      <c r="B2" s="6">
        <v>0.26</v>
      </c>
      <c r="C2" s="6">
        <f>0.7/25.4</f>
        <v>2.7559055118110236E-2</v>
      </c>
      <c r="D2" s="6">
        <f t="shared" ref="D2:D4" si="0">B2/C2</f>
        <v>9.4342857142857142</v>
      </c>
      <c r="E2" s="6">
        <v>0.41707532769588601</v>
      </c>
      <c r="F2" s="6">
        <v>0.40125377292076397</v>
      </c>
      <c r="G2" s="6">
        <v>0.38682597000000002</v>
      </c>
      <c r="H2" s="6">
        <v>0.13079509313773999</v>
      </c>
      <c r="I2" s="6">
        <v>0.15814376186717699</v>
      </c>
      <c r="J2" s="6">
        <f t="shared" ref="J2:J33" si="1">Y2*C2*0.0254*998.2/(0.001003*(1-F2))</f>
        <v>2143.0374059522792</v>
      </c>
      <c r="K2" s="6">
        <v>65303400.593021102</v>
      </c>
      <c r="L2" s="6">
        <f>W2*POWER(1-G2,2)*0.001003*Y2/(POWER(G2,3)*POWER(C2*0.0254,2)) + X2*(1-G2)*998.2*POWER(Y2,2)/(POWER(G2,3)*(C2*0.0254))</f>
        <v>84462030.682100147</v>
      </c>
      <c r="M2" s="6">
        <f>2*(L2-K2)/(K2+L2)</f>
        <v>0.25584849488910916</v>
      </c>
      <c r="N2" s="6">
        <f t="shared" ref="N2:N33" si="2">U2*POWER(1-F2,2)*0.001003*Y2/(POWER(F2,3)*POWER(C2*0.0254,2)) + V2*(1-F2)*998.2*POWER(Y2,2)/(POWER(F2,3)*(C2*0.0254))</f>
        <v>72456356.145132825</v>
      </c>
      <c r="O2" s="6">
        <f>2*(N2-K2)/(K2+N2)</f>
        <v>0.10384680869766141</v>
      </c>
      <c r="P2" s="7">
        <v>1.9304999999999999E-3</v>
      </c>
      <c r="Q2" s="7">
        <v>2.7396999999999998E-6</v>
      </c>
      <c r="T2" s="6">
        <f>16*POWER(J2,-1/8)</f>
        <v>6.1339645778725185</v>
      </c>
      <c r="U2" s="6">
        <f>(185+(17*F2/(1-F2))*POWER(D2/(D2-1),2))</f>
        <v>199.25432616999643</v>
      </c>
      <c r="V2" s="6">
        <f>1.3*POWER((1-F2)/F2,1/3)+0.03*POWER(D2/(D2-1),2)</f>
        <v>1.5230763021144131</v>
      </c>
      <c r="W2" s="6">
        <f>(185+(17*G2/(1-G2))*POWER(D2/(D2-1),2))</f>
        <v>198.41844602037455</v>
      </c>
      <c r="X2" s="6">
        <f t="shared" ref="X2:X33" si="3">1.3*POWER((1-G2)/G2,1/3)+0.03*POWER(D2/(D2-1),2)</f>
        <v>1.5533035225233363</v>
      </c>
      <c r="Y2" s="6">
        <f t="shared" ref="Y2:Y33" si="4">A2*0.003785411784/(60*PI()*POWER(B2*0.0127,2))</f>
        <v>1.8418653118291655</v>
      </c>
      <c r="AB2" s="6">
        <v>12679150.525819</v>
      </c>
      <c r="AC2" s="6">
        <f>2*(L2-AB2)/(AB2+L2)</f>
        <v>1.4779083240225055</v>
      </c>
      <c r="AD2" s="6">
        <f>2*(N2-AB2)/(AB2+N2)</f>
        <v>1.4042837813922298</v>
      </c>
      <c r="AE2" s="7">
        <v>3.7737E-2</v>
      </c>
      <c r="AF2" s="7">
        <v>1.0141E-5</v>
      </c>
    </row>
    <row r="3" spans="1:53" x14ac:dyDescent="0.55000000000000004">
      <c r="A3" s="8">
        <v>0.5</v>
      </c>
      <c r="B3">
        <v>0.26</v>
      </c>
      <c r="C3">
        <f t="shared" ref="C3:C4" si="5">0.7/25.4</f>
        <v>2.7559055118110236E-2</v>
      </c>
      <c r="D3">
        <f t="shared" si="0"/>
        <v>9.4342857142857142</v>
      </c>
      <c r="F3">
        <v>0.40125377292076397</v>
      </c>
      <c r="G3">
        <v>0.38682597000000002</v>
      </c>
      <c r="J3">
        <f t="shared" si="1"/>
        <v>1071.5187029761396</v>
      </c>
      <c r="L3">
        <f>W3*POWER(1-G3,2)*0.001003*Y3/(POWER(G3,3)*POWER(C3*0.0254,2)) + X3*(1-G3)*998.2*POWER(Y3,2)/(POWER(G3,3)*(C3*0.0254))</f>
        <v>22330309.424237728</v>
      </c>
      <c r="N3">
        <f t="shared" si="2"/>
        <v>19156259.312428113</v>
      </c>
      <c r="T3">
        <f t="shared" ref="T3:T28" si="6">16*POWER(J3,-1/8)</f>
        <v>6.6891358040647653</v>
      </c>
      <c r="U3">
        <f t="shared" ref="U2:U33" si="7">(185+(17*F3/(1-F3))*POWER(D3/(D3-1),2))</f>
        <v>199.25432616999643</v>
      </c>
      <c r="V3">
        <f t="shared" ref="V2:V33" si="8">1.3*POWER((1-F3)/F3,1/3)+0.03*POWER(D3/(D3-1),2)</f>
        <v>1.5230763021144131</v>
      </c>
      <c r="W3">
        <f t="shared" ref="W2:W33" si="9">(185+(17*G3/(1-G3))*POWER(D3/(D3-1),2))</f>
        <v>198.41844602037455</v>
      </c>
      <c r="X3">
        <f t="shared" si="3"/>
        <v>1.5533035225233363</v>
      </c>
      <c r="Y3">
        <f t="shared" si="4"/>
        <v>0.92093265591458273</v>
      </c>
    </row>
    <row r="4" spans="1:53" s="4" customFormat="1" x14ac:dyDescent="0.55000000000000004">
      <c r="A4" s="9">
        <v>5</v>
      </c>
      <c r="B4" s="4">
        <v>0.26</v>
      </c>
      <c r="C4" s="4">
        <f t="shared" si="5"/>
        <v>2.7559055118110236E-2</v>
      </c>
      <c r="D4" s="4">
        <f t="shared" si="0"/>
        <v>9.4342857142857142</v>
      </c>
      <c r="F4" s="4">
        <v>0.40125377292076397</v>
      </c>
      <c r="G4" s="4">
        <v>0.38682597000000002</v>
      </c>
      <c r="J4" s="4">
        <f t="shared" si="1"/>
        <v>10715.187029761395</v>
      </c>
      <c r="L4" s="4">
        <f t="shared" ref="L3:L37" si="10">W4*POWER(1-G4,2)*0.001003*Y4/(POWER(G4,3)*POWER(C4*0.0254,2)) + X4*(1-G4)*998.2*POWER(Y4,2)/(POWER(G4,3)*(C4*0.0254))</f>
        <v>2014366626.7554884</v>
      </c>
      <c r="N4" s="4">
        <f t="shared" si="2"/>
        <v>1728035281.5367277</v>
      </c>
      <c r="T4" s="4">
        <f t="shared" si="6"/>
        <v>5.0161442049065688</v>
      </c>
      <c r="U4" s="4">
        <f t="shared" si="7"/>
        <v>199.25432616999643</v>
      </c>
      <c r="V4" s="4">
        <f t="shared" si="8"/>
        <v>1.5230763021144131</v>
      </c>
      <c r="W4" s="4">
        <f t="shared" si="9"/>
        <v>198.41844602037455</v>
      </c>
      <c r="X4" s="4">
        <f t="shared" si="3"/>
        <v>1.5533035225233363</v>
      </c>
      <c r="Y4" s="4">
        <f t="shared" si="4"/>
        <v>9.2093265591458273</v>
      </c>
    </row>
    <row r="5" spans="1:53" x14ac:dyDescent="0.55000000000000004">
      <c r="A5" s="8">
        <v>1</v>
      </c>
      <c r="B5">
        <v>0.26</v>
      </c>
      <c r="C5">
        <f>0.8/25.4</f>
        <v>3.1496062992125991E-2</v>
      </c>
      <c r="D5">
        <f>B5/C5</f>
        <v>8.254999999999999</v>
      </c>
      <c r="E5">
        <v>0.41712413060998699</v>
      </c>
      <c r="F5">
        <v>0.40286296991443898</v>
      </c>
      <c r="G5">
        <v>0.37281639</v>
      </c>
      <c r="H5">
        <v>0.156489779393224</v>
      </c>
      <c r="I5">
        <v>0.17417104124639199</v>
      </c>
      <c r="J5">
        <f t="shared" si="1"/>
        <v>2455.7858039380171</v>
      </c>
      <c r="K5">
        <v>76730672.494463399</v>
      </c>
      <c r="L5">
        <f t="shared" si="10"/>
        <v>85543285.296494782</v>
      </c>
      <c r="M5">
        <f>2*(L5-K5)/(K5+L5)</f>
        <v>0.1086140120324645</v>
      </c>
      <c r="N5">
        <f t="shared" si="2"/>
        <v>61948305.000978857</v>
      </c>
      <c r="O5">
        <f t="shared" ref="O5:O35" si="11">2*(N5-K5)/(K5+N5)</f>
        <v>-0.21318829660350458</v>
      </c>
      <c r="P5" s="3">
        <v>6.0926000000000001E-3</v>
      </c>
      <c r="Q5" s="3">
        <v>1.3683000000000001E-6</v>
      </c>
      <c r="R5" t="s">
        <v>20</v>
      </c>
      <c r="T5">
        <f t="shared" si="6"/>
        <v>6.0304007218305857</v>
      </c>
      <c r="U5">
        <f t="shared" si="7"/>
        <v>199.84880791646535</v>
      </c>
      <c r="V5">
        <f t="shared" si="8"/>
        <v>1.5210700228461986</v>
      </c>
      <c r="W5">
        <f t="shared" si="9"/>
        <v>198.08303608763714</v>
      </c>
      <c r="X5">
        <f t="shared" si="3"/>
        <v>1.5849603186814267</v>
      </c>
      <c r="Y5">
        <f t="shared" si="4"/>
        <v>1.8418653118291655</v>
      </c>
      <c r="Z5">
        <v>4.8382594000000001</v>
      </c>
      <c r="AA5" t="e">
        <f>A5*(0.003785/60)/(PI()*POWER((B5*0.0254)/2,2))/#REF!</f>
        <v>#REF!</v>
      </c>
      <c r="AB5">
        <v>12354591.540675901</v>
      </c>
      <c r="AC5">
        <f>2*(L5-AB5)/(AB5+L5)</f>
        <v>1.4952049241588858</v>
      </c>
      <c r="AD5">
        <f>2*(N5-AB5)/(AB5+N5)</f>
        <v>1.3349065990314481</v>
      </c>
      <c r="AE5" s="3">
        <v>0.19850000000000001</v>
      </c>
      <c r="AF5" s="3">
        <v>1.0311000000000001E-3</v>
      </c>
      <c r="AG5" t="s">
        <v>32</v>
      </c>
      <c r="AR5">
        <v>0.26</v>
      </c>
      <c r="AT5">
        <f>0.8/25.4</f>
        <v>3.1496062992125991E-2</v>
      </c>
      <c r="AU5">
        <v>52417817.057532497</v>
      </c>
      <c r="AV5">
        <v>66116648.1253227</v>
      </c>
    </row>
    <row r="6" spans="1:53" x14ac:dyDescent="0.55000000000000004">
      <c r="A6" s="8">
        <v>0.5</v>
      </c>
      <c r="B6">
        <v>0.26</v>
      </c>
      <c r="C6">
        <f>0.8/25.4</f>
        <v>3.1496062992125991E-2</v>
      </c>
      <c r="D6">
        <f>B6/C6</f>
        <v>8.254999999999999</v>
      </c>
      <c r="F6">
        <v>0.40286296991443898</v>
      </c>
      <c r="G6">
        <v>0.37281639</v>
      </c>
      <c r="J6">
        <f t="shared" si="1"/>
        <v>1227.8929019690086</v>
      </c>
      <c r="K6">
        <v>18944660.758423898</v>
      </c>
      <c r="L6">
        <f t="shared" si="10"/>
        <v>22470923.241929833</v>
      </c>
      <c r="M6">
        <f>2*(L6-K6)/(K6+L6)</f>
        <v>0.17028674440402997</v>
      </c>
      <c r="N6">
        <f t="shared" si="2"/>
        <v>16273571.956628209</v>
      </c>
      <c r="P6" s="3"/>
      <c r="Q6" s="3"/>
      <c r="T6">
        <f t="shared" si="6"/>
        <v>6.5761986182264058</v>
      </c>
      <c r="U6">
        <f t="shared" si="7"/>
        <v>199.84880791646535</v>
      </c>
      <c r="V6">
        <f t="shared" si="8"/>
        <v>1.5210700228461986</v>
      </c>
      <c r="W6">
        <f t="shared" si="9"/>
        <v>198.08303608763714</v>
      </c>
      <c r="X6">
        <f t="shared" si="3"/>
        <v>1.5849603186814267</v>
      </c>
      <c r="Y6">
        <f t="shared" si="4"/>
        <v>0.92093265591458273</v>
      </c>
      <c r="AA6" t="e">
        <f>A6*(0.003785/60)/(PI()*POWER((B6*0.0254)/2,2))/#REF!</f>
        <v>#REF!</v>
      </c>
      <c r="AE6" s="3"/>
      <c r="AF6" s="3"/>
      <c r="AR6">
        <v>0.26</v>
      </c>
      <c r="AT6">
        <f>1/25.4</f>
        <v>3.937007874015748E-2</v>
      </c>
      <c r="AU6">
        <v>28720085.781340301</v>
      </c>
      <c r="AV6">
        <v>47641122.675649598</v>
      </c>
      <c r="AW6">
        <v>11641.0227394545</v>
      </c>
      <c r="BA6">
        <f>A5*(0.003785/60)</f>
        <v>6.308333333333334E-5</v>
      </c>
    </row>
    <row r="7" spans="1:53" x14ac:dyDescent="0.55000000000000004">
      <c r="A7" s="8">
        <v>5</v>
      </c>
      <c r="B7">
        <v>0.26</v>
      </c>
      <c r="C7">
        <f>0.8/25.4</f>
        <v>3.1496062992125991E-2</v>
      </c>
      <c r="D7">
        <f>B7/C7</f>
        <v>8.254999999999999</v>
      </c>
      <c r="F7">
        <v>0.40286296991443898</v>
      </c>
      <c r="G7">
        <v>0.37281639</v>
      </c>
      <c r="J7">
        <f t="shared" si="1"/>
        <v>12278.929019690084</v>
      </c>
      <c r="L7">
        <f t="shared" si="10"/>
        <v>2051773978.9878781</v>
      </c>
      <c r="N7">
        <f t="shared" si="2"/>
        <v>1485787968.5137918</v>
      </c>
      <c r="P7" t="e">
        <f>A7*(0.003785/60)/(PI()*POWER((B7*0.0254)/2,2))/#REF!</f>
        <v>#REF!</v>
      </c>
      <c r="T7">
        <f t="shared" si="6"/>
        <v>4.9314532632280796</v>
      </c>
      <c r="U7">
        <f t="shared" si="7"/>
        <v>199.84880791646535</v>
      </c>
      <c r="V7">
        <f t="shared" si="8"/>
        <v>1.5210700228461986</v>
      </c>
      <c r="W7">
        <f t="shared" si="9"/>
        <v>198.08303608763714</v>
      </c>
      <c r="X7">
        <f t="shared" si="3"/>
        <v>1.5849603186814267</v>
      </c>
      <c r="Y7">
        <f t="shared" si="4"/>
        <v>9.2093265591458273</v>
      </c>
      <c r="Z7">
        <v>0.13005446043850999</v>
      </c>
      <c r="AS7">
        <v>0.26</v>
      </c>
      <c r="AU7">
        <f>1.2/25.4</f>
        <v>4.7244094488188976E-2</v>
      </c>
      <c r="AV7">
        <v>20029289.077303901</v>
      </c>
      <c r="AW7">
        <v>27712156.633831602</v>
      </c>
    </row>
    <row r="8" spans="1:53" s="1" customFormat="1" x14ac:dyDescent="0.55000000000000004">
      <c r="A8" s="10">
        <v>1</v>
      </c>
      <c r="B8" s="1">
        <v>0.26</v>
      </c>
      <c r="C8" s="1">
        <f>0.85/25.4</f>
        <v>3.3464566929133861E-2</v>
      </c>
      <c r="D8" s="1">
        <f t="shared" ref="D8:D10" si="12">B8/C8</f>
        <v>7.7694117647058816</v>
      </c>
      <c r="E8" s="1">
        <v>0.423372709394432</v>
      </c>
      <c r="F8" s="1">
        <v>0.406926963649206</v>
      </c>
      <c r="G8" s="1">
        <v>0.37728468999999998</v>
      </c>
      <c r="H8" s="1">
        <v>0.17045271589548699</v>
      </c>
      <c r="I8" s="1">
        <v>0.18165434498027999</v>
      </c>
      <c r="J8" s="1">
        <f t="shared" si="1"/>
        <v>2627.1522832499063</v>
      </c>
      <c r="K8" s="1">
        <v>65015370.065522097</v>
      </c>
      <c r="L8" s="1">
        <f t="shared" si="10"/>
        <v>76462437.841536194</v>
      </c>
      <c r="M8" s="1">
        <f t="shared" ref="M8" si="13">2*(L8-K8)/(K8+L8)</f>
        <v>0.16182139015801086</v>
      </c>
      <c r="N8" s="1">
        <f t="shared" si="2"/>
        <v>55742920.104711488</v>
      </c>
      <c r="O8" s="1">
        <f t="shared" si="11"/>
        <v>-0.1535704082550223</v>
      </c>
      <c r="P8" s="2">
        <v>1.1212E-2</v>
      </c>
      <c r="Q8" s="2">
        <v>1.7351999999999999E-5</v>
      </c>
      <c r="T8" s="1">
        <f t="shared" si="6"/>
        <v>5.9797678890947301</v>
      </c>
      <c r="U8" s="1">
        <f t="shared" si="7"/>
        <v>200.36496671324863</v>
      </c>
      <c r="V8" s="1">
        <f t="shared" si="8"/>
        <v>1.5134381018749838</v>
      </c>
      <c r="W8" s="1">
        <f t="shared" si="9"/>
        <v>198.56759821902705</v>
      </c>
      <c r="X8" s="1">
        <f t="shared" si="3"/>
        <v>1.575844391366342</v>
      </c>
      <c r="Y8" s="1">
        <f t="shared" si="4"/>
        <v>1.8418653118291655</v>
      </c>
      <c r="AB8" s="1">
        <v>11018897.8469328</v>
      </c>
      <c r="AC8" s="1">
        <f t="shared" ref="AC8:AC11" si="14">2*(L8-AB8)/(AB8+L8)</f>
        <v>1.496171485713371</v>
      </c>
      <c r="AD8" s="1">
        <f t="shared" ref="AD8:AD14" si="15">2*(N8-AB8)/(AB8+N8)</f>
        <v>1.339808400369576</v>
      </c>
    </row>
    <row r="9" spans="1:53" x14ac:dyDescent="0.55000000000000004">
      <c r="A9" s="8">
        <v>0.5</v>
      </c>
      <c r="B9">
        <v>0.26</v>
      </c>
      <c r="C9">
        <f t="shared" ref="C9:C10" si="16">0.85/25.4</f>
        <v>3.3464566929133861E-2</v>
      </c>
      <c r="D9">
        <f t="shared" si="12"/>
        <v>7.7694117647058816</v>
      </c>
      <c r="F9">
        <v>0.406926963649206</v>
      </c>
      <c r="G9">
        <v>0.37728468999999998</v>
      </c>
      <c r="J9">
        <f t="shared" si="1"/>
        <v>1313.5761416249532</v>
      </c>
      <c r="L9">
        <f t="shared" si="10"/>
        <v>20032127.214516595</v>
      </c>
      <c r="N9">
        <f t="shared" si="2"/>
        <v>14604304.364564046</v>
      </c>
      <c r="T9">
        <f t="shared" si="6"/>
        <v>6.5209831226012067</v>
      </c>
      <c r="U9">
        <f t="shared" si="7"/>
        <v>200.36496671324863</v>
      </c>
      <c r="V9">
        <f t="shared" si="8"/>
        <v>1.5134381018749838</v>
      </c>
      <c r="W9">
        <f t="shared" si="9"/>
        <v>198.56759821902705</v>
      </c>
      <c r="X9">
        <f t="shared" si="3"/>
        <v>1.575844391366342</v>
      </c>
      <c r="Y9">
        <f t="shared" si="4"/>
        <v>0.92093265591458273</v>
      </c>
    </row>
    <row r="10" spans="1:53" s="4" customFormat="1" x14ac:dyDescent="0.55000000000000004">
      <c r="A10" s="9">
        <v>5</v>
      </c>
      <c r="B10" s="4">
        <v>0.26</v>
      </c>
      <c r="C10" s="4">
        <f t="shared" si="16"/>
        <v>3.3464566929133861E-2</v>
      </c>
      <c r="D10" s="4">
        <f t="shared" si="12"/>
        <v>7.7694117647058816</v>
      </c>
      <c r="F10" s="4">
        <v>0.406926963649206</v>
      </c>
      <c r="G10" s="4">
        <v>0.37728468999999998</v>
      </c>
      <c r="J10" s="4">
        <f t="shared" si="1"/>
        <v>13135.761416249532</v>
      </c>
      <c r="L10" s="4">
        <f t="shared" si="10"/>
        <v>1838239525.7078009</v>
      </c>
      <c r="N10" s="4">
        <f t="shared" si="2"/>
        <v>1340087055.5468934</v>
      </c>
      <c r="T10" s="4">
        <f t="shared" si="6"/>
        <v>4.8900474827933218</v>
      </c>
      <c r="U10" s="4">
        <f t="shared" si="7"/>
        <v>200.36496671324863</v>
      </c>
      <c r="V10" s="4">
        <f t="shared" si="8"/>
        <v>1.5134381018749838</v>
      </c>
      <c r="W10" s="4">
        <f t="shared" si="9"/>
        <v>198.56759821902705</v>
      </c>
      <c r="X10" s="4">
        <f t="shared" si="3"/>
        <v>1.575844391366342</v>
      </c>
      <c r="Y10" s="4">
        <f t="shared" si="4"/>
        <v>9.2093265591458273</v>
      </c>
    </row>
    <row r="11" spans="1:53" s="1" customFormat="1" x14ac:dyDescent="0.55000000000000004">
      <c r="A11" s="10">
        <v>1</v>
      </c>
      <c r="B11" s="1">
        <v>0.26</v>
      </c>
      <c r="C11" s="1">
        <f>0.9/25.4</f>
        <v>3.5433070866141732E-2</v>
      </c>
      <c r="D11" s="1">
        <f t="shared" ref="D11:D13" si="17">B11/C11</f>
        <v>7.3377777777777782</v>
      </c>
      <c r="E11" s="1">
        <v>0.433506541829067</v>
      </c>
      <c r="F11" s="1">
        <v>0.41396842369932202</v>
      </c>
      <c r="G11" s="1">
        <v>0.38982507999999999</v>
      </c>
      <c r="H11" s="1">
        <v>0.150412302963225</v>
      </c>
      <c r="I11" s="1">
        <v>0.180011122209947</v>
      </c>
      <c r="J11" s="1">
        <f t="shared" si="1"/>
        <v>2815.114045714176</v>
      </c>
      <c r="K11" s="1">
        <v>50080028.712783299</v>
      </c>
      <c r="L11" s="1">
        <f t="shared" si="10"/>
        <v>62916986.424957566</v>
      </c>
      <c r="M11" s="1">
        <f>2*(L11-K11)/(K11+L11)</f>
        <v>0.22720879302035188</v>
      </c>
      <c r="N11" s="1">
        <f t="shared" si="2"/>
        <v>48840554.953459673</v>
      </c>
      <c r="O11" s="1">
        <f t="shared" si="11"/>
        <v>-2.5059976667861129E-2</v>
      </c>
      <c r="T11" s="1">
        <f t="shared" si="6"/>
        <v>5.9283383655504167</v>
      </c>
      <c r="U11" s="1">
        <f t="shared" si="7"/>
        <v>201.0971953831156</v>
      </c>
      <c r="V11" s="1">
        <f t="shared" si="8"/>
        <v>1.4999061104177958</v>
      </c>
      <c r="W11" s="1">
        <f t="shared" si="9"/>
        <v>199.5585941937444</v>
      </c>
      <c r="X11" s="1">
        <f t="shared" si="3"/>
        <v>1.5496157636485668</v>
      </c>
      <c r="Y11" s="1">
        <f t="shared" si="4"/>
        <v>1.8418653118291655</v>
      </c>
      <c r="AB11" s="1">
        <v>9311376.0062993597</v>
      </c>
      <c r="AC11" s="1">
        <f t="shared" si="14"/>
        <v>1.484336861982082</v>
      </c>
      <c r="AD11" s="1">
        <f t="shared" si="15"/>
        <v>1.3595138904162749</v>
      </c>
      <c r="AE11" s="3">
        <v>0.10188999999999999</v>
      </c>
      <c r="AF11" s="2">
        <v>1.7327999999999999E-4</v>
      </c>
      <c r="AR11" s="1">
        <v>1.0289999999999999</v>
      </c>
      <c r="AT11" s="1">
        <f>1/4</f>
        <v>0.25</v>
      </c>
      <c r="AU11" s="1">
        <v>8982.0801456016507</v>
      </c>
      <c r="AV11" s="1">
        <v>11637.273191070301</v>
      </c>
      <c r="AW11" s="1">
        <v>9438.6112944808592</v>
      </c>
    </row>
    <row r="12" spans="1:53" x14ac:dyDescent="0.55000000000000004">
      <c r="A12" s="8">
        <v>0.5</v>
      </c>
      <c r="B12">
        <v>0.26</v>
      </c>
      <c r="C12">
        <f t="shared" ref="C12:C13" si="18">0.9/25.4</f>
        <v>3.5433070866141732E-2</v>
      </c>
      <c r="D12">
        <f t="shared" si="17"/>
        <v>7.3377777777777782</v>
      </c>
      <c r="F12">
        <v>0.41396842369932202</v>
      </c>
      <c r="G12">
        <v>0.38982507999999999</v>
      </c>
      <c r="J12">
        <f t="shared" si="1"/>
        <v>1407.557022857088</v>
      </c>
      <c r="K12">
        <v>3505455.1599818598</v>
      </c>
      <c r="L12">
        <f t="shared" si="10"/>
        <v>16444374.310703602</v>
      </c>
      <c r="M12">
        <f>2*(L12-K12)/(K12+L12)</f>
        <v>1.2971458397410724</v>
      </c>
      <c r="N12">
        <f t="shared" si="2"/>
        <v>12765224.634301145</v>
      </c>
      <c r="P12" s="3">
        <v>1.0643E-2</v>
      </c>
      <c r="Q12" s="3">
        <v>1.0270000000000001E-6</v>
      </c>
      <c r="T12">
        <f t="shared" si="6"/>
        <v>6.4648988294888445</v>
      </c>
      <c r="U12">
        <f t="shared" si="7"/>
        <v>201.0971953831156</v>
      </c>
      <c r="V12">
        <f t="shared" si="8"/>
        <v>1.4999061104177958</v>
      </c>
      <c r="W12">
        <f t="shared" si="9"/>
        <v>199.5585941937444</v>
      </c>
      <c r="X12">
        <f t="shared" si="3"/>
        <v>1.5496157636485668</v>
      </c>
      <c r="Y12">
        <f t="shared" si="4"/>
        <v>0.92093265591458273</v>
      </c>
      <c r="AR12">
        <v>1.0289999999999999</v>
      </c>
      <c r="AT12">
        <f>7/16</f>
        <v>0.4375</v>
      </c>
      <c r="AU12">
        <v>3460.5812917910998</v>
      </c>
      <c r="AV12">
        <v>3786.4043447648401</v>
      </c>
    </row>
    <row r="13" spans="1:53" s="4" customFormat="1" x14ac:dyDescent="0.55000000000000004">
      <c r="A13" s="9">
        <v>5</v>
      </c>
      <c r="B13" s="4">
        <v>0.26</v>
      </c>
      <c r="C13" s="4">
        <f t="shared" si="18"/>
        <v>3.5433070866141732E-2</v>
      </c>
      <c r="D13" s="4">
        <f t="shared" si="17"/>
        <v>7.3377777777777782</v>
      </c>
      <c r="F13" s="4">
        <v>0.41396842369932202</v>
      </c>
      <c r="G13" s="4">
        <v>0.38982507999999999</v>
      </c>
      <c r="J13" s="4">
        <f t="shared" si="1"/>
        <v>14075.570228570878</v>
      </c>
      <c r="K13" s="4">
        <v>322534854.91361701</v>
      </c>
      <c r="L13" s="4">
        <f t="shared" si="10"/>
        <v>1515714444.2668021</v>
      </c>
      <c r="M13" s="4">
        <f>2*(L13-K13)/(K13+L13)</f>
        <v>1.2981695027819815</v>
      </c>
      <c r="N13" s="4">
        <f t="shared" si="2"/>
        <v>1176607002.1615939</v>
      </c>
      <c r="P13" s="14">
        <v>9.0956999999999995E-4</v>
      </c>
      <c r="Q13" s="14">
        <v>1.1446E-5</v>
      </c>
      <c r="T13" s="4">
        <f t="shared" si="6"/>
        <v>4.8479901961538561</v>
      </c>
      <c r="U13" s="4">
        <f t="shared" si="7"/>
        <v>201.0971953831156</v>
      </c>
      <c r="V13" s="4">
        <f t="shared" si="8"/>
        <v>1.4999061104177958</v>
      </c>
      <c r="W13" s="4">
        <f t="shared" si="9"/>
        <v>199.5585941937444</v>
      </c>
      <c r="X13" s="4">
        <f t="shared" si="3"/>
        <v>1.5496157636485668</v>
      </c>
      <c r="Y13" s="4">
        <f t="shared" si="4"/>
        <v>9.2093265591458273</v>
      </c>
    </row>
    <row r="14" spans="1:53" s="1" customFormat="1" x14ac:dyDescent="0.55000000000000004">
      <c r="A14" s="10">
        <v>1</v>
      </c>
      <c r="B14" s="1">
        <v>0.26</v>
      </c>
      <c r="C14" s="1">
        <f>1/25.4</f>
        <v>3.937007874015748E-2</v>
      </c>
      <c r="D14" s="1">
        <f t="shared" ref="D14" si="19">B14/C14</f>
        <v>6.6040000000000001</v>
      </c>
      <c r="E14" s="1">
        <v>0.422040909645297</v>
      </c>
      <c r="F14" s="1">
        <v>0.41612857611577603</v>
      </c>
      <c r="G14" s="1">
        <v>0.40415579000000001</v>
      </c>
      <c r="H14" s="1">
        <v>0.161725187970122</v>
      </c>
      <c r="I14" s="1">
        <v>0.172721861134258</v>
      </c>
      <c r="J14" s="1">
        <f t="shared" si="1"/>
        <v>3139.4768212286449</v>
      </c>
      <c r="K14" s="1">
        <v>38131281.861770101</v>
      </c>
      <c r="L14" s="1">
        <f t="shared" si="10"/>
        <v>48493311.961959086</v>
      </c>
      <c r="M14" s="1">
        <f>2*(L14-K14)/(K14+L14)</f>
        <v>0.23923991196482819</v>
      </c>
      <c r="N14" s="1">
        <f t="shared" si="2"/>
        <v>42840961.538011566</v>
      </c>
      <c r="O14" s="1">
        <f t="shared" si="11"/>
        <v>0.11632824974327348</v>
      </c>
      <c r="P14" s="2">
        <v>8.9479E-3</v>
      </c>
      <c r="Q14" s="2">
        <v>8.8071999999999993E-6</v>
      </c>
      <c r="R14" s="1" t="s">
        <v>21</v>
      </c>
      <c r="S14" s="1" t="s">
        <v>34</v>
      </c>
      <c r="T14" s="1">
        <f t="shared" si="6"/>
        <v>5.8480735030685551</v>
      </c>
      <c r="U14" s="1">
        <f t="shared" si="7"/>
        <v>201.82585404846517</v>
      </c>
      <c r="V14" s="1">
        <f t="shared" si="8"/>
        <v>1.4970313264808874</v>
      </c>
      <c r="W14" s="1">
        <f t="shared" si="9"/>
        <v>201.01337517368341</v>
      </c>
      <c r="X14" s="1">
        <f t="shared" si="3"/>
        <v>1.5212403373019803</v>
      </c>
      <c r="Y14" s="1">
        <f t="shared" si="4"/>
        <v>1.8418653118291655</v>
      </c>
      <c r="Z14" s="1">
        <v>4.8357000000000001</v>
      </c>
      <c r="AA14" s="1" t="e">
        <f>A14*(0.003785/60)/(PI()*POWER((B14*0.0254)/2,2))/#REF!</f>
        <v>#REF!</v>
      </c>
      <c r="AB14" s="1">
        <v>7053815.7833072096</v>
      </c>
      <c r="AC14" s="1">
        <f>2*(L14-AB14)/(AB14+L14)</f>
        <v>1.4920482070176286</v>
      </c>
      <c r="AD14" s="1">
        <f t="shared" si="15"/>
        <v>1.4345046786856153</v>
      </c>
      <c r="AE14" s="2">
        <v>0.31674999999999998</v>
      </c>
      <c r="AF14" s="2">
        <v>2.648E-2</v>
      </c>
      <c r="AG14" s="1" t="s">
        <v>33</v>
      </c>
      <c r="AU14" s="1" t="s">
        <v>36</v>
      </c>
      <c r="AV14" s="1">
        <v>0.8</v>
      </c>
      <c r="AW14" s="1">
        <v>75637512.435766295</v>
      </c>
      <c r="AX14" s="1">
        <f>2*(AW14-AB5)/(AW14+AB5)</f>
        <v>1.4383772642152732</v>
      </c>
    </row>
    <row r="15" spans="1:53" x14ac:dyDescent="0.55000000000000004">
      <c r="A15" s="8">
        <v>0.5</v>
      </c>
      <c r="B15">
        <v>0.26</v>
      </c>
      <c r="C15">
        <f>1/25.4</f>
        <v>3.937007874015748E-2</v>
      </c>
      <c r="D15">
        <f t="shared" ref="D15:D19" si="20">B15/C15</f>
        <v>6.6040000000000001</v>
      </c>
      <c r="F15">
        <v>0.41612857611577603</v>
      </c>
      <c r="G15">
        <v>0.40415579000000001</v>
      </c>
      <c r="J15">
        <f t="shared" si="1"/>
        <v>1569.7384106143224</v>
      </c>
      <c r="L15">
        <f t="shared" si="10"/>
        <v>12622606.414262313</v>
      </c>
      <c r="N15">
        <f t="shared" si="2"/>
        <v>11151229.051711742</v>
      </c>
      <c r="T15">
        <f t="shared" si="6"/>
        <v>6.3773693762910613</v>
      </c>
      <c r="U15">
        <f t="shared" si="7"/>
        <v>201.82585404846517</v>
      </c>
      <c r="V15">
        <f t="shared" si="8"/>
        <v>1.4970313264808874</v>
      </c>
      <c r="W15">
        <f t="shared" si="9"/>
        <v>201.01337517368341</v>
      </c>
      <c r="X15">
        <f t="shared" si="3"/>
        <v>1.5212403373019803</v>
      </c>
      <c r="Y15">
        <f t="shared" si="4"/>
        <v>0.92093265591458273</v>
      </c>
      <c r="AA15" t="e">
        <f>A15*(0.003785/60)/(PI()*POWER((B15*0.0254)/2,2))/#REF!</f>
        <v>#REF!</v>
      </c>
      <c r="AV15">
        <v>1</v>
      </c>
      <c r="AW15">
        <v>58604805.947759002</v>
      </c>
      <c r="AX15">
        <f>2*(AW15-AB14)/(AW15+AB14)</f>
        <v>1.5702732955803296</v>
      </c>
    </row>
    <row r="16" spans="1:53" s="4" customFormat="1" x14ac:dyDescent="0.55000000000000004">
      <c r="A16" s="9">
        <v>5</v>
      </c>
      <c r="B16" s="4">
        <v>0.26</v>
      </c>
      <c r="C16" s="4">
        <f>1/25.4</f>
        <v>3.937007874015748E-2</v>
      </c>
      <c r="D16" s="4">
        <f t="shared" si="20"/>
        <v>6.6040000000000001</v>
      </c>
      <c r="F16" s="4">
        <v>0.41612857611577603</v>
      </c>
      <c r="G16" s="4">
        <v>0.40415579000000001</v>
      </c>
      <c r="J16" s="4">
        <f t="shared" si="1"/>
        <v>15697.384106143225</v>
      </c>
      <c r="L16" s="4">
        <f t="shared" si="10"/>
        <v>1172390525.1471739</v>
      </c>
      <c r="N16" s="4">
        <f t="shared" si="2"/>
        <v>1035744945.0735813</v>
      </c>
      <c r="T16" s="4">
        <f t="shared" si="6"/>
        <v>4.7823523660548029</v>
      </c>
      <c r="U16" s="4">
        <f t="shared" si="7"/>
        <v>201.82585404846517</v>
      </c>
      <c r="V16" s="4">
        <f t="shared" si="8"/>
        <v>1.4970313264808874</v>
      </c>
      <c r="W16" s="4">
        <f t="shared" si="9"/>
        <v>201.01337517368341</v>
      </c>
      <c r="X16" s="4">
        <f t="shared" si="3"/>
        <v>1.5212403373019803</v>
      </c>
      <c r="Y16" s="4">
        <f t="shared" si="4"/>
        <v>9.2093265591458273</v>
      </c>
      <c r="AA16" s="4" t="e">
        <f>A16*(0.003785/60)/(PI()*POWER((B16*0.0254)/2,2))/#REF!</f>
        <v>#REF!</v>
      </c>
      <c r="AV16" s="4">
        <v>1.2</v>
      </c>
      <c r="AW16" s="4">
        <v>32033362.524798401</v>
      </c>
      <c r="AX16" s="4">
        <f>2*(AW16-AB20)/(AW16+AB20)</f>
        <v>1.5160768655010302</v>
      </c>
    </row>
    <row r="17" spans="1:49" s="1" customFormat="1" x14ac:dyDescent="0.55000000000000004">
      <c r="A17" s="10">
        <v>1</v>
      </c>
      <c r="B17" s="1">
        <v>0.26</v>
      </c>
      <c r="C17" s="1">
        <f>1.1/25.4</f>
        <v>4.3307086614173235E-2</v>
      </c>
      <c r="D17" s="1">
        <f t="shared" si="20"/>
        <v>6.003636363636363</v>
      </c>
      <c r="E17" s="1">
        <v>0.41830315631398601</v>
      </c>
      <c r="F17" s="1">
        <v>0.39936773079363702</v>
      </c>
      <c r="G17" s="1">
        <v>0.38246026999999999</v>
      </c>
      <c r="H17" s="1">
        <v>0.236313837174284</v>
      </c>
      <c r="I17" s="1">
        <v>0.217691160303293</v>
      </c>
      <c r="J17" s="1">
        <f t="shared" si="1"/>
        <v>3357.0555320192821</v>
      </c>
      <c r="K17" s="1">
        <v>40832853.036289804</v>
      </c>
      <c r="L17" s="1">
        <f t="shared" si="10"/>
        <v>55376993.583318911</v>
      </c>
      <c r="M17" s="1">
        <f>2*(L17-K17)/(K17+L17)</f>
        <v>0.30234203791080233</v>
      </c>
      <c r="N17" s="1">
        <f t="shared" si="2"/>
        <v>46230852.714361355</v>
      </c>
      <c r="O17" s="1">
        <f t="shared" si="11"/>
        <v>0.12400114678167554</v>
      </c>
      <c r="P17" s="2">
        <v>3.9274000000000003E-2</v>
      </c>
      <c r="Q17" s="2">
        <v>3.6062999999999997E-5</v>
      </c>
      <c r="T17" s="1">
        <f t="shared" si="6"/>
        <v>5.7992945443180588</v>
      </c>
      <c r="U17" s="1">
        <f t="shared" si="7"/>
        <v>201.27310810765297</v>
      </c>
      <c r="V17" s="1">
        <f t="shared" si="8"/>
        <v>1.5326257727609705</v>
      </c>
      <c r="W17" s="1">
        <f t="shared" si="9"/>
        <v>200.15750163736681</v>
      </c>
      <c r="X17" s="1">
        <f t="shared" si="3"/>
        <v>1.5683055370955805</v>
      </c>
      <c r="Y17" s="1">
        <f t="shared" si="4"/>
        <v>1.8418653118291655</v>
      </c>
      <c r="AV17" s="1" t="s">
        <v>35</v>
      </c>
      <c r="AW17" s="1">
        <v>13628.524393015899</v>
      </c>
    </row>
    <row r="18" spans="1:49" x14ac:dyDescent="0.55000000000000004">
      <c r="A18" s="8">
        <v>0.5</v>
      </c>
      <c r="B18">
        <v>0.26</v>
      </c>
      <c r="C18">
        <f t="shared" ref="C18:C19" si="21">1.1/25.4</f>
        <v>4.3307086614173235E-2</v>
      </c>
      <c r="D18">
        <f t="shared" si="20"/>
        <v>6.003636363636363</v>
      </c>
      <c r="F18">
        <v>0.39936773079363702</v>
      </c>
      <c r="G18">
        <v>0.38246026999999999</v>
      </c>
      <c r="J18">
        <f t="shared" si="1"/>
        <v>1678.527766009641</v>
      </c>
      <c r="L18">
        <f t="shared" si="10"/>
        <v>14365030.601935249</v>
      </c>
      <c r="N18">
        <f t="shared" si="2"/>
        <v>11992821.714857373</v>
      </c>
      <c r="T18">
        <f t="shared" si="6"/>
        <v>6.3241755445822845</v>
      </c>
      <c r="U18">
        <f t="shared" si="7"/>
        <v>201.27310810765297</v>
      </c>
      <c r="V18">
        <f t="shared" si="8"/>
        <v>1.5326257727609705</v>
      </c>
      <c r="W18">
        <f t="shared" si="9"/>
        <v>200.15750163736681</v>
      </c>
      <c r="X18">
        <f t="shared" si="3"/>
        <v>1.5683055370955805</v>
      </c>
      <c r="Y18">
        <f t="shared" si="4"/>
        <v>0.92093265591458273</v>
      </c>
    </row>
    <row r="19" spans="1:49" s="4" customFormat="1" x14ac:dyDescent="0.55000000000000004">
      <c r="A19" s="9">
        <v>5</v>
      </c>
      <c r="B19" s="4">
        <v>0.26</v>
      </c>
      <c r="C19" s="4">
        <f t="shared" si="21"/>
        <v>4.3307086614173235E-2</v>
      </c>
      <c r="D19" s="4">
        <f t="shared" si="20"/>
        <v>6.003636363636363</v>
      </c>
      <c r="F19" s="4">
        <v>0.39936773079363702</v>
      </c>
      <c r="G19" s="4">
        <v>0.38246026999999999</v>
      </c>
      <c r="J19" s="4">
        <f t="shared" si="1"/>
        <v>16785.277660096406</v>
      </c>
      <c r="L19" s="4">
        <f t="shared" si="10"/>
        <v>1342762263.0945313</v>
      </c>
      <c r="N19" s="4">
        <f t="shared" si="2"/>
        <v>1120962634.9576712</v>
      </c>
      <c r="T19" s="4">
        <f t="shared" si="6"/>
        <v>4.7424626196841855</v>
      </c>
      <c r="U19" s="4">
        <f t="shared" si="7"/>
        <v>201.27310810765297</v>
      </c>
      <c r="V19" s="4">
        <f t="shared" si="8"/>
        <v>1.5326257727609705</v>
      </c>
      <c r="W19" s="4">
        <f t="shared" si="9"/>
        <v>200.15750163736681</v>
      </c>
      <c r="X19" s="4">
        <f t="shared" si="3"/>
        <v>1.5683055370955805</v>
      </c>
      <c r="Y19" s="4">
        <f t="shared" si="4"/>
        <v>9.2093265591458273</v>
      </c>
    </row>
    <row r="20" spans="1:49" s="1" customFormat="1" x14ac:dyDescent="0.55000000000000004">
      <c r="A20" s="10">
        <v>1</v>
      </c>
      <c r="B20" s="1">
        <v>0.26</v>
      </c>
      <c r="C20" s="1">
        <f>1.2/25.4</f>
        <v>4.7244094488188976E-2</v>
      </c>
      <c r="D20" s="1">
        <f t="shared" ref="D20:D28" si="22">B20/C20</f>
        <v>5.5033333333333339</v>
      </c>
      <c r="E20" s="1">
        <v>0.44725353485070501</v>
      </c>
      <c r="F20" s="1">
        <v>0.42927790179666198</v>
      </c>
      <c r="G20" s="1">
        <v>0.41535359999999999</v>
      </c>
      <c r="H20" s="1">
        <v>0.15854957891562599</v>
      </c>
      <c r="I20" s="1">
        <v>0.17957014042129099</v>
      </c>
      <c r="J20" s="1">
        <f t="shared" si="1"/>
        <v>3854.1717048619398</v>
      </c>
      <c r="K20" s="1">
        <v>27521500.755613901</v>
      </c>
      <c r="L20" s="1">
        <f t="shared" si="10"/>
        <v>35818985.446979903</v>
      </c>
      <c r="M20" s="1">
        <f>2*(L20-K20)/(K20+L20)</f>
        <v>0.26199624249256925</v>
      </c>
      <c r="N20" s="1">
        <f t="shared" si="2"/>
        <v>31092959.50453547</v>
      </c>
      <c r="O20" s="1">
        <f t="shared" si="11"/>
        <v>0.12186271896287415</v>
      </c>
      <c r="P20" s="2">
        <v>1.3074000000000001E-2</v>
      </c>
      <c r="Q20" s="2">
        <v>9.9541000000000001E-6</v>
      </c>
      <c r="R20" s="1" t="s">
        <v>22</v>
      </c>
      <c r="T20" s="1">
        <f t="shared" si="6"/>
        <v>5.7000491476318746</v>
      </c>
      <c r="U20" s="1">
        <f t="shared" si="7"/>
        <v>204.09616743178375</v>
      </c>
      <c r="V20" s="1">
        <f t="shared" si="8"/>
        <v>1.4742629632432636</v>
      </c>
      <c r="W20" s="1">
        <f t="shared" si="9"/>
        <v>203.03669946797621</v>
      </c>
      <c r="X20" s="1">
        <f t="shared" si="3"/>
        <v>1.5017207877103032</v>
      </c>
      <c r="Y20" s="1">
        <f t="shared" si="4"/>
        <v>1.8418653118291655</v>
      </c>
      <c r="Z20" s="1">
        <v>4.2725325999999999</v>
      </c>
      <c r="AA20" s="1" t="e">
        <f>A20*(0.003785/60)/(PI()*POWER((B20*0.0254)/2,2))/#REF!</f>
        <v>#REF!</v>
      </c>
      <c r="AB20" s="1">
        <v>4408801.5690559503</v>
      </c>
      <c r="AC20" s="1">
        <f>2*(L20-AB20)/(AB20+L20)</f>
        <v>1.5616162959897857</v>
      </c>
      <c r="AE20" s="2">
        <v>0.21354999999999999</v>
      </c>
      <c r="AF20" s="2">
        <v>4.0287999999999999E-3</v>
      </c>
    </row>
    <row r="21" spans="1:49" x14ac:dyDescent="0.55000000000000004">
      <c r="A21" s="8">
        <v>0.5</v>
      </c>
      <c r="B21">
        <v>0.26</v>
      </c>
      <c r="C21">
        <f>1.2/25.4</f>
        <v>4.7244094488188976E-2</v>
      </c>
      <c r="D21">
        <f t="shared" si="22"/>
        <v>5.5033333333333339</v>
      </c>
      <c r="F21">
        <v>0.42927790179666198</v>
      </c>
      <c r="G21">
        <v>0.41535359999999999</v>
      </c>
      <c r="J21">
        <f t="shared" si="1"/>
        <v>1927.0858524309699</v>
      </c>
      <c r="L21">
        <f t="shared" si="10"/>
        <v>9265376.4257107489</v>
      </c>
      <c r="N21">
        <f t="shared" si="2"/>
        <v>8042768.533165765</v>
      </c>
      <c r="T21">
        <f t="shared" si="6"/>
        <v>6.215947672064571</v>
      </c>
      <c r="U21">
        <f t="shared" si="7"/>
        <v>204.09616743178375</v>
      </c>
      <c r="V21">
        <f t="shared" si="8"/>
        <v>1.4742629632432636</v>
      </c>
      <c r="W21">
        <f t="shared" si="9"/>
        <v>203.03669946797621</v>
      </c>
      <c r="X21">
        <f t="shared" si="3"/>
        <v>1.5017207877103032</v>
      </c>
      <c r="Y21">
        <f t="shared" si="4"/>
        <v>0.92093265591458273</v>
      </c>
      <c r="AA21" t="e">
        <f>A21*(0.003785/60)/(PI()*POWER((B21*0.0254)/2,2))/#REF!</f>
        <v>#REF!</v>
      </c>
    </row>
    <row r="22" spans="1:49" s="4" customFormat="1" x14ac:dyDescent="0.55000000000000004">
      <c r="A22" s="9">
        <v>5</v>
      </c>
      <c r="B22" s="4">
        <v>0.26</v>
      </c>
      <c r="C22" s="4">
        <f>1.2/25.4</f>
        <v>4.7244094488188976E-2</v>
      </c>
      <c r="D22" s="4">
        <f t="shared" si="22"/>
        <v>5.5033333333333339</v>
      </c>
      <c r="F22" s="4">
        <v>0.42927790179666198</v>
      </c>
      <c r="G22" s="4">
        <v>0.41535359999999999</v>
      </c>
      <c r="J22" s="4">
        <f t="shared" si="1"/>
        <v>19270.858524309704</v>
      </c>
      <c r="L22" s="4">
        <f t="shared" si="10"/>
        <v>870624231.0572356</v>
      </c>
      <c r="N22" s="4">
        <f t="shared" si="2"/>
        <v>755761695.05083489</v>
      </c>
      <c r="T22" s="4">
        <f t="shared" si="6"/>
        <v>4.6613031647947807</v>
      </c>
      <c r="U22" s="4">
        <f t="shared" si="7"/>
        <v>204.09616743178375</v>
      </c>
      <c r="V22" s="4">
        <f t="shared" si="8"/>
        <v>1.4742629632432636</v>
      </c>
      <c r="W22" s="4">
        <f t="shared" si="9"/>
        <v>203.03669946797621</v>
      </c>
      <c r="X22" s="4">
        <f t="shared" si="3"/>
        <v>1.5017207877103032</v>
      </c>
      <c r="Y22" s="4">
        <f t="shared" si="4"/>
        <v>9.2093265591458273</v>
      </c>
      <c r="AA22" s="4" t="e">
        <f>A22*(0.003785/60)/(PI()*POWER((B22*0.0254)/2,2))/#REF!</f>
        <v>#REF!</v>
      </c>
    </row>
    <row r="23" spans="1:49" s="1" customFormat="1" x14ac:dyDescent="0.55000000000000004">
      <c r="A23" s="10">
        <v>1</v>
      </c>
      <c r="B23" s="1">
        <v>0.26</v>
      </c>
      <c r="C23" s="1">
        <f>1.5/25.4</f>
        <v>5.9055118110236227E-2</v>
      </c>
      <c r="D23" s="1">
        <f t="shared" si="22"/>
        <v>4.4026666666666667</v>
      </c>
      <c r="E23" s="1">
        <v>0.44429346788613899</v>
      </c>
      <c r="F23" s="1">
        <v>0.43062107031466901</v>
      </c>
      <c r="G23">
        <v>0.41800005000000001</v>
      </c>
      <c r="H23" s="1">
        <v>0.28063824953647099</v>
      </c>
      <c r="I23" s="1">
        <v>0.24281603759102</v>
      </c>
      <c r="J23" s="1">
        <f t="shared" si="1"/>
        <v>4829.0796505465905</v>
      </c>
      <c r="K23" s="1">
        <v>15227623.934699399</v>
      </c>
      <c r="L23" s="1">
        <f t="shared" si="10"/>
        <v>27801148.481388032</v>
      </c>
      <c r="M23" s="1">
        <f t="shared" ref="M23:M35" si="23">2*(L23-K23)/(K23+L23)</f>
        <v>0.58442404189935437</v>
      </c>
      <c r="N23" s="1">
        <f t="shared" si="2"/>
        <v>24465618.403657895</v>
      </c>
      <c r="O23" s="1">
        <f t="shared" si="11"/>
        <v>0.46546938091935225</v>
      </c>
      <c r="P23" s="3">
        <v>3.832E-2</v>
      </c>
      <c r="Q23" s="3">
        <v>2.4956000000000002E-4</v>
      </c>
      <c r="T23" s="1">
        <f t="shared" si="6"/>
        <v>5.5416224824271687</v>
      </c>
      <c r="U23" s="1">
        <f t="shared" si="7"/>
        <v>206.52462547293689</v>
      </c>
      <c r="V23" s="1">
        <f t="shared" si="8"/>
        <v>1.4770756478175324</v>
      </c>
      <c r="W23" s="1">
        <f t="shared" si="9"/>
        <v>205.4406689931935</v>
      </c>
      <c r="X23" s="1">
        <f t="shared" si="3"/>
        <v>1.5018641964417045</v>
      </c>
      <c r="Y23" s="1">
        <f t="shared" si="4"/>
        <v>1.8418653118291655</v>
      </c>
    </row>
    <row r="24" spans="1:49" x14ac:dyDescent="0.55000000000000004">
      <c r="A24" s="8">
        <v>0.5</v>
      </c>
      <c r="B24">
        <v>0.26</v>
      </c>
      <c r="C24">
        <f t="shared" ref="C24:C25" si="24">1.5/25.4</f>
        <v>5.9055118110236227E-2</v>
      </c>
      <c r="D24">
        <f t="shared" si="22"/>
        <v>4.4026666666666667</v>
      </c>
      <c r="F24">
        <v>0.43062107031466901</v>
      </c>
      <c r="G24">
        <v>0.41800005000000001</v>
      </c>
      <c r="J24">
        <f t="shared" si="1"/>
        <v>2414.5398252732953</v>
      </c>
      <c r="L24">
        <f t="shared" si="10"/>
        <v>7145864.942847956</v>
      </c>
      <c r="N24">
        <f t="shared" si="2"/>
        <v>6288514.1991741154</v>
      </c>
      <c r="T24">
        <f t="shared" si="6"/>
        <v>6.0431821685984692</v>
      </c>
      <c r="U24">
        <f t="shared" si="7"/>
        <v>206.52462547293689</v>
      </c>
      <c r="V24">
        <f t="shared" si="8"/>
        <v>1.4770756478175324</v>
      </c>
      <c r="W24">
        <f t="shared" si="9"/>
        <v>205.4406689931935</v>
      </c>
      <c r="X24">
        <f t="shared" si="3"/>
        <v>1.5018641964417045</v>
      </c>
      <c r="Y24">
        <f t="shared" si="4"/>
        <v>0.92093265591458273</v>
      </c>
    </row>
    <row r="25" spans="1:49" s="4" customFormat="1" x14ac:dyDescent="0.55000000000000004">
      <c r="A25" s="9">
        <v>5</v>
      </c>
      <c r="B25" s="4">
        <v>0.26</v>
      </c>
      <c r="C25" s="4">
        <f t="shared" si="24"/>
        <v>5.9055118110236227E-2</v>
      </c>
      <c r="D25" s="4">
        <f t="shared" si="22"/>
        <v>4.4026666666666667</v>
      </c>
      <c r="F25" s="4">
        <v>0.43062107031466901</v>
      </c>
      <c r="G25">
        <v>0.41800005000000001</v>
      </c>
      <c r="J25" s="4">
        <f t="shared" si="1"/>
        <v>24145.39825273295</v>
      </c>
      <c r="L25" s="4">
        <f t="shared" si="10"/>
        <v>679382486.2346251</v>
      </c>
      <c r="N25" s="4">
        <f t="shared" si="2"/>
        <v>597871692.23067582</v>
      </c>
      <c r="T25" s="4">
        <f t="shared" si="6"/>
        <v>4.5317473141731455</v>
      </c>
      <c r="U25" s="4">
        <f t="shared" si="7"/>
        <v>206.52462547293689</v>
      </c>
      <c r="V25" s="4">
        <f t="shared" si="8"/>
        <v>1.4770756478175324</v>
      </c>
      <c r="W25" s="4">
        <f t="shared" si="9"/>
        <v>205.4406689931935</v>
      </c>
      <c r="X25" s="4">
        <f t="shared" si="3"/>
        <v>1.5018641964417045</v>
      </c>
      <c r="Y25" s="4">
        <f t="shared" si="4"/>
        <v>9.2093265591458273</v>
      </c>
    </row>
    <row r="26" spans="1:49" s="1" customFormat="1" x14ac:dyDescent="0.55000000000000004">
      <c r="A26" s="10">
        <v>1</v>
      </c>
      <c r="B26" s="1">
        <v>0.26</v>
      </c>
      <c r="C26" s="1">
        <f>1.7/25.4</f>
        <v>6.6929133858267723E-2</v>
      </c>
      <c r="D26" s="1">
        <f t="shared" si="22"/>
        <v>3.8847058823529408</v>
      </c>
      <c r="E26" s="1">
        <v>0.46172313007598598</v>
      </c>
      <c r="F26" s="1">
        <v>0.44720405985388101</v>
      </c>
      <c r="G26" s="1">
        <v>0.43739220000000001</v>
      </c>
      <c r="H26" s="1">
        <v>0.21375263462077901</v>
      </c>
      <c r="I26" s="1">
        <v>0.21955319742520299</v>
      </c>
      <c r="J26" s="1">
        <f t="shared" si="1"/>
        <v>5637.1368471740107</v>
      </c>
      <c r="K26" s="1">
        <v>11591042.567276901</v>
      </c>
      <c r="L26" s="1">
        <f t="shared" si="10"/>
        <v>20168924.024302784</v>
      </c>
      <c r="M26" s="1">
        <f t="shared" si="23"/>
        <v>0.54016942570084958</v>
      </c>
      <c r="N26" s="1">
        <f t="shared" si="2"/>
        <v>18305934.976986948</v>
      </c>
      <c r="O26" s="1">
        <f t="shared" si="11"/>
        <v>0.44920209073096712</v>
      </c>
      <c r="P26" s="3">
        <v>8.8868000000000003E-3</v>
      </c>
      <c r="Q26" s="3">
        <v>4.3657000000000004E-6</v>
      </c>
      <c r="T26" s="1">
        <f t="shared" si="6"/>
        <v>5.4354769754335477</v>
      </c>
      <c r="U26" s="1">
        <f t="shared" si="7"/>
        <v>209.94037735938886</v>
      </c>
      <c r="V26" s="1">
        <f t="shared" si="8"/>
        <v>1.4495827821774814</v>
      </c>
      <c r="W26" s="1">
        <f t="shared" si="9"/>
        <v>208.9677580884574</v>
      </c>
      <c r="X26" s="1">
        <f t="shared" si="3"/>
        <v>1.4682053659642258</v>
      </c>
      <c r="Y26" s="1">
        <f t="shared" si="4"/>
        <v>1.8418653118291655</v>
      </c>
    </row>
    <row r="27" spans="1:49" x14ac:dyDescent="0.55000000000000004">
      <c r="A27" s="8">
        <v>0.5</v>
      </c>
      <c r="B27">
        <v>0.26</v>
      </c>
      <c r="C27">
        <f t="shared" ref="C27:C28" si="25">1.7/25.4</f>
        <v>6.6929133858267723E-2</v>
      </c>
      <c r="D27">
        <f t="shared" si="22"/>
        <v>3.8847058823529408</v>
      </c>
      <c r="F27">
        <v>0.44720405985388101</v>
      </c>
      <c r="G27">
        <v>0.43739220000000001</v>
      </c>
      <c r="J27">
        <f t="shared" si="1"/>
        <v>2818.5684235870053</v>
      </c>
      <c r="L27">
        <f t="shared" si="10"/>
        <v>5168552.9054217832</v>
      </c>
      <c r="N27">
        <f t="shared" si="2"/>
        <v>4691116.680895838</v>
      </c>
      <c r="T27">
        <f t="shared" si="6"/>
        <v>5.9274296724342515</v>
      </c>
      <c r="U27">
        <f t="shared" si="7"/>
        <v>209.94037735938886</v>
      </c>
      <c r="V27">
        <f t="shared" si="8"/>
        <v>1.4495827821774814</v>
      </c>
      <c r="W27">
        <f t="shared" si="9"/>
        <v>208.9677580884574</v>
      </c>
      <c r="X27">
        <f t="shared" si="3"/>
        <v>1.4682053659642258</v>
      </c>
      <c r="Y27">
        <f t="shared" si="4"/>
        <v>0.92093265591458273</v>
      </c>
    </row>
    <row r="28" spans="1:49" ht="14.7" thickBot="1" x14ac:dyDescent="0.6">
      <c r="A28" s="8">
        <v>5</v>
      </c>
      <c r="B28">
        <v>0.26</v>
      </c>
      <c r="C28">
        <f t="shared" si="25"/>
        <v>6.6929133858267723E-2</v>
      </c>
      <c r="D28">
        <f t="shared" si="22"/>
        <v>3.8847058823529408</v>
      </c>
      <c r="F28">
        <v>0.44720405985388101</v>
      </c>
      <c r="G28">
        <v>0.43739220000000001</v>
      </c>
      <c r="J28">
        <f t="shared" si="1"/>
        <v>28185.684235870056</v>
      </c>
      <c r="L28">
        <f t="shared" si="10"/>
        <v>494117348.65988266</v>
      </c>
      <c r="N28">
        <f t="shared" si="2"/>
        <v>448477739.49274564</v>
      </c>
      <c r="T28">
        <f t="shared" si="6"/>
        <v>4.4449451875838202</v>
      </c>
      <c r="U28">
        <f t="shared" si="7"/>
        <v>209.94037735938886</v>
      </c>
      <c r="V28">
        <f t="shared" si="8"/>
        <v>1.4495827821774814</v>
      </c>
      <c r="W28">
        <f t="shared" si="9"/>
        <v>208.9677580884574</v>
      </c>
      <c r="X28">
        <f t="shared" si="3"/>
        <v>1.4682053659642258</v>
      </c>
      <c r="Y28">
        <f t="shared" si="4"/>
        <v>9.2093265591458273</v>
      </c>
    </row>
    <row r="29" spans="1:49" s="6" customFormat="1" x14ac:dyDescent="0.55000000000000004">
      <c r="A29" s="5">
        <v>1</v>
      </c>
      <c r="B29" s="6">
        <v>0.60199999999999998</v>
      </c>
      <c r="C29" s="6">
        <f>1/16</f>
        <v>6.25E-2</v>
      </c>
      <c r="D29" s="6">
        <f t="shared" ref="D29:D37" si="26">B29/C29</f>
        <v>9.6319999999999997</v>
      </c>
      <c r="E29" s="6">
        <v>0.38961121003964799</v>
      </c>
      <c r="F29" s="6">
        <v>0.37253999789729503</v>
      </c>
      <c r="G29" s="6">
        <v>0.34976394</v>
      </c>
      <c r="H29" s="6">
        <v>0.11184396802541501</v>
      </c>
      <c r="I29" s="6">
        <v>0.13968372938381299</v>
      </c>
      <c r="J29" s="6">
        <f t="shared" si="1"/>
        <v>865.07926405243313</v>
      </c>
      <c r="K29" s="6">
        <v>1987683.9991564001</v>
      </c>
      <c r="L29" s="6">
        <f t="shared" si="10"/>
        <v>2110418.4939148827</v>
      </c>
      <c r="M29" s="6">
        <f t="shared" si="23"/>
        <v>5.9898206531433233E-2</v>
      </c>
      <c r="N29" s="6">
        <f t="shared" si="2"/>
        <v>1632539.3727896356</v>
      </c>
      <c r="O29" s="6">
        <f t="shared" si="11"/>
        <v>-0.19620039421813801</v>
      </c>
      <c r="P29" s="2">
        <v>1.29E-2</v>
      </c>
      <c r="Q29" s="2">
        <v>1.8851E-5</v>
      </c>
      <c r="T29" s="6">
        <f>16*POWER(J29,-1/8)</f>
        <v>6.8704944779446322</v>
      </c>
      <c r="U29" s="6">
        <f t="shared" si="7"/>
        <v>197.56741240920556</v>
      </c>
      <c r="V29" s="6">
        <f t="shared" si="8"/>
        <v>1.5840831097425432</v>
      </c>
      <c r="W29" s="6">
        <f t="shared" si="9"/>
        <v>196.38578524328054</v>
      </c>
      <c r="X29" s="6">
        <f t="shared" si="3"/>
        <v>1.6358389683070254</v>
      </c>
      <c r="Y29" s="6">
        <f t="shared" si="4"/>
        <v>0.34356711040620852</v>
      </c>
    </row>
    <row r="30" spans="1:49" x14ac:dyDescent="0.55000000000000004">
      <c r="A30" s="8">
        <v>0.5</v>
      </c>
      <c r="B30">
        <v>0.60199999999999998</v>
      </c>
      <c r="C30">
        <f t="shared" ref="C30:C31" si="27">1/16</f>
        <v>6.25E-2</v>
      </c>
      <c r="D30">
        <f t="shared" si="26"/>
        <v>9.6319999999999997</v>
      </c>
      <c r="F30">
        <v>0.37253999789729503</v>
      </c>
      <c r="G30">
        <v>0.34976394</v>
      </c>
      <c r="J30">
        <f t="shared" si="1"/>
        <v>432.53963202621657</v>
      </c>
      <c r="L30">
        <f t="shared" si="10"/>
        <v>593941.05550808867</v>
      </c>
      <c r="M30">
        <f t="shared" si="23"/>
        <v>2</v>
      </c>
      <c r="N30">
        <f t="shared" si="2"/>
        <v>459562.14483535022</v>
      </c>
      <c r="O30">
        <f t="shared" si="11"/>
        <v>2</v>
      </c>
      <c r="T30">
        <f t="shared" ref="T30:T37" si="28">16*POWER(J30,-1/8)</f>
        <v>7.4923273554325736</v>
      </c>
      <c r="U30">
        <f t="shared" si="7"/>
        <v>197.56741240920556</v>
      </c>
      <c r="V30">
        <f t="shared" si="8"/>
        <v>1.5840831097425432</v>
      </c>
      <c r="W30">
        <f t="shared" si="9"/>
        <v>196.38578524328054</v>
      </c>
      <c r="X30">
        <f t="shared" si="3"/>
        <v>1.6358389683070254</v>
      </c>
      <c r="Y30">
        <f t="shared" si="4"/>
        <v>0.17178355520310426</v>
      </c>
    </row>
    <row r="31" spans="1:49" s="4" customFormat="1" x14ac:dyDescent="0.55000000000000004">
      <c r="A31" s="8">
        <v>5</v>
      </c>
      <c r="B31" s="4">
        <v>0.60199999999999998</v>
      </c>
      <c r="C31" s="4">
        <f t="shared" si="27"/>
        <v>6.25E-2</v>
      </c>
      <c r="D31" s="4">
        <f t="shared" si="26"/>
        <v>9.6319999999999997</v>
      </c>
      <c r="F31" s="4">
        <v>0.37253999789729503</v>
      </c>
      <c r="G31" s="4">
        <v>0.34976394</v>
      </c>
      <c r="J31" s="4">
        <f t="shared" si="1"/>
        <v>4325.3963202621653</v>
      </c>
      <c r="L31" s="4">
        <f t="shared" si="10"/>
        <v>47453547.78552261</v>
      </c>
      <c r="M31" s="4">
        <f t="shared" si="23"/>
        <v>2</v>
      </c>
      <c r="N31" s="4">
        <f t="shared" si="2"/>
        <v>36699300.188705578</v>
      </c>
      <c r="O31" s="4">
        <f t="shared" si="11"/>
        <v>2</v>
      </c>
      <c r="T31" s="4">
        <f t="shared" si="28"/>
        <v>5.6184528982620403</v>
      </c>
      <c r="U31" s="4">
        <f t="shared" si="7"/>
        <v>197.56741240920556</v>
      </c>
      <c r="V31" s="4">
        <f t="shared" si="8"/>
        <v>1.5840831097425432</v>
      </c>
      <c r="W31" s="4">
        <f t="shared" si="9"/>
        <v>196.38578524328054</v>
      </c>
      <c r="X31" s="4">
        <f t="shared" si="3"/>
        <v>1.6358389683070254</v>
      </c>
      <c r="Y31" s="4">
        <f t="shared" si="4"/>
        <v>1.7178355520310424</v>
      </c>
    </row>
    <row r="32" spans="1:49" s="1" customFormat="1" x14ac:dyDescent="0.55000000000000004">
      <c r="A32" s="10">
        <v>1</v>
      </c>
      <c r="B32" s="1">
        <v>0.60199999999999998</v>
      </c>
      <c r="C32" s="1">
        <f>1/8</f>
        <v>0.125</v>
      </c>
      <c r="D32" s="1">
        <f t="shared" si="26"/>
        <v>4.8159999999999998</v>
      </c>
      <c r="E32" s="1">
        <v>0.41387260089492001</v>
      </c>
      <c r="F32" s="1">
        <v>0.39749313804161701</v>
      </c>
      <c r="G32" s="1">
        <v>0.38931084999999999</v>
      </c>
      <c r="H32" s="1">
        <v>0.204713570288584</v>
      </c>
      <c r="I32" s="1">
        <v>0.20523296223464099</v>
      </c>
      <c r="J32" s="1">
        <f t="shared" si="1"/>
        <v>1801.8139580253917</v>
      </c>
      <c r="K32" s="1">
        <v>486723.13564963703</v>
      </c>
      <c r="L32" s="1">
        <f t="shared" si="10"/>
        <v>642210.80617299094</v>
      </c>
      <c r="M32" s="1">
        <f t="shared" si="23"/>
        <v>0.27545928909236972</v>
      </c>
      <c r="N32" s="1">
        <f t="shared" si="2"/>
        <v>588743.15500145813</v>
      </c>
      <c r="O32" s="1">
        <f t="shared" si="11"/>
        <v>0.18972239341887218</v>
      </c>
      <c r="P32" s="2">
        <v>0.20862</v>
      </c>
      <c r="Q32" s="2">
        <v>9.6875999999999993E-3</v>
      </c>
      <c r="T32" s="1">
        <f t="shared" si="28"/>
        <v>6.2683933223426083</v>
      </c>
      <c r="U32" s="1">
        <f t="shared" si="7"/>
        <v>202.86375624870169</v>
      </c>
      <c r="V32" s="1">
        <f t="shared" si="8"/>
        <v>1.541107772665683</v>
      </c>
      <c r="W32" s="1">
        <f t="shared" si="9"/>
        <v>202.26161592979258</v>
      </c>
      <c r="X32" s="1">
        <f t="shared" si="3"/>
        <v>1.5582736677735647</v>
      </c>
      <c r="Y32" s="1">
        <f t="shared" si="4"/>
        <v>0.34356711040620852</v>
      </c>
    </row>
    <row r="33" spans="1:25" x14ac:dyDescent="0.55000000000000004">
      <c r="A33" s="8">
        <v>0.5</v>
      </c>
      <c r="B33">
        <v>0.60199999999999998</v>
      </c>
      <c r="C33">
        <f t="shared" ref="C33:C34" si="29">1/8</f>
        <v>0.125</v>
      </c>
      <c r="D33">
        <f t="shared" si="26"/>
        <v>4.8159999999999998</v>
      </c>
      <c r="F33">
        <v>0.39749313804161701</v>
      </c>
      <c r="G33">
        <v>0.38931084999999999</v>
      </c>
      <c r="J33">
        <f t="shared" si="1"/>
        <v>900.90697901269584</v>
      </c>
      <c r="L33">
        <f t="shared" si="10"/>
        <v>171477.90221324418</v>
      </c>
      <c r="M33">
        <f t="shared" si="23"/>
        <v>2</v>
      </c>
      <c r="N33">
        <f t="shared" si="2"/>
        <v>157206.6399865601</v>
      </c>
      <c r="O33">
        <f t="shared" si="11"/>
        <v>2</v>
      </c>
      <c r="T33">
        <f t="shared" si="28"/>
        <v>6.8357313894018796</v>
      </c>
      <c r="U33">
        <f t="shared" si="7"/>
        <v>202.86375624870169</v>
      </c>
      <c r="V33">
        <f t="shared" si="8"/>
        <v>1.541107772665683</v>
      </c>
      <c r="W33">
        <f t="shared" si="9"/>
        <v>202.26161592979258</v>
      </c>
      <c r="X33">
        <f t="shared" si="3"/>
        <v>1.5582736677735647</v>
      </c>
      <c r="Y33">
        <f t="shared" si="4"/>
        <v>0.17178355520310426</v>
      </c>
    </row>
    <row r="34" spans="1:25" s="4" customFormat="1" x14ac:dyDescent="0.55000000000000004">
      <c r="A34" s="8">
        <v>5</v>
      </c>
      <c r="B34" s="4">
        <v>0.60199999999999998</v>
      </c>
      <c r="C34" s="4">
        <f t="shared" si="29"/>
        <v>0.125</v>
      </c>
      <c r="D34" s="4">
        <f t="shared" si="26"/>
        <v>4.8159999999999998</v>
      </c>
      <c r="F34" s="4">
        <v>0.39749313804161701</v>
      </c>
      <c r="G34" s="4">
        <v>0.38931084999999999</v>
      </c>
      <c r="J34" s="4">
        <f t="shared" ref="J34:J37" si="30">Y34*C34*0.0254*998.2/(0.001003*(1-F34))</f>
        <v>9009.0697901269577</v>
      </c>
      <c r="L34" s="4">
        <f t="shared" si="10"/>
        <v>15181254.100725058</v>
      </c>
      <c r="M34" s="4">
        <f t="shared" si="23"/>
        <v>2</v>
      </c>
      <c r="N34" s="4">
        <f t="shared" ref="N34:N37" si="31">U34*POWER(1-F34,2)*0.001003*Y34/(POWER(F34,3)*POWER(C34*0.0254,2)) + V34*(1-F34)*998.2*POWER(Y34,2)/(POWER(F34,3)*(C34*0.0254))</f>
        <v>13916910.776140809</v>
      </c>
      <c r="O34" s="4">
        <f t="shared" si="11"/>
        <v>2</v>
      </c>
      <c r="T34" s="4">
        <f t="shared" si="28"/>
        <v>5.1260753854645724</v>
      </c>
      <c r="U34" s="4">
        <f t="shared" ref="U34:U37" si="32">(185+(17*F34/(1-F34))*POWER(D34/(D34-1),2))</f>
        <v>202.86375624870169</v>
      </c>
      <c r="V34" s="4">
        <f t="shared" ref="V34:V37" si="33">1.3*POWER((1-F34)/F34,1/3)+0.03*POWER(D34/(D34-1),2)</f>
        <v>1.541107772665683</v>
      </c>
      <c r="W34" s="4">
        <f t="shared" ref="W34:W37" si="34">(185+(17*G34/(1-G34))*POWER(D34/(D34-1),2))</f>
        <v>202.26161592979258</v>
      </c>
      <c r="X34" s="4">
        <f t="shared" ref="X34:X37" si="35">1.3*POWER((1-G34)/G34,1/3)+0.03*POWER(D34/(D34-1),2)</f>
        <v>1.5582736677735647</v>
      </c>
      <c r="Y34" s="4">
        <f t="shared" ref="Y34:Y37" si="36">A34*0.003785411784/(60*PI()*POWER(B34*0.0127,2))</f>
        <v>1.7178355520310424</v>
      </c>
    </row>
    <row r="35" spans="1:25" s="1" customFormat="1" x14ac:dyDescent="0.55000000000000004">
      <c r="A35" s="10">
        <v>1</v>
      </c>
      <c r="B35" s="1">
        <v>0.60199999999999998</v>
      </c>
      <c r="C35" s="1">
        <f>3/16</f>
        <v>0.1875</v>
      </c>
      <c r="D35" s="1">
        <f t="shared" si="26"/>
        <v>3.2106666666666666</v>
      </c>
      <c r="E35" s="1">
        <v>0.45325636478771097</v>
      </c>
      <c r="F35" s="1">
        <v>0.44115607736235402</v>
      </c>
      <c r="G35" s="1">
        <v>0.43551995999999998</v>
      </c>
      <c r="H35" s="1">
        <v>0.25553211124547998</v>
      </c>
      <c r="I35" s="1">
        <v>0.24617596146899001</v>
      </c>
      <c r="J35" s="1">
        <f t="shared" si="30"/>
        <v>2913.886766162253</v>
      </c>
      <c r="K35" s="1">
        <v>148773.240446821</v>
      </c>
      <c r="L35" s="1">
        <f t="shared" si="10"/>
        <v>262779.07848136942</v>
      </c>
      <c r="M35" s="1">
        <f t="shared" si="23"/>
        <v>0.55402840801118514</v>
      </c>
      <c r="N35" s="1">
        <f t="shared" si="31"/>
        <v>248492.84567910054</v>
      </c>
      <c r="O35" s="1">
        <f t="shared" si="11"/>
        <v>0.50202928825226423</v>
      </c>
      <c r="P35" s="3">
        <v>0.20419000000000001</v>
      </c>
      <c r="Q35" s="3">
        <v>2.4694000000000001E-2</v>
      </c>
      <c r="T35" s="1">
        <f t="shared" si="28"/>
        <v>5.9028384669159424</v>
      </c>
      <c r="U35" s="1">
        <f t="shared" si="32"/>
        <v>213.30704714204785</v>
      </c>
      <c r="V35" s="1">
        <f t="shared" si="33"/>
        <v>1.4698976060770426</v>
      </c>
      <c r="W35" s="1">
        <f t="shared" si="34"/>
        <v>212.66637809857141</v>
      </c>
      <c r="X35" s="1">
        <f t="shared" si="35"/>
        <v>1.4806725189776979</v>
      </c>
      <c r="Y35" s="1">
        <f t="shared" si="36"/>
        <v>0.34356711040620852</v>
      </c>
    </row>
    <row r="36" spans="1:25" x14ac:dyDescent="0.55000000000000004">
      <c r="A36" s="8">
        <v>0.5</v>
      </c>
      <c r="B36">
        <v>0.60199999999999998</v>
      </c>
      <c r="C36">
        <f t="shared" ref="C36:C37" si="37">3/16</f>
        <v>0.1875</v>
      </c>
      <c r="D36">
        <f t="shared" si="26"/>
        <v>3.2106666666666666</v>
      </c>
      <c r="F36">
        <v>0.44115607736235402</v>
      </c>
      <c r="G36">
        <v>0.43551995999999998</v>
      </c>
      <c r="J36">
        <f t="shared" si="30"/>
        <v>1456.9433830811265</v>
      </c>
      <c r="L36">
        <f t="shared" si="10"/>
        <v>68810.46055116535</v>
      </c>
      <c r="N36">
        <f t="shared" si="31"/>
        <v>65070.292034483195</v>
      </c>
      <c r="T36">
        <f t="shared" si="28"/>
        <v>6.4370909928457705</v>
      </c>
      <c r="U36">
        <f t="shared" si="32"/>
        <v>213.30704714204785</v>
      </c>
      <c r="V36">
        <f t="shared" si="33"/>
        <v>1.4698976060770426</v>
      </c>
      <c r="W36">
        <f t="shared" si="34"/>
        <v>212.66637809857141</v>
      </c>
      <c r="X36">
        <f t="shared" si="35"/>
        <v>1.4806725189776979</v>
      </c>
      <c r="Y36">
        <f t="shared" si="36"/>
        <v>0.17178355520310426</v>
      </c>
    </row>
    <row r="37" spans="1:25" s="4" customFormat="1" x14ac:dyDescent="0.55000000000000004">
      <c r="A37" s="8">
        <v>5</v>
      </c>
      <c r="B37" s="4">
        <v>0.60199999999999998</v>
      </c>
      <c r="C37" s="4">
        <f t="shared" si="37"/>
        <v>0.1875</v>
      </c>
      <c r="D37" s="4">
        <f t="shared" si="26"/>
        <v>3.2106666666666666</v>
      </c>
      <c r="F37" s="4">
        <v>0.44115607736235402</v>
      </c>
      <c r="G37" s="4">
        <v>0.43551995999999998</v>
      </c>
      <c r="J37" s="4">
        <f t="shared" si="30"/>
        <v>14569.433830811262</v>
      </c>
      <c r="L37" s="4">
        <f t="shared" si="10"/>
        <v>6320221.6875683954</v>
      </c>
      <c r="N37" s="4">
        <f t="shared" si="31"/>
        <v>5976554.6928008674</v>
      </c>
      <c r="T37" s="4">
        <f t="shared" si="28"/>
        <v>4.8271372604811518</v>
      </c>
      <c r="U37" s="4">
        <f t="shared" si="32"/>
        <v>213.30704714204785</v>
      </c>
      <c r="V37" s="4">
        <f t="shared" si="33"/>
        <v>1.4698976060770426</v>
      </c>
      <c r="W37" s="4">
        <f t="shared" si="34"/>
        <v>212.66637809857141</v>
      </c>
      <c r="X37" s="4">
        <f t="shared" si="35"/>
        <v>1.4806725189776979</v>
      </c>
      <c r="Y37" s="4">
        <f t="shared" si="36"/>
        <v>1.7178355520310424</v>
      </c>
    </row>
    <row r="38" spans="1:25" x14ac:dyDescent="0.55000000000000004">
      <c r="A38" s="8">
        <v>1</v>
      </c>
      <c r="B38">
        <v>0.60199999999999998</v>
      </c>
      <c r="C38">
        <v>0.25</v>
      </c>
      <c r="D38" s="1">
        <f t="shared" ref="D38:D44" si="38">B38/C38</f>
        <v>2.4079999999999999</v>
      </c>
      <c r="E38" s="1">
        <v>0.46913576781670302</v>
      </c>
      <c r="F38" s="1">
        <v>0.466470357313992</v>
      </c>
      <c r="G38" s="1">
        <v>0.46254052000000001</v>
      </c>
      <c r="H38" s="1">
        <v>0.31033140743376703</v>
      </c>
      <c r="I38" s="1">
        <v>0.26901433631112998</v>
      </c>
      <c r="J38" s="1">
        <f t="shared" ref="J38:J66" si="39">Y38*C38*0.0254*998.2/(0.001003*(1-F38))</f>
        <v>4069.5218665538741</v>
      </c>
      <c r="K38">
        <v>58323.551404936203</v>
      </c>
      <c r="L38">
        <f t="shared" ref="L38:L47" si="40">W38*POWER(1-G38,2)*0.001003*Y38/(POWER(G38,3)*POWER(C38*0.0254,2)) + X38*(1-G38)*998.2*POWER(Y38,2)/(POWER(G38,3)*(C38*0.0254))</f>
        <v>152258.65067385719</v>
      </c>
      <c r="M38" s="1">
        <f>2*(L38-K38)/(K38+L38)</f>
        <v>0.89214661392678707</v>
      </c>
      <c r="N38" s="1">
        <f t="shared" ref="N38:N66" si="41">U38*POWER(1-F38,2)*0.001003*Y38/(POWER(F38,3)*POWER(C38*0.0254,2)) + V38*(1-F38)*998.2*POWER(Y38,2)/(POWER(F38,3)*(C38*0.0254))</f>
        <v>146633.38003861395</v>
      </c>
      <c r="O38" s="1">
        <f>2*(N38-K38)/(K38+N38)</f>
        <v>0.86174034722021875</v>
      </c>
      <c r="T38" s="4">
        <f t="shared" ref="T38" si="42">16*POWER(J38,-1/8)</f>
        <v>5.661441959811186</v>
      </c>
      <c r="U38" s="4">
        <f t="shared" ref="U38" si="43">(185+(17*F38/(1-F38))*POWER(D38/(D38-1),2))</f>
        <v>228.47324655380919</v>
      </c>
      <c r="V38" s="4">
        <f t="shared" ref="V38" si="44">1.3*POWER((1-F38)/F38,1/3)+0.03*POWER(D38/(D38-1),2)</f>
        <v>1.4472744138486904</v>
      </c>
      <c r="W38" s="4">
        <f t="shared" ref="W38" si="45">(185+(17*G38/(1-G38))*POWER(D38/(D38-1),2))</f>
        <v>227.79180773857627</v>
      </c>
      <c r="X38" s="4">
        <f t="shared" ref="X38" si="46">1.3*POWER((1-G38)/G38,1/3)+0.03*POWER(D38/(D38-1),2)</f>
        <v>1.4544530510300138</v>
      </c>
      <c r="Y38" s="4">
        <f t="shared" ref="Y38" si="47">A38*0.003785411784/(60*PI()*POWER(B38*0.0127,2))</f>
        <v>0.34356711040620852</v>
      </c>
    </row>
    <row r="39" spans="1:25" s="1" customFormat="1" x14ac:dyDescent="0.55000000000000004">
      <c r="A39" s="10">
        <v>1.88</v>
      </c>
      <c r="B39" s="1">
        <v>0.60199999999999998</v>
      </c>
      <c r="C39" s="1">
        <v>0.25</v>
      </c>
      <c r="D39" s="1">
        <f t="shared" si="38"/>
        <v>2.4079999999999999</v>
      </c>
      <c r="E39" s="1">
        <v>0.46913576781670302</v>
      </c>
      <c r="F39" s="1">
        <v>0.466470357313992</v>
      </c>
      <c r="G39" s="1">
        <v>0.46254052000000001</v>
      </c>
      <c r="H39" s="1">
        <v>0.31033140743376703</v>
      </c>
      <c r="I39" s="1">
        <v>0.26901433631112998</v>
      </c>
      <c r="J39" s="1">
        <f t="shared" si="39"/>
        <v>7650.7011091212835</v>
      </c>
      <c r="K39" s="1">
        <v>196701.918112896</v>
      </c>
      <c r="L39">
        <f t="shared" si="40"/>
        <v>528741.72087484191</v>
      </c>
      <c r="M39" s="1">
        <f>2*(L39-K39)/(K39+L39)</f>
        <v>0.9154117147550267</v>
      </c>
      <c r="N39" s="1">
        <f t="shared" si="41"/>
        <v>509201.90089016745</v>
      </c>
      <c r="O39" s="1">
        <f>2*(N39-K39)/(K39+N39)</f>
        <v>0.88538969294318337</v>
      </c>
      <c r="P39" s="2">
        <v>6.3297999999999993E-2</v>
      </c>
      <c r="Q39" s="2">
        <v>1.6348E-4</v>
      </c>
      <c r="S39" s="1" t="s">
        <v>54</v>
      </c>
      <c r="T39" s="1">
        <f t="shared" ref="T39:T70" si="48">16*POWER(J39,-1/8)</f>
        <v>5.231874625651832</v>
      </c>
      <c r="U39" s="1">
        <f t="shared" ref="U39:U66" si="49">(185+(17*F39/(1-F39))*POWER(D39/(D39-1),2))</f>
        <v>228.47324655380919</v>
      </c>
      <c r="V39" s="1">
        <f t="shared" ref="V39:V66" si="50">1.3*POWER((1-F39)/F39,1/3)+0.03*POWER(D39/(D39-1),2)</f>
        <v>1.4472744138486904</v>
      </c>
      <c r="W39" s="1">
        <f t="shared" ref="W39:W66" si="51">(185+(17*G39/(1-G39))*POWER(D39/(D39-1),2))</f>
        <v>227.79180773857627</v>
      </c>
      <c r="X39" s="1">
        <f t="shared" ref="X39:X66" si="52">1.3*POWER((1-G39)/G39,1/3)+0.03*POWER(D39/(D39-1),2)</f>
        <v>1.4544530510300138</v>
      </c>
      <c r="Y39" s="1">
        <f t="shared" ref="Y39:Y66" si="53">A39*0.003785411784/(60*PI()*POWER(B39*0.0127,2))</f>
        <v>0.64590616756367192</v>
      </c>
    </row>
    <row r="40" spans="1:25" x14ac:dyDescent="0.55000000000000004">
      <c r="A40" s="8">
        <v>2.02</v>
      </c>
      <c r="B40">
        <v>0.60199999999999998</v>
      </c>
      <c r="C40">
        <v>0.25</v>
      </c>
      <c r="D40">
        <f t="shared" si="38"/>
        <v>2.4079999999999999</v>
      </c>
      <c r="F40">
        <v>0.466470357313992</v>
      </c>
      <c r="G40">
        <v>0.46254052000000001</v>
      </c>
      <c r="J40">
        <f t="shared" si="39"/>
        <v>8220.4341704388262</v>
      </c>
      <c r="K40">
        <v>226124.655503052</v>
      </c>
      <c r="L40">
        <f t="shared" si="40"/>
        <v>609567.81820518558</v>
      </c>
      <c r="M40">
        <f>2*(L40-K40)/(K40+L40)</f>
        <v>0.91766570781874435</v>
      </c>
      <c r="N40">
        <f t="shared" si="41"/>
        <v>587040.56288035039</v>
      </c>
      <c r="O40">
        <f>2*(N40-K40)/(K40+N40)</f>
        <v>0.88768161553887026</v>
      </c>
      <c r="T40">
        <f t="shared" si="48"/>
        <v>5.1851119576878535</v>
      </c>
      <c r="U40">
        <f t="shared" si="49"/>
        <v>228.47324655380919</v>
      </c>
      <c r="V40">
        <f t="shared" si="50"/>
        <v>1.4472744138486904</v>
      </c>
      <c r="W40">
        <f t="shared" si="51"/>
        <v>227.79180773857627</v>
      </c>
      <c r="X40">
        <f t="shared" si="52"/>
        <v>1.4544530510300138</v>
      </c>
      <c r="Y40">
        <f t="shared" si="53"/>
        <v>0.69400556302054117</v>
      </c>
    </row>
    <row r="41" spans="1:25" s="4" customFormat="1" x14ac:dyDescent="0.55000000000000004">
      <c r="A41" s="9">
        <v>2.79</v>
      </c>
      <c r="B41" s="4">
        <v>0.60199999999999998</v>
      </c>
      <c r="C41" s="4">
        <v>0.25</v>
      </c>
      <c r="D41" s="4">
        <f t="shared" si="38"/>
        <v>2.4079999999999999</v>
      </c>
      <c r="F41" s="4">
        <v>0.466470357313992</v>
      </c>
      <c r="G41" s="4">
        <v>0.46254052000000001</v>
      </c>
      <c r="J41" s="4">
        <f t="shared" si="39"/>
        <v>11353.966007685309</v>
      </c>
      <c r="K41" s="4">
        <v>314762.71940814302</v>
      </c>
      <c r="L41" s="4">
        <f t="shared" si="40"/>
        <v>1156817.2089052463</v>
      </c>
      <c r="M41" s="4">
        <f>2*(L41-K41)/(K41+L41)</f>
        <v>1.1444223630614487</v>
      </c>
      <c r="N41" s="4">
        <f t="shared" si="41"/>
        <v>1114062.3396428414</v>
      </c>
      <c r="O41" s="4">
        <f>2*(N41-K41)/(K41+N41)</f>
        <v>1.1188208313837769</v>
      </c>
      <c r="T41" s="4">
        <f t="shared" si="48"/>
        <v>4.9799677918060334</v>
      </c>
      <c r="U41" s="4">
        <f t="shared" si="49"/>
        <v>228.47324655380919</v>
      </c>
      <c r="V41" s="4">
        <f t="shared" si="50"/>
        <v>1.4472744138486904</v>
      </c>
      <c r="W41" s="4">
        <f t="shared" si="51"/>
        <v>227.79180773857627</v>
      </c>
      <c r="X41" s="4">
        <f t="shared" si="52"/>
        <v>1.4544530510300138</v>
      </c>
      <c r="Y41" s="4">
        <f t="shared" si="53"/>
        <v>0.95855223803332179</v>
      </c>
    </row>
    <row r="42" spans="1:25" s="1" customFormat="1" x14ac:dyDescent="0.55000000000000004">
      <c r="A42" s="10">
        <v>0.5</v>
      </c>
      <c r="B42" s="1">
        <v>0.60199999999999998</v>
      </c>
      <c r="C42" s="1">
        <f>7/16</f>
        <v>0.4375</v>
      </c>
      <c r="D42" s="1">
        <f t="shared" si="38"/>
        <v>1.3759999999999999</v>
      </c>
      <c r="E42" s="1">
        <v>0.61462992919125403</v>
      </c>
      <c r="F42" s="1">
        <v>0.61016591959083999</v>
      </c>
      <c r="G42" s="1">
        <v>0.60848595000000005</v>
      </c>
      <c r="H42" s="1">
        <v>0.33784185572080599</v>
      </c>
      <c r="I42" s="1">
        <v>0.29225738945951402</v>
      </c>
      <c r="J42" s="1">
        <f t="shared" si="39"/>
        <v>4873.3790205071873</v>
      </c>
      <c r="K42" s="1">
        <v>15269.4836494502</v>
      </c>
      <c r="L42">
        <f t="shared" si="40"/>
        <v>7532.0694941857837</v>
      </c>
      <c r="M42" s="1">
        <f>2*(L42-K42)/(K42+L42)</f>
        <v>-0.67867430841429011</v>
      </c>
      <c r="N42" s="1">
        <f t="shared" si="41"/>
        <v>7426.1490585249667</v>
      </c>
      <c r="O42" s="1">
        <f>2*(N42-K42)/(K42+N42)</f>
        <v>-0.69117567171142258</v>
      </c>
      <c r="P42" s="3">
        <v>0.24303</v>
      </c>
      <c r="Q42" s="3">
        <v>0.11401</v>
      </c>
      <c r="T42" s="1">
        <f t="shared" si="48"/>
        <v>5.5353005788007401</v>
      </c>
      <c r="U42" s="1">
        <f t="shared" si="49"/>
        <v>541.35121375664858</v>
      </c>
      <c r="V42" s="1">
        <f t="shared" si="50"/>
        <v>1.5214375011947006</v>
      </c>
      <c r="W42" s="1">
        <f t="shared" si="51"/>
        <v>538.84519472806448</v>
      </c>
      <c r="X42" s="1">
        <f t="shared" si="52"/>
        <v>1.5240745287273882</v>
      </c>
      <c r="Y42" s="1">
        <f t="shared" si="53"/>
        <v>0.17178355520310426</v>
      </c>
    </row>
    <row r="43" spans="1:25" x14ac:dyDescent="0.55000000000000004">
      <c r="A43" s="8">
        <v>2</v>
      </c>
      <c r="B43">
        <v>0.60199999999999998</v>
      </c>
      <c r="C43">
        <f>7/16</f>
        <v>0.4375</v>
      </c>
      <c r="D43">
        <f t="shared" si="38"/>
        <v>1.3759999999999999</v>
      </c>
      <c r="F43">
        <v>0.61016591959083999</v>
      </c>
      <c r="G43">
        <v>0.60848595000000005</v>
      </c>
      <c r="J43">
        <f t="shared" si="39"/>
        <v>19493.516082028749</v>
      </c>
      <c r="L43">
        <f t="shared" si="40"/>
        <v>114374.82376015044</v>
      </c>
      <c r="N43">
        <f t="shared" si="41"/>
        <v>112754.72133386081</v>
      </c>
      <c r="T43">
        <f t="shared" si="48"/>
        <v>4.6546144140653531</v>
      </c>
      <c r="U43">
        <f t="shared" si="49"/>
        <v>541.35121375664858</v>
      </c>
      <c r="V43">
        <f t="shared" si="50"/>
        <v>1.5214375011947006</v>
      </c>
      <c r="W43">
        <f t="shared" si="51"/>
        <v>538.84519472806448</v>
      </c>
      <c r="X43">
        <f t="shared" si="52"/>
        <v>1.5240745287273882</v>
      </c>
      <c r="Y43">
        <f t="shared" si="53"/>
        <v>0.68713422081241704</v>
      </c>
    </row>
    <row r="44" spans="1:25" s="12" customFormat="1" ht="14.7" thickBot="1" x14ac:dyDescent="0.6">
      <c r="A44" s="11">
        <v>3.5</v>
      </c>
      <c r="B44" s="12">
        <v>0.60199999999999998</v>
      </c>
      <c r="C44" s="12">
        <f>7/16</f>
        <v>0.4375</v>
      </c>
      <c r="D44" s="12">
        <f t="shared" si="38"/>
        <v>1.3759999999999999</v>
      </c>
      <c r="F44" s="12">
        <v>0.61016591959083999</v>
      </c>
      <c r="G44" s="12">
        <v>0.60848595000000005</v>
      </c>
      <c r="J44" s="12">
        <f t="shared" si="39"/>
        <v>34113.653143550313</v>
      </c>
      <c r="L44" s="12">
        <f t="shared" si="40"/>
        <v>347587.39670122607</v>
      </c>
      <c r="N44" s="12">
        <f t="shared" si="41"/>
        <v>342658.48125883809</v>
      </c>
      <c r="T44" s="12">
        <f t="shared" si="48"/>
        <v>4.3401421505864244</v>
      </c>
      <c r="U44" s="12">
        <f t="shared" si="49"/>
        <v>541.35121375664858</v>
      </c>
      <c r="V44" s="12">
        <f t="shared" si="50"/>
        <v>1.5214375011947006</v>
      </c>
      <c r="W44" s="12">
        <f t="shared" si="51"/>
        <v>538.84519472806448</v>
      </c>
      <c r="X44" s="12">
        <f t="shared" si="52"/>
        <v>1.5240745287273882</v>
      </c>
      <c r="Y44" s="12">
        <f t="shared" si="53"/>
        <v>1.2024848864217299</v>
      </c>
    </row>
    <row r="45" spans="1:25" x14ac:dyDescent="0.55000000000000004">
      <c r="A45" s="10">
        <v>1</v>
      </c>
      <c r="B45">
        <v>1.0289999999999999</v>
      </c>
      <c r="C45">
        <f>3/32</f>
        <v>9.375E-2</v>
      </c>
      <c r="D45">
        <f t="shared" ref="D45:D59" si="54">B45/C45</f>
        <v>10.975999999999999</v>
      </c>
      <c r="E45">
        <v>0.38794445405702899</v>
      </c>
      <c r="F45">
        <v>0.36825187223816302</v>
      </c>
      <c r="G45">
        <v>0.36633946000000001</v>
      </c>
      <c r="H45">
        <v>9.5942465184116393E-2</v>
      </c>
      <c r="I45">
        <v>0.12525190132039801</v>
      </c>
      <c r="J45">
        <f t="shared" si="39"/>
        <v>441.11464566257172</v>
      </c>
      <c r="K45">
        <v>111961.841277361</v>
      </c>
      <c r="L45">
        <f t="shared" si="40"/>
        <v>152743.34858659736</v>
      </c>
      <c r="M45">
        <f>2*(L45-K45)/(K45+L45)</f>
        <v>0.30812775019783673</v>
      </c>
      <c r="N45">
        <f t="shared" si="41"/>
        <v>149525.95419162849</v>
      </c>
      <c r="O45">
        <f>2*(N45-K45)/(K45+N45)</f>
        <v>0.2873106398476048</v>
      </c>
      <c r="P45" s="3">
        <v>9.5341000000000002E-4</v>
      </c>
      <c r="Q45" s="3">
        <v>8.2518000000000001E-4</v>
      </c>
      <c r="T45">
        <f t="shared" si="48"/>
        <v>7.4739647977876125</v>
      </c>
      <c r="U45">
        <f t="shared" si="49"/>
        <v>196.99569008939696</v>
      </c>
      <c r="V45">
        <f t="shared" si="50"/>
        <v>1.5925550862082933</v>
      </c>
      <c r="W45">
        <f t="shared" si="51"/>
        <v>196.89737840777931</v>
      </c>
      <c r="X45">
        <f t="shared" si="52"/>
        <v>1.5968298934588727</v>
      </c>
      <c r="Y45">
        <f t="shared" si="53"/>
        <v>0.11759092732492568</v>
      </c>
    </row>
    <row r="46" spans="1:25" x14ac:dyDescent="0.55000000000000004">
      <c r="A46" s="8">
        <v>0.5</v>
      </c>
      <c r="B46">
        <v>1.0289999999999999</v>
      </c>
      <c r="C46">
        <f t="shared" ref="C46:C47" si="55">3/32</f>
        <v>9.375E-2</v>
      </c>
      <c r="D46">
        <f t="shared" si="54"/>
        <v>10.975999999999999</v>
      </c>
      <c r="F46">
        <v>0.36825187223816302</v>
      </c>
      <c r="G46">
        <v>0.36633946000000001</v>
      </c>
      <c r="J46">
        <f t="shared" si="39"/>
        <v>220.55732283128586</v>
      </c>
      <c r="L46">
        <f t="shared" si="40"/>
        <v>46547.774857829805</v>
      </c>
      <c r="N46">
        <f t="shared" si="41"/>
        <v>45568.295167443495</v>
      </c>
      <c r="T46">
        <f t="shared" si="48"/>
        <v>8.1504164056553208</v>
      </c>
      <c r="U46">
        <f t="shared" si="49"/>
        <v>196.99569008939696</v>
      </c>
      <c r="V46">
        <f t="shared" si="50"/>
        <v>1.5925550862082933</v>
      </c>
      <c r="W46">
        <f t="shared" si="51"/>
        <v>196.89737840777931</v>
      </c>
      <c r="X46">
        <f t="shared" si="52"/>
        <v>1.5968298934588727</v>
      </c>
      <c r="Y46">
        <f t="shared" si="53"/>
        <v>5.8795463662462841E-2</v>
      </c>
    </row>
    <row r="47" spans="1:25" s="4" customFormat="1" x14ac:dyDescent="0.55000000000000004">
      <c r="A47" s="8">
        <v>5</v>
      </c>
      <c r="B47" s="4">
        <v>1.0289999999999999</v>
      </c>
      <c r="C47" s="4">
        <f t="shared" si="55"/>
        <v>9.375E-2</v>
      </c>
      <c r="D47" s="4">
        <f t="shared" si="54"/>
        <v>10.975999999999999</v>
      </c>
      <c r="F47" s="4">
        <v>0.36825187223816302</v>
      </c>
      <c r="G47" s="4">
        <v>0.36633946000000001</v>
      </c>
      <c r="J47" s="4">
        <f t="shared" si="39"/>
        <v>2205.5732283128586</v>
      </c>
      <c r="L47" s="4">
        <f t="shared" si="40"/>
        <v>3149628.6977704954</v>
      </c>
      <c r="N47" s="4">
        <f t="shared" si="41"/>
        <v>3083204.3252278008</v>
      </c>
      <c r="T47" s="4">
        <f t="shared" si="48"/>
        <v>6.1119500662491726</v>
      </c>
      <c r="U47" s="4">
        <f t="shared" si="49"/>
        <v>196.99569008939696</v>
      </c>
      <c r="V47" s="4">
        <f t="shared" si="50"/>
        <v>1.5925550862082933</v>
      </c>
      <c r="W47" s="4">
        <f t="shared" si="51"/>
        <v>196.89737840777931</v>
      </c>
      <c r="X47" s="4">
        <f t="shared" si="52"/>
        <v>1.5968298934588727</v>
      </c>
      <c r="Y47" s="4">
        <f t="shared" si="53"/>
        <v>0.58795463662462832</v>
      </c>
    </row>
    <row r="48" spans="1:25" s="1" customFormat="1" x14ac:dyDescent="0.55000000000000004">
      <c r="A48" s="10">
        <v>1</v>
      </c>
      <c r="B48" s="1">
        <v>1.0289999999999999</v>
      </c>
      <c r="C48" s="1">
        <f>1/8</f>
        <v>0.125</v>
      </c>
      <c r="D48" s="1">
        <f t="shared" si="54"/>
        <v>8.2319999999999993</v>
      </c>
      <c r="E48" s="1">
        <v>0.45942489925962299</v>
      </c>
      <c r="F48" s="1">
        <v>0.37520107223459798</v>
      </c>
      <c r="G48" s="1">
        <v>0.37354478000000002</v>
      </c>
      <c r="H48" s="1">
        <v>0.13309090294352199</v>
      </c>
      <c r="I48" s="1">
        <v>0.151105403230336</v>
      </c>
      <c r="J48" s="1">
        <f t="shared" si="39"/>
        <v>594.69447239574731</v>
      </c>
      <c r="N48" s="1">
        <f t="shared" si="41"/>
        <v>98378.846216315535</v>
      </c>
      <c r="T48" s="1">
        <f t="shared" si="48"/>
        <v>7.200012409076094</v>
      </c>
      <c r="U48" s="1">
        <f t="shared" si="49"/>
        <v>198.2271599470449</v>
      </c>
      <c r="V48" s="1">
        <f t="shared" si="50"/>
        <v>1.5797498256447065</v>
      </c>
      <c r="W48" s="1">
        <f t="shared" si="51"/>
        <v>198.13395274575726</v>
      </c>
      <c r="X48" s="1">
        <f t="shared" si="52"/>
        <v>1.583386270402636</v>
      </c>
      <c r="Y48" s="1">
        <f t="shared" si="53"/>
        <v>0.11759092732492568</v>
      </c>
    </row>
    <row r="49" spans="1:29" x14ac:dyDescent="0.55000000000000004">
      <c r="A49" s="8">
        <v>0.5</v>
      </c>
      <c r="B49">
        <v>1.0289999999999999</v>
      </c>
      <c r="C49">
        <f t="shared" ref="C49:C50" si="56">1/8</f>
        <v>0.125</v>
      </c>
      <c r="D49">
        <f t="shared" si="54"/>
        <v>8.2319999999999993</v>
      </c>
      <c r="F49">
        <v>0.37520107223459798</v>
      </c>
      <c r="G49">
        <v>0.37354478000000002</v>
      </c>
      <c r="J49">
        <f t="shared" si="39"/>
        <v>297.34723619787366</v>
      </c>
      <c r="N49">
        <f t="shared" si="41"/>
        <v>28879.987519804225</v>
      </c>
      <c r="T49">
        <f t="shared" si="48"/>
        <v>7.8516692073832912</v>
      </c>
      <c r="U49">
        <f t="shared" si="49"/>
        <v>198.2271599470449</v>
      </c>
      <c r="V49">
        <f t="shared" si="50"/>
        <v>1.5797498256447065</v>
      </c>
      <c r="W49">
        <f t="shared" si="51"/>
        <v>198.13395274575726</v>
      </c>
      <c r="X49">
        <f t="shared" si="52"/>
        <v>1.583386270402636</v>
      </c>
      <c r="Y49">
        <f t="shared" si="53"/>
        <v>5.8795463662462841E-2</v>
      </c>
    </row>
    <row r="50" spans="1:29" s="4" customFormat="1" x14ac:dyDescent="0.55000000000000004">
      <c r="A50" s="8">
        <v>5</v>
      </c>
      <c r="B50" s="4">
        <v>1.0289999999999999</v>
      </c>
      <c r="C50" s="4">
        <f t="shared" si="56"/>
        <v>0.125</v>
      </c>
      <c r="D50" s="4">
        <f t="shared" si="54"/>
        <v>8.2319999999999993</v>
      </c>
      <c r="F50" s="4">
        <v>0.37520107223459798</v>
      </c>
      <c r="G50" s="4">
        <v>0.37354478000000002</v>
      </c>
      <c r="J50" s="4">
        <f t="shared" si="39"/>
        <v>2973.4723619787364</v>
      </c>
      <c r="N50" s="4">
        <f t="shared" si="41"/>
        <v>2116649.0781498607</v>
      </c>
      <c r="T50" s="4">
        <f t="shared" si="48"/>
        <v>5.8879212722106837</v>
      </c>
      <c r="U50" s="4">
        <f t="shared" si="49"/>
        <v>198.2271599470449</v>
      </c>
      <c r="V50" s="4">
        <f t="shared" si="50"/>
        <v>1.5797498256447065</v>
      </c>
      <c r="W50" s="4">
        <f t="shared" si="51"/>
        <v>198.13395274575726</v>
      </c>
      <c r="X50" s="4">
        <f t="shared" si="52"/>
        <v>1.583386270402636</v>
      </c>
      <c r="Y50" s="4">
        <f t="shared" si="53"/>
        <v>0.58795463662462832</v>
      </c>
    </row>
    <row r="51" spans="1:29" s="1" customFormat="1" x14ac:dyDescent="0.55000000000000004">
      <c r="A51" s="10">
        <v>1</v>
      </c>
      <c r="B51" s="1">
        <v>1.0289999999999999</v>
      </c>
      <c r="C51" s="1">
        <f>3/16</f>
        <v>0.1875</v>
      </c>
      <c r="D51" s="1">
        <f t="shared" si="54"/>
        <v>5.4879999999999995</v>
      </c>
      <c r="E51" s="1">
        <v>0.47264075360507302</v>
      </c>
      <c r="F51" s="1">
        <v>0.392447128116653</v>
      </c>
      <c r="J51" s="1">
        <f t="shared" si="39"/>
        <v>917.36329271820944</v>
      </c>
      <c r="N51" s="1">
        <f t="shared" si="41"/>
        <v>51514.021847708398</v>
      </c>
      <c r="T51" s="1">
        <f t="shared" si="48"/>
        <v>6.8202817008114565</v>
      </c>
      <c r="U51" s="1">
        <f t="shared" si="49"/>
        <v>201.41982436962286</v>
      </c>
      <c r="V51" s="1">
        <f t="shared" si="50"/>
        <v>1.5487308131862436</v>
      </c>
      <c r="W51" s="1">
        <f t="shared" si="51"/>
        <v>185</v>
      </c>
      <c r="X51" s="1" t="e">
        <f t="shared" si="52"/>
        <v>#DIV/0!</v>
      </c>
      <c r="Y51" s="1">
        <f t="shared" si="53"/>
        <v>0.11759092732492568</v>
      </c>
    </row>
    <row r="52" spans="1:29" x14ac:dyDescent="0.55000000000000004">
      <c r="A52" s="8">
        <v>0.5</v>
      </c>
      <c r="B52">
        <v>1.0289999999999999</v>
      </c>
      <c r="C52">
        <f t="shared" ref="C52:C53" si="57">3/16</f>
        <v>0.1875</v>
      </c>
      <c r="D52">
        <f t="shared" si="54"/>
        <v>5.4879999999999995</v>
      </c>
      <c r="F52">
        <v>0.392447128116653</v>
      </c>
      <c r="J52">
        <f t="shared" si="39"/>
        <v>458.68164635910472</v>
      </c>
      <c r="N52">
        <f t="shared" si="41"/>
        <v>14477.59095279657</v>
      </c>
      <c r="T52">
        <f t="shared" si="48"/>
        <v>7.4375699336902503</v>
      </c>
      <c r="U52">
        <f t="shared" si="49"/>
        <v>201.41982436962286</v>
      </c>
      <c r="V52">
        <f t="shared" si="50"/>
        <v>1.5487308131862436</v>
      </c>
      <c r="W52">
        <f t="shared" si="51"/>
        <v>185</v>
      </c>
      <c r="X52" t="e">
        <f t="shared" si="52"/>
        <v>#DIV/0!</v>
      </c>
      <c r="Y52">
        <f t="shared" si="53"/>
        <v>5.8795463662462841E-2</v>
      </c>
    </row>
    <row r="53" spans="1:29" s="4" customFormat="1" x14ac:dyDescent="0.55000000000000004">
      <c r="A53" s="8">
        <v>5</v>
      </c>
      <c r="B53" s="4">
        <v>1.0289999999999999</v>
      </c>
      <c r="C53" s="4">
        <f t="shared" si="57"/>
        <v>0.1875</v>
      </c>
      <c r="D53" s="4">
        <f t="shared" si="54"/>
        <v>5.4879999999999995</v>
      </c>
      <c r="F53" s="4">
        <v>0.392447128116653</v>
      </c>
      <c r="J53" s="4">
        <f t="shared" si="39"/>
        <v>4586.8164635910471</v>
      </c>
      <c r="N53" s="4">
        <f t="shared" si="41"/>
        <v>1159923.7069231519</v>
      </c>
      <c r="T53" s="4">
        <f t="shared" si="48"/>
        <v>5.577390624779496</v>
      </c>
      <c r="U53" s="4">
        <f t="shared" si="49"/>
        <v>201.41982436962286</v>
      </c>
      <c r="V53" s="4">
        <f t="shared" si="50"/>
        <v>1.5487308131862436</v>
      </c>
      <c r="W53" s="4">
        <f t="shared" si="51"/>
        <v>185</v>
      </c>
      <c r="X53" s="4" t="e">
        <f t="shared" si="52"/>
        <v>#DIV/0!</v>
      </c>
      <c r="Y53" s="4">
        <f t="shared" si="53"/>
        <v>0.58795463662462832</v>
      </c>
    </row>
    <row r="54" spans="1:29" x14ac:dyDescent="0.55000000000000004">
      <c r="A54" s="8">
        <v>1</v>
      </c>
      <c r="B54">
        <v>1.0289999999999999</v>
      </c>
      <c r="C54">
        <f>1/4</f>
        <v>0.25</v>
      </c>
      <c r="D54">
        <f t="shared" si="54"/>
        <v>4.1159999999999997</v>
      </c>
      <c r="E54">
        <v>0.484526119973194</v>
      </c>
      <c r="F54">
        <v>0.470646499885295</v>
      </c>
      <c r="G54">
        <v>0.47007167</v>
      </c>
      <c r="H54">
        <v>0.18280461259140801</v>
      </c>
      <c r="I54">
        <v>0.12525190132039801</v>
      </c>
      <c r="J54">
        <f t="shared" si="39"/>
        <v>1403.8424932313119</v>
      </c>
      <c r="K54">
        <v>7523.7774517878397</v>
      </c>
      <c r="L54">
        <f t="shared" ref="L54:L56" si="58">W54*POWER(1-G54,2)*0.001003*Y54/(POWER(G54,3)*POWER(C54*0.0254,2)) + X54*(1-G54)*998.2*POWER(Y54,2)/(POWER(G54,3)*(C54*0.0254))</f>
        <v>17255.680345584205</v>
      </c>
      <c r="M54">
        <f>2*(L54-K54)/(K54+L54)</f>
        <v>0.78548150434740116</v>
      </c>
      <c r="N54">
        <f t="shared" si="41"/>
        <v>17161.07456195019</v>
      </c>
      <c r="O54">
        <f>2*(N54-K54)/(K54+N54)</f>
        <v>0.78082680866782928</v>
      </c>
      <c r="P54" s="3">
        <v>9.7272000000000005E-4</v>
      </c>
      <c r="Q54" s="3">
        <v>9.9036999999999997E-4</v>
      </c>
      <c r="R54" t="s">
        <v>23</v>
      </c>
      <c r="T54">
        <f t="shared" si="48"/>
        <v>6.4670346019524239</v>
      </c>
      <c r="U54">
        <f t="shared" si="49"/>
        <v>211.37265174094941</v>
      </c>
      <c r="V54">
        <f t="shared" si="50"/>
        <v>1.4042943164076478</v>
      </c>
      <c r="W54">
        <f t="shared" si="51"/>
        <v>211.31186887577431</v>
      </c>
      <c r="X54">
        <f t="shared" si="52"/>
        <v>1.4053345585271186</v>
      </c>
      <c r="Y54">
        <f t="shared" si="53"/>
        <v>0.11759092732492568</v>
      </c>
      <c r="Z54">
        <v>0.22970655000000001</v>
      </c>
      <c r="AA54" s="3" t="e">
        <f>A54*(0.003785/60)/(PI()*POWER((B54*0.0254)/2,2))/#REF!</f>
        <v>#REF!</v>
      </c>
      <c r="AC54">
        <f>2*(L54-AB54)/(AB54+L54)</f>
        <v>2</v>
      </c>
    </row>
    <row r="55" spans="1:29" x14ac:dyDescent="0.55000000000000004">
      <c r="A55" s="8">
        <v>0.5</v>
      </c>
      <c r="B55">
        <v>1.0289999999999999</v>
      </c>
      <c r="C55">
        <f>1/4</f>
        <v>0.25</v>
      </c>
      <c r="D55">
        <f t="shared" si="54"/>
        <v>4.1159999999999997</v>
      </c>
      <c r="F55">
        <v>0.470646499885295</v>
      </c>
      <c r="G55">
        <v>0.47007167</v>
      </c>
      <c r="J55">
        <f t="shared" si="39"/>
        <v>701.92124661565595</v>
      </c>
      <c r="L55">
        <f t="shared" si="58"/>
        <v>4731.6862268458963</v>
      </c>
      <c r="N55">
        <f t="shared" si="41"/>
        <v>4705.7228659113616</v>
      </c>
      <c r="T55">
        <f t="shared" si="48"/>
        <v>7.0523512408429054</v>
      </c>
      <c r="U55">
        <f t="shared" si="49"/>
        <v>211.37265174094941</v>
      </c>
      <c r="V55">
        <f t="shared" si="50"/>
        <v>1.4042943164076478</v>
      </c>
      <c r="W55">
        <f t="shared" si="51"/>
        <v>211.31186887577431</v>
      </c>
      <c r="X55">
        <f t="shared" si="52"/>
        <v>1.4053345585271186</v>
      </c>
      <c r="Y55">
        <f t="shared" si="53"/>
        <v>5.8795463662462841E-2</v>
      </c>
      <c r="AA55" t="e">
        <f>A55*(0.003785/60)/(PI()*POWER((B55*0.0254)/2,2))/#REF!</f>
        <v>#REF!</v>
      </c>
    </row>
    <row r="56" spans="1:29" s="4" customFormat="1" x14ac:dyDescent="0.55000000000000004">
      <c r="A56" s="9">
        <v>5</v>
      </c>
      <c r="B56" s="4">
        <v>1.0289999999999999</v>
      </c>
      <c r="C56" s="4">
        <f>1/4</f>
        <v>0.25</v>
      </c>
      <c r="D56" s="4">
        <f t="shared" si="54"/>
        <v>4.1159999999999997</v>
      </c>
      <c r="F56" s="4">
        <v>0.470646499885295</v>
      </c>
      <c r="G56" s="4">
        <v>0.47007167</v>
      </c>
      <c r="J56" s="4">
        <f t="shared" si="39"/>
        <v>7019.2124661565585</v>
      </c>
      <c r="L56" s="4">
        <f t="shared" si="58"/>
        <v>397970.7174036174</v>
      </c>
      <c r="N56" s="4">
        <f t="shared" si="41"/>
        <v>395790.52601484966</v>
      </c>
      <c r="T56" s="4">
        <f t="shared" si="48"/>
        <v>5.2885173576866551</v>
      </c>
      <c r="U56" s="4">
        <f t="shared" si="49"/>
        <v>211.37265174094941</v>
      </c>
      <c r="V56" s="4">
        <f t="shared" si="50"/>
        <v>1.4042943164076478</v>
      </c>
      <c r="W56" s="4">
        <f t="shared" si="51"/>
        <v>211.31186887577431</v>
      </c>
      <c r="X56" s="4">
        <f t="shared" si="52"/>
        <v>1.4053345585271186</v>
      </c>
      <c r="Y56" s="4">
        <f t="shared" si="53"/>
        <v>0.58795463662462832</v>
      </c>
      <c r="AA56" s="4" t="e">
        <f>A56*(0.003785/60)/(PI()*POWER((B56*0.0254)/2,2))/#REF!</f>
        <v>#REF!</v>
      </c>
    </row>
    <row r="57" spans="1:29" x14ac:dyDescent="0.55000000000000004">
      <c r="A57" s="10">
        <v>1</v>
      </c>
      <c r="B57">
        <v>1.0289999999999999</v>
      </c>
      <c r="C57">
        <f>5/16</f>
        <v>0.3125</v>
      </c>
      <c r="D57">
        <f t="shared" si="54"/>
        <v>3.2927999999999997</v>
      </c>
      <c r="E57">
        <v>0.46699842062852098</v>
      </c>
      <c r="F57">
        <v>0.45224865995743802</v>
      </c>
      <c r="J57">
        <f t="shared" si="39"/>
        <v>1695.8628922386697</v>
      </c>
      <c r="N57">
        <f t="shared" si="41"/>
        <v>16205.898349090639</v>
      </c>
      <c r="T57">
        <f t="shared" si="48"/>
        <v>6.3160584513194458</v>
      </c>
      <c r="U57">
        <f t="shared" si="49"/>
        <v>213.94950361195137</v>
      </c>
      <c r="V57">
        <f t="shared" si="50"/>
        <v>1.4476060094346879</v>
      </c>
      <c r="W57">
        <f t="shared" si="51"/>
        <v>185</v>
      </c>
      <c r="X57" t="e">
        <f t="shared" si="52"/>
        <v>#DIV/0!</v>
      </c>
      <c r="Y57">
        <f t="shared" si="53"/>
        <v>0.11759092732492568</v>
      </c>
    </row>
    <row r="58" spans="1:29" x14ac:dyDescent="0.55000000000000004">
      <c r="A58" s="8">
        <v>0.5</v>
      </c>
      <c r="B58">
        <v>1.0289999999999999</v>
      </c>
      <c r="C58">
        <f t="shared" ref="C58:C59" si="59">5/16</f>
        <v>0.3125</v>
      </c>
      <c r="D58">
        <f t="shared" si="54"/>
        <v>3.2927999999999997</v>
      </c>
      <c r="F58">
        <v>0.45224865995743802</v>
      </c>
      <c r="J58">
        <f t="shared" si="39"/>
        <v>847.93144611933485</v>
      </c>
      <c r="N58">
        <f t="shared" si="41"/>
        <v>4376.2578159941968</v>
      </c>
      <c r="T58">
        <f t="shared" si="48"/>
        <v>6.8877105811296051</v>
      </c>
      <c r="U58">
        <f t="shared" si="49"/>
        <v>213.94950361195137</v>
      </c>
      <c r="V58">
        <f t="shared" si="50"/>
        <v>1.4476060094346879</v>
      </c>
      <c r="W58">
        <f t="shared" si="51"/>
        <v>185</v>
      </c>
      <c r="X58" t="e">
        <f t="shared" si="52"/>
        <v>#DIV/0!</v>
      </c>
      <c r="Y58">
        <f t="shared" si="53"/>
        <v>5.8795463662462841E-2</v>
      </c>
    </row>
    <row r="59" spans="1:29" x14ac:dyDescent="0.55000000000000004">
      <c r="A59" s="8">
        <v>5</v>
      </c>
      <c r="B59">
        <v>1.0289999999999999</v>
      </c>
      <c r="C59">
        <f t="shared" si="59"/>
        <v>0.3125</v>
      </c>
      <c r="D59">
        <f t="shared" si="54"/>
        <v>3.2927999999999997</v>
      </c>
      <c r="F59">
        <v>0.45224865995743802</v>
      </c>
      <c r="J59">
        <f t="shared" si="39"/>
        <v>8479.3144611933476</v>
      </c>
      <c r="N59">
        <f t="shared" si="41"/>
        <v>379164.80042954296</v>
      </c>
      <c r="T59">
        <f t="shared" si="48"/>
        <v>5.1650542803469754</v>
      </c>
      <c r="U59">
        <f t="shared" si="49"/>
        <v>213.94950361195137</v>
      </c>
      <c r="V59">
        <f t="shared" si="50"/>
        <v>1.4476060094346879</v>
      </c>
      <c r="W59">
        <f t="shared" si="51"/>
        <v>185</v>
      </c>
      <c r="X59" t="e">
        <f t="shared" si="52"/>
        <v>#DIV/0!</v>
      </c>
      <c r="Y59">
        <f t="shared" si="53"/>
        <v>0.58795463662462832</v>
      </c>
    </row>
    <row r="60" spans="1:29" s="1" customFormat="1" x14ac:dyDescent="0.55000000000000004">
      <c r="A60" s="10">
        <v>1</v>
      </c>
      <c r="B60" s="1">
        <v>1.0289999999999999</v>
      </c>
      <c r="C60" s="1">
        <f>7/16</f>
        <v>0.4375</v>
      </c>
      <c r="D60" s="1">
        <f t="shared" ref="D60:D77" si="60">B60/C60</f>
        <v>2.3519999999999999</v>
      </c>
      <c r="E60" s="1">
        <v>0.491255759584448</v>
      </c>
      <c r="F60" s="1">
        <v>0.470458046502712</v>
      </c>
      <c r="H60" s="1">
        <v>0.30173365763973797</v>
      </c>
      <c r="J60" s="1">
        <f t="shared" si="39"/>
        <v>2455.8500641247506</v>
      </c>
      <c r="K60" s="1">
        <v>1787.28226982053</v>
      </c>
      <c r="L60" s="1">
        <v>8155.8786029349303</v>
      </c>
      <c r="M60" s="1">
        <f>2*(L60-K60)/(K60+L60)</f>
        <v>1.2810003608740825</v>
      </c>
      <c r="N60" s="1">
        <f t="shared" si="41"/>
        <v>9708.9326915297861</v>
      </c>
      <c r="P60" s="2">
        <v>8.9338999999999998E-4</v>
      </c>
      <c r="Q60" s="2">
        <v>1.1192E-6</v>
      </c>
      <c r="R60" s="1" t="s">
        <v>24</v>
      </c>
      <c r="S60" s="1" t="s">
        <v>25</v>
      </c>
      <c r="T60" s="1">
        <f t="shared" si="48"/>
        <v>6.0303809975445661</v>
      </c>
      <c r="U60" s="1">
        <f t="shared" si="49"/>
        <v>230.70784023069595</v>
      </c>
      <c r="V60" s="1">
        <f t="shared" si="50"/>
        <v>1.4430809591855513</v>
      </c>
      <c r="W60" s="1">
        <f t="shared" si="51"/>
        <v>185</v>
      </c>
      <c r="X60" s="1" t="e">
        <f t="shared" si="52"/>
        <v>#DIV/0!</v>
      </c>
      <c r="Y60" s="1">
        <f t="shared" si="53"/>
        <v>0.11759092732492568</v>
      </c>
      <c r="AA60" s="1" t="e">
        <f>A60*(0.003785/60)/(PI()*POWER((B60*0.0254)/2,2))/#REF!</f>
        <v>#REF!</v>
      </c>
      <c r="AC60" s="1">
        <f>2*(L60-AB60)/(AB60+L60)</f>
        <v>2</v>
      </c>
    </row>
    <row r="61" spans="1:29" x14ac:dyDescent="0.55000000000000004">
      <c r="A61" s="8">
        <v>0.5</v>
      </c>
      <c r="B61">
        <v>1.0289999999999999</v>
      </c>
      <c r="C61">
        <f>7/16</f>
        <v>0.4375</v>
      </c>
      <c r="D61">
        <f t="shared" si="60"/>
        <v>2.3519999999999999</v>
      </c>
      <c r="F61">
        <v>0.470458046502712</v>
      </c>
      <c r="J61">
        <f t="shared" si="39"/>
        <v>1227.9250320623753</v>
      </c>
      <c r="L61">
        <v>2148.9758881074999</v>
      </c>
      <c r="N61">
        <f t="shared" si="41"/>
        <v>2575.5845582381903</v>
      </c>
      <c r="T61">
        <f t="shared" si="48"/>
        <v>6.5761771087399801</v>
      </c>
      <c r="U61">
        <f t="shared" si="49"/>
        <v>230.70784023069595</v>
      </c>
      <c r="V61">
        <f t="shared" si="50"/>
        <v>1.4430809591855513</v>
      </c>
      <c r="W61">
        <f t="shared" si="51"/>
        <v>185</v>
      </c>
      <c r="X61" t="e">
        <f t="shared" si="52"/>
        <v>#DIV/0!</v>
      </c>
      <c r="Y61">
        <f t="shared" si="53"/>
        <v>5.8795463662462841E-2</v>
      </c>
      <c r="AA61" t="e">
        <f>A61*(0.003785/60)/(PI()*POWER((B61*0.0254)/2,2))/#REF!</f>
        <v>#REF!</v>
      </c>
    </row>
    <row r="62" spans="1:29" s="12" customFormat="1" ht="14.7" thickBot="1" x14ac:dyDescent="0.6">
      <c r="A62" s="11">
        <v>5</v>
      </c>
      <c r="B62" s="12">
        <v>1.0289999999999999</v>
      </c>
      <c r="C62" s="12">
        <f>7/16</f>
        <v>0.4375</v>
      </c>
      <c r="D62" s="12">
        <f t="shared" si="60"/>
        <v>2.3519999999999999</v>
      </c>
      <c r="F62" s="12">
        <v>0.470458046502712</v>
      </c>
      <c r="J62" s="12">
        <f t="shared" si="39"/>
        <v>12279.250320623751</v>
      </c>
      <c r="L62" s="12">
        <v>195096.46608347099</v>
      </c>
      <c r="N62" s="12">
        <f t="shared" si="41"/>
        <v>230855.20645978503</v>
      </c>
      <c r="T62" s="12">
        <f t="shared" si="48"/>
        <v>4.931437133388763</v>
      </c>
      <c r="U62" s="12">
        <f t="shared" si="49"/>
        <v>230.70784023069595</v>
      </c>
      <c r="V62" s="12">
        <f t="shared" si="50"/>
        <v>1.4430809591855513</v>
      </c>
      <c r="W62" s="12">
        <f t="shared" si="51"/>
        <v>185</v>
      </c>
      <c r="X62" s="12" t="e">
        <f t="shared" si="52"/>
        <v>#DIV/0!</v>
      </c>
      <c r="Y62" s="12">
        <f t="shared" si="53"/>
        <v>0.58795463662462832</v>
      </c>
      <c r="AA62" s="12" t="e">
        <f>A62*(0.003785/60)/(PI()*POWER((B62*0.0254)/2,2))/#REF!</f>
        <v>#REF!</v>
      </c>
    </row>
    <row r="63" spans="1:29" s="6" customFormat="1" x14ac:dyDescent="0.55000000000000004">
      <c r="A63" s="5">
        <v>1</v>
      </c>
      <c r="B63" s="6">
        <v>1.59</v>
      </c>
      <c r="C63" s="6">
        <v>0.125</v>
      </c>
      <c r="D63" s="6">
        <f t="shared" si="60"/>
        <v>12.72</v>
      </c>
      <c r="E63" s="6">
        <v>0.36885380616693197</v>
      </c>
      <c r="F63" s="6">
        <v>0.34958288204438998</v>
      </c>
      <c r="H63" s="6">
        <v>8.4622634031442504E-2</v>
      </c>
      <c r="J63" s="6">
        <f t="shared" si="39"/>
        <v>239.26474739157266</v>
      </c>
      <c r="K63" s="6">
        <v>31697.611469258201</v>
      </c>
      <c r="L63" s="6">
        <v>28220.9059260225</v>
      </c>
      <c r="M63" s="6">
        <f t="shared" ref="M63:M90" si="61">2*(L63-K63)/(L63+K63)</f>
        <v>-0.11604778270129672</v>
      </c>
      <c r="N63" s="6">
        <f t="shared" si="41"/>
        <v>28472.98734007337</v>
      </c>
      <c r="P63" s="7">
        <v>7.5896000000000002E-3</v>
      </c>
      <c r="Q63" s="6" t="s">
        <v>12</v>
      </c>
      <c r="R63" s="6" t="s">
        <v>17</v>
      </c>
      <c r="S63" s="6" t="s">
        <v>14</v>
      </c>
      <c r="T63" s="6">
        <f t="shared" si="48"/>
        <v>8.0678932496287992</v>
      </c>
      <c r="U63" s="6">
        <f t="shared" si="49"/>
        <v>195.76282097482425</v>
      </c>
      <c r="V63" s="6">
        <f t="shared" si="50"/>
        <v>1.6342476213388142</v>
      </c>
      <c r="W63" s="6">
        <f t="shared" si="51"/>
        <v>185</v>
      </c>
      <c r="X63" s="6" t="e">
        <f t="shared" si="52"/>
        <v>#DIV/0!</v>
      </c>
      <c r="Y63" s="6">
        <f t="shared" si="53"/>
        <v>4.9250462829655312E-2</v>
      </c>
      <c r="AA63" s="6" t="e">
        <f>A63*(0.003785/60)/(PI()*POWER((B63*0.0254)/2,2))/#REF!</f>
        <v>#REF!</v>
      </c>
      <c r="AC63" s="6">
        <f>2*(L63-AB63)/(AB63+L63)</f>
        <v>2</v>
      </c>
    </row>
    <row r="64" spans="1:29" x14ac:dyDescent="0.55000000000000004">
      <c r="A64" s="8">
        <v>0.5</v>
      </c>
      <c r="B64">
        <v>1.59</v>
      </c>
      <c r="C64">
        <v>0.125</v>
      </c>
      <c r="D64">
        <f t="shared" si="60"/>
        <v>12.72</v>
      </c>
      <c r="F64">
        <v>0.34958288204438998</v>
      </c>
      <c r="J64">
        <f t="shared" si="39"/>
        <v>119.63237369578633</v>
      </c>
      <c r="L64">
        <v>9394.7368323861701</v>
      </c>
      <c r="M64">
        <f t="shared" si="61"/>
        <v>2</v>
      </c>
      <c r="N64">
        <f t="shared" si="41"/>
        <v>9493.0491475276358</v>
      </c>
      <c r="T64">
        <f t="shared" si="48"/>
        <v>8.7980999750380402</v>
      </c>
      <c r="U64">
        <f t="shared" si="49"/>
        <v>195.76282097482425</v>
      </c>
      <c r="V64">
        <f t="shared" si="50"/>
        <v>1.6342476213388142</v>
      </c>
      <c r="W64">
        <f t="shared" si="51"/>
        <v>185</v>
      </c>
      <c r="X64" t="e">
        <f t="shared" si="52"/>
        <v>#DIV/0!</v>
      </c>
      <c r="Y64">
        <f t="shared" si="53"/>
        <v>2.4625231414827656E-2</v>
      </c>
      <c r="AA64" t="e">
        <f>A64*(0.003785/60)/(PI()*POWER((B64*0.0254)/2,2))/#REF!</f>
        <v>#REF!</v>
      </c>
    </row>
    <row r="65" spans="1:27" s="4" customFormat="1" x14ac:dyDescent="0.55000000000000004">
      <c r="A65" s="9">
        <v>5</v>
      </c>
      <c r="B65" s="4">
        <v>1.59</v>
      </c>
      <c r="C65" s="4">
        <v>0.125</v>
      </c>
      <c r="D65" s="4">
        <f t="shared" si="60"/>
        <v>12.72</v>
      </c>
      <c r="F65" s="4">
        <v>0.34958288204438998</v>
      </c>
      <c r="J65" s="4">
        <f t="shared" si="39"/>
        <v>1196.3237369578628</v>
      </c>
      <c r="L65" s="4">
        <v>518361.82008012099</v>
      </c>
      <c r="M65" s="4">
        <f t="shared" si="61"/>
        <v>2</v>
      </c>
      <c r="N65" s="4">
        <f t="shared" si="41"/>
        <v>521840.4985010908</v>
      </c>
      <c r="T65" s="4">
        <f t="shared" si="48"/>
        <v>6.5976442244090521</v>
      </c>
      <c r="U65" s="4">
        <f t="shared" si="49"/>
        <v>195.76282097482425</v>
      </c>
      <c r="V65" s="4">
        <f t="shared" si="50"/>
        <v>1.6342476213388142</v>
      </c>
      <c r="W65" s="4">
        <f t="shared" si="51"/>
        <v>185</v>
      </c>
      <c r="X65" s="4" t="e">
        <f t="shared" si="52"/>
        <v>#DIV/0!</v>
      </c>
      <c r="Y65" s="4">
        <f t="shared" si="53"/>
        <v>0.24625231414827653</v>
      </c>
      <c r="AA65" s="4" t="e">
        <f>A65*(0.003785/60)/(PI()*POWER((B65*0.0254)/2,2))/#REF!</f>
        <v>#REF!</v>
      </c>
    </row>
    <row r="66" spans="1:27" s="1" customFormat="1" x14ac:dyDescent="0.55000000000000004">
      <c r="A66" s="10">
        <v>1</v>
      </c>
      <c r="B66" s="1">
        <v>1.59</v>
      </c>
      <c r="C66" s="1">
        <f>9/64</f>
        <v>0.140625</v>
      </c>
      <c r="D66" s="1">
        <f t="shared" si="60"/>
        <v>11.306666666666667</v>
      </c>
      <c r="E66" s="1">
        <v>0.37371409789475202</v>
      </c>
      <c r="F66" s="1">
        <v>0.354139427097099</v>
      </c>
      <c r="H66" s="1">
        <v>8.3506372461755296E-2</v>
      </c>
      <c r="J66" s="1">
        <f t="shared" si="39"/>
        <v>271.07185467021071</v>
      </c>
      <c r="K66" s="1">
        <v>12005.550966267299</v>
      </c>
      <c r="L66" s="1">
        <v>11009.4025059874</v>
      </c>
      <c r="M66" s="1">
        <f t="shared" si="61"/>
        <v>-8.6565324712108552E-2</v>
      </c>
      <c r="N66" s="1">
        <f t="shared" si="41"/>
        <v>23147.498714304009</v>
      </c>
      <c r="T66" s="1">
        <f t="shared" si="48"/>
        <v>7.9429975620863003</v>
      </c>
      <c r="U66" s="1">
        <f t="shared" si="49"/>
        <v>196.21804415141798</v>
      </c>
      <c r="V66" s="1">
        <f t="shared" si="50"/>
        <v>1.6244001603455891</v>
      </c>
      <c r="W66" s="1">
        <f t="shared" si="51"/>
        <v>185</v>
      </c>
      <c r="X66" s="1" t="e">
        <f t="shared" si="52"/>
        <v>#DIV/0!</v>
      </c>
      <c r="Y66" s="1">
        <f t="shared" si="53"/>
        <v>4.9250462829655312E-2</v>
      </c>
    </row>
    <row r="67" spans="1:27" x14ac:dyDescent="0.55000000000000004">
      <c r="A67" s="8">
        <v>0.5</v>
      </c>
      <c r="B67">
        <v>1.59</v>
      </c>
      <c r="C67">
        <f t="shared" ref="C67:C68" si="62">9/64</f>
        <v>0.140625</v>
      </c>
      <c r="D67">
        <f t="shared" si="60"/>
        <v>11.306666666666667</v>
      </c>
      <c r="F67">
        <v>0.354139427097099</v>
      </c>
      <c r="J67">
        <f t="shared" ref="J67:J92" si="63">Y67*C67*0.0254*998.2/(0.001003*(1-F67))</f>
        <v>135.53592733510536</v>
      </c>
      <c r="L67">
        <v>3592.4118846582101</v>
      </c>
      <c r="M67">
        <f t="shared" si="61"/>
        <v>2</v>
      </c>
      <c r="N67">
        <f t="shared" ref="N67:N92" si="64">U67*POWER(1-F67,2)*0.001003*Y67/(POWER(F67,3)*POWER(C67*0.0254,2)) + V67*(1-F67)*998.2*POWER(Y67,2)/(POWER(F67,3)*(C67*0.0254))</f>
        <v>7570.7003183672032</v>
      </c>
      <c r="T67">
        <f t="shared" si="48"/>
        <v>8.6619002619964007</v>
      </c>
      <c r="U67">
        <f t="shared" ref="U67:U92" si="65">(185+(17*F67/(1-F67))*POWER(D67/(D67-1),2))</f>
        <v>196.21804415141798</v>
      </c>
      <c r="V67">
        <f t="shared" ref="V67:V92" si="66">1.3*POWER((1-F67)/F67,1/3)+0.03*POWER(D67/(D67-1),2)</f>
        <v>1.6244001603455891</v>
      </c>
      <c r="W67">
        <f t="shared" ref="W67:W92" si="67">(185+(17*G67/(1-G67))*POWER(D67/(D67-1),2))</f>
        <v>185</v>
      </c>
      <c r="X67" t="e">
        <f t="shared" ref="X67:X92" si="68">1.3*POWER((1-G67)/G67,1/3)+0.03*POWER(D67/(D67-1),2)</f>
        <v>#DIV/0!</v>
      </c>
      <c r="Y67">
        <f t="shared" ref="Y67:Y92" si="69">A67*0.003785411784/(60*PI()*POWER(B67*0.0127,2))</f>
        <v>2.4625231414827656E-2</v>
      </c>
    </row>
    <row r="68" spans="1:27" s="4" customFormat="1" x14ac:dyDescent="0.55000000000000004">
      <c r="A68" s="8">
        <v>5</v>
      </c>
      <c r="B68" s="4">
        <v>1.59</v>
      </c>
      <c r="C68" s="4">
        <f t="shared" si="62"/>
        <v>0.140625</v>
      </c>
      <c r="D68" s="4">
        <f t="shared" si="60"/>
        <v>11.306666666666667</v>
      </c>
      <c r="F68" s="4">
        <v>0.354139427097099</v>
      </c>
      <c r="J68" s="4">
        <f t="shared" si="63"/>
        <v>1355.3592733510532</v>
      </c>
      <c r="L68" s="4">
        <v>208030.16199677801</v>
      </c>
      <c r="M68" s="4">
        <f t="shared" si="61"/>
        <v>2</v>
      </c>
      <c r="N68" s="4">
        <f t="shared" si="64"/>
        <v>435981.41667430406</v>
      </c>
      <c r="T68" s="4">
        <f t="shared" si="48"/>
        <v>6.4955088482863834</v>
      </c>
      <c r="U68" s="4">
        <f t="shared" si="65"/>
        <v>196.21804415141798</v>
      </c>
      <c r="V68" s="4">
        <f t="shared" si="66"/>
        <v>1.6244001603455891</v>
      </c>
      <c r="W68" s="4">
        <f t="shared" si="67"/>
        <v>185</v>
      </c>
      <c r="X68" s="4" t="e">
        <f t="shared" si="68"/>
        <v>#DIV/0!</v>
      </c>
      <c r="Y68" s="4">
        <f t="shared" si="69"/>
        <v>0.24625231414827653</v>
      </c>
    </row>
    <row r="69" spans="1:27" s="1" customFormat="1" x14ac:dyDescent="0.55000000000000004">
      <c r="A69" s="10">
        <v>1</v>
      </c>
      <c r="B69" s="1">
        <v>1.59</v>
      </c>
      <c r="C69" s="1">
        <f>5/32</f>
        <v>0.15625</v>
      </c>
      <c r="D69" s="1">
        <f t="shared" si="60"/>
        <v>10.176</v>
      </c>
      <c r="E69" s="1">
        <v>0.37617195318159202</v>
      </c>
      <c r="F69" s="1">
        <v>0.357693397595297</v>
      </c>
      <c r="H69" s="1">
        <v>8.7442683814582298E-2</v>
      </c>
      <c r="J69" s="1">
        <f t="shared" si="63"/>
        <v>302.85748045438476</v>
      </c>
      <c r="K69" s="1">
        <v>8941.5322274043992</v>
      </c>
      <c r="L69" s="1">
        <v>9294.65237205214</v>
      </c>
      <c r="M69" s="1">
        <f t="shared" si="61"/>
        <v>3.8727415016216078E-2</v>
      </c>
      <c r="N69" s="1">
        <f t="shared" si="64"/>
        <v>19404.874843065023</v>
      </c>
      <c r="S69" s="1" t="s">
        <v>40</v>
      </c>
      <c r="T69" s="1">
        <f t="shared" si="48"/>
        <v>7.8336685922362221</v>
      </c>
      <c r="U69" s="1">
        <f t="shared" si="65"/>
        <v>196.64299861648098</v>
      </c>
      <c r="V69" s="1">
        <f t="shared" si="66"/>
        <v>1.6170045554220882</v>
      </c>
      <c r="W69" s="1">
        <f t="shared" si="67"/>
        <v>185</v>
      </c>
      <c r="X69" s="1" t="e">
        <f t="shared" si="68"/>
        <v>#DIV/0!</v>
      </c>
      <c r="Y69" s="1">
        <f t="shared" si="69"/>
        <v>4.9250462829655312E-2</v>
      </c>
    </row>
    <row r="70" spans="1:27" x14ac:dyDescent="0.55000000000000004">
      <c r="A70" s="8">
        <v>0.5</v>
      </c>
      <c r="B70">
        <v>1.59</v>
      </c>
      <c r="C70">
        <f t="shared" ref="C70:C71" si="70">5/32</f>
        <v>0.15625</v>
      </c>
      <c r="D70">
        <f t="shared" si="60"/>
        <v>10.176</v>
      </c>
      <c r="F70">
        <v>0.357693397595297</v>
      </c>
      <c r="J70">
        <f t="shared" si="63"/>
        <v>151.42874022719238</v>
      </c>
      <c r="L70">
        <v>2981.4852749164102</v>
      </c>
      <c r="M70">
        <f t="shared" si="61"/>
        <v>2</v>
      </c>
      <c r="N70">
        <f t="shared" si="64"/>
        <v>6241.0889687839808</v>
      </c>
      <c r="T70">
        <f t="shared" si="48"/>
        <v>8.5426761749705626</v>
      </c>
      <c r="U70">
        <f t="shared" si="65"/>
        <v>196.64299861648098</v>
      </c>
      <c r="V70">
        <f t="shared" si="66"/>
        <v>1.6170045554220882</v>
      </c>
      <c r="W70">
        <f t="shared" si="67"/>
        <v>185</v>
      </c>
      <c r="X70" t="e">
        <f t="shared" si="68"/>
        <v>#DIV/0!</v>
      </c>
      <c r="Y70">
        <f t="shared" si="69"/>
        <v>2.4625231414827656E-2</v>
      </c>
    </row>
    <row r="71" spans="1:27" s="4" customFormat="1" x14ac:dyDescent="0.55000000000000004">
      <c r="A71" s="8">
        <v>5</v>
      </c>
      <c r="B71" s="4">
        <v>1.59</v>
      </c>
      <c r="C71" s="4">
        <f t="shared" si="70"/>
        <v>0.15625</v>
      </c>
      <c r="D71" s="4">
        <f t="shared" si="60"/>
        <v>10.176</v>
      </c>
      <c r="F71" s="4">
        <v>0.357693397595297</v>
      </c>
      <c r="J71" s="4">
        <f t="shared" si="63"/>
        <v>1514.2874022719236</v>
      </c>
      <c r="L71" s="4">
        <v>179740.53474903299</v>
      </c>
      <c r="M71" s="4">
        <f t="shared" si="61"/>
        <v>2</v>
      </c>
      <c r="N71" s="4">
        <f t="shared" si="64"/>
        <v>373932.25043520756</v>
      </c>
      <c r="T71" s="4">
        <f t="shared" ref="T71:T92" si="71">16*POWER(J71,-1/8)</f>
        <v>6.4061033958127593</v>
      </c>
      <c r="U71" s="4">
        <f t="shared" si="65"/>
        <v>196.64299861648098</v>
      </c>
      <c r="V71" s="4">
        <f t="shared" si="66"/>
        <v>1.6170045554220882</v>
      </c>
      <c r="W71" s="4">
        <f t="shared" si="67"/>
        <v>185</v>
      </c>
      <c r="X71" s="4" t="e">
        <f t="shared" si="68"/>
        <v>#DIV/0!</v>
      </c>
      <c r="Y71" s="4">
        <f t="shared" si="69"/>
        <v>0.24625231414827653</v>
      </c>
    </row>
    <row r="72" spans="1:27" s="1" customFormat="1" x14ac:dyDescent="0.55000000000000004">
      <c r="A72" s="10">
        <v>1</v>
      </c>
      <c r="B72" s="1">
        <v>1.59</v>
      </c>
      <c r="C72" s="1">
        <f>3/16</f>
        <v>0.1875</v>
      </c>
      <c r="D72" s="1">
        <f t="shared" si="60"/>
        <v>8.48</v>
      </c>
      <c r="E72" s="1">
        <v>0.38321907635517</v>
      </c>
      <c r="F72" s="1">
        <v>0.36636282566539002</v>
      </c>
      <c r="H72" s="1">
        <v>9.74232952672512E-2</v>
      </c>
      <c r="J72" s="1">
        <f t="shared" si="63"/>
        <v>368.40141424047005</v>
      </c>
      <c r="K72" s="1">
        <v>6514.9670112792301</v>
      </c>
      <c r="L72" s="1">
        <v>6816.2487506019997</v>
      </c>
      <c r="M72" s="1">
        <f t="shared" si="61"/>
        <v>4.5199439376601071E-2</v>
      </c>
      <c r="N72" s="1">
        <f t="shared" si="64"/>
        <v>13989.598364564308</v>
      </c>
      <c r="T72" s="1">
        <f t="shared" si="71"/>
        <v>7.6441609304898668</v>
      </c>
      <c r="U72" s="1">
        <f t="shared" si="65"/>
        <v>197.63304902581211</v>
      </c>
      <c r="V72" s="1">
        <f t="shared" si="66"/>
        <v>1.5990192366285694</v>
      </c>
      <c r="W72" s="1">
        <f t="shared" si="67"/>
        <v>185</v>
      </c>
      <c r="X72" s="1" t="e">
        <f t="shared" si="68"/>
        <v>#DIV/0!</v>
      </c>
      <c r="Y72" s="1">
        <f t="shared" si="69"/>
        <v>4.9250462829655312E-2</v>
      </c>
    </row>
    <row r="73" spans="1:27" x14ac:dyDescent="0.55000000000000004">
      <c r="A73" s="8">
        <v>0.5</v>
      </c>
      <c r="B73">
        <v>1.59</v>
      </c>
      <c r="C73">
        <f t="shared" ref="C73:C74" si="72">3/16</f>
        <v>0.1875</v>
      </c>
      <c r="D73">
        <f t="shared" si="60"/>
        <v>8.48</v>
      </c>
      <c r="F73">
        <v>0.36636282566539002</v>
      </c>
      <c r="J73">
        <f t="shared" si="63"/>
        <v>184.20070712023502</v>
      </c>
      <c r="L73">
        <v>2125.0877932097301</v>
      </c>
      <c r="M73">
        <f t="shared" si="61"/>
        <v>2</v>
      </c>
      <c r="N73">
        <f t="shared" si="64"/>
        <v>4375.9930155889742</v>
      </c>
      <c r="T73">
        <f t="shared" si="71"/>
        <v>8.3360166044368498</v>
      </c>
      <c r="U73">
        <f t="shared" si="65"/>
        <v>197.63304902581211</v>
      </c>
      <c r="V73">
        <f t="shared" si="66"/>
        <v>1.5990192366285694</v>
      </c>
      <c r="W73">
        <f t="shared" si="67"/>
        <v>185</v>
      </c>
      <c r="X73" t="e">
        <f t="shared" si="68"/>
        <v>#DIV/0!</v>
      </c>
      <c r="Y73">
        <f t="shared" si="69"/>
        <v>2.4625231414827656E-2</v>
      </c>
    </row>
    <row r="74" spans="1:27" s="4" customFormat="1" x14ac:dyDescent="0.55000000000000004">
      <c r="A74" s="8">
        <v>5</v>
      </c>
      <c r="B74" s="4">
        <v>1.59</v>
      </c>
      <c r="C74" s="4">
        <f t="shared" si="72"/>
        <v>0.1875</v>
      </c>
      <c r="D74" s="4">
        <f t="shared" si="60"/>
        <v>8.48</v>
      </c>
      <c r="F74" s="4">
        <v>0.36636282566539002</v>
      </c>
      <c r="J74" s="4">
        <f t="shared" si="63"/>
        <v>1842.0070712023503</v>
      </c>
      <c r="L74" s="4">
        <v>136724.17032031101</v>
      </c>
      <c r="M74" s="4">
        <f t="shared" si="61"/>
        <v>2</v>
      </c>
      <c r="N74" s="4">
        <f t="shared" si="64"/>
        <v>279452.48515827587</v>
      </c>
      <c r="T74" s="4">
        <f t="shared" si="71"/>
        <v>6.2511305805663948</v>
      </c>
      <c r="U74" s="4">
        <f t="shared" si="65"/>
        <v>197.63304902581211</v>
      </c>
      <c r="V74" s="4">
        <f t="shared" si="66"/>
        <v>1.5990192366285694</v>
      </c>
      <c r="W74" s="4">
        <f t="shared" si="67"/>
        <v>185</v>
      </c>
      <c r="X74" s="4" t="e">
        <f t="shared" si="68"/>
        <v>#DIV/0!</v>
      </c>
      <c r="Y74" s="4">
        <f t="shared" si="69"/>
        <v>0.24625231414827653</v>
      </c>
    </row>
    <row r="75" spans="1:27" s="1" customFormat="1" x14ac:dyDescent="0.55000000000000004">
      <c r="A75" s="10">
        <v>1</v>
      </c>
      <c r="B75" s="1">
        <v>1.59</v>
      </c>
      <c r="C75" s="1">
        <f>7/32</f>
        <v>0.21875</v>
      </c>
      <c r="D75" s="1">
        <f t="shared" si="60"/>
        <v>7.2685714285714287</v>
      </c>
      <c r="E75" s="1">
        <v>0.38720096193710701</v>
      </c>
      <c r="F75" s="1">
        <v>0.37124003349239898</v>
      </c>
      <c r="H75" s="1">
        <v>0.12971481968211701</v>
      </c>
      <c r="J75" s="1">
        <f t="shared" si="63"/>
        <v>433.13556445011722</v>
      </c>
      <c r="K75" s="1">
        <v>4545.2164576128098</v>
      </c>
      <c r="L75" s="1">
        <v>5389.9101488033702</v>
      </c>
      <c r="M75" s="1">
        <f t="shared" si="61"/>
        <v>0.17004185747266692</v>
      </c>
      <c r="N75" s="1">
        <f t="shared" si="64"/>
        <v>10968.613042373197</v>
      </c>
      <c r="T75" s="1">
        <f t="shared" si="71"/>
        <v>7.4910380331383992</v>
      </c>
      <c r="U75" s="1">
        <f t="shared" si="65"/>
        <v>198.49521506057206</v>
      </c>
      <c r="V75" s="1">
        <f t="shared" si="66"/>
        <v>1.589936576280613</v>
      </c>
      <c r="W75" s="1">
        <f t="shared" si="67"/>
        <v>185</v>
      </c>
      <c r="X75" s="1" t="e">
        <f t="shared" si="68"/>
        <v>#DIV/0!</v>
      </c>
      <c r="Y75" s="1">
        <f t="shared" si="69"/>
        <v>4.9250462829655312E-2</v>
      </c>
    </row>
    <row r="76" spans="1:27" x14ac:dyDescent="0.55000000000000004">
      <c r="A76" s="8">
        <v>0.5</v>
      </c>
      <c r="B76">
        <v>1.59</v>
      </c>
      <c r="C76">
        <f t="shared" ref="C76:C77" si="73">7/32</f>
        <v>0.21875</v>
      </c>
      <c r="D76">
        <f t="shared" si="60"/>
        <v>7.2685714285714287</v>
      </c>
      <c r="F76">
        <v>0.37124003349239898</v>
      </c>
      <c r="J76">
        <f t="shared" si="63"/>
        <v>216.56778222505861</v>
      </c>
      <c r="L76">
        <v>1642.7649590470101</v>
      </c>
      <c r="M76">
        <f t="shared" si="61"/>
        <v>2</v>
      </c>
      <c r="N76">
        <f t="shared" si="64"/>
        <v>3355.6935657754902</v>
      </c>
      <c r="T76">
        <f t="shared" si="71"/>
        <v>8.1690349008269667</v>
      </c>
      <c r="U76">
        <f t="shared" si="65"/>
        <v>198.49521506057206</v>
      </c>
      <c r="V76">
        <f t="shared" si="66"/>
        <v>1.589936576280613</v>
      </c>
      <c r="W76">
        <f t="shared" si="67"/>
        <v>185</v>
      </c>
      <c r="X76" t="e">
        <f t="shared" si="68"/>
        <v>#DIV/0!</v>
      </c>
      <c r="Y76">
        <f t="shared" si="69"/>
        <v>2.4625231414827656E-2</v>
      </c>
    </row>
    <row r="77" spans="1:27" s="4" customFormat="1" x14ac:dyDescent="0.55000000000000004">
      <c r="A77" s="8">
        <v>5</v>
      </c>
      <c r="B77" s="4">
        <v>1.59</v>
      </c>
      <c r="C77" s="4">
        <f t="shared" si="73"/>
        <v>0.21875</v>
      </c>
      <c r="D77" s="4">
        <f t="shared" si="60"/>
        <v>7.2685714285714287</v>
      </c>
      <c r="F77" s="4">
        <v>0.37124003349239898</v>
      </c>
      <c r="J77" s="4">
        <f t="shared" si="63"/>
        <v>2165.6778222505855</v>
      </c>
      <c r="L77" s="4">
        <v>111124.75997239001</v>
      </c>
      <c r="M77" s="4">
        <f t="shared" si="61"/>
        <v>2</v>
      </c>
      <c r="N77" s="4">
        <f t="shared" si="64"/>
        <v>225132.10164475461</v>
      </c>
      <c r="T77" s="4">
        <f t="shared" si="71"/>
        <v>6.1259119679648757</v>
      </c>
      <c r="U77" s="4">
        <f t="shared" si="65"/>
        <v>198.49521506057206</v>
      </c>
      <c r="V77" s="4">
        <f t="shared" si="66"/>
        <v>1.589936576280613</v>
      </c>
      <c r="W77" s="4">
        <f t="shared" si="67"/>
        <v>185</v>
      </c>
      <c r="X77" s="4" t="e">
        <f t="shared" si="68"/>
        <v>#DIV/0!</v>
      </c>
      <c r="Y77" s="4">
        <f t="shared" si="69"/>
        <v>0.24625231414827653</v>
      </c>
    </row>
    <row r="78" spans="1:27" s="1" customFormat="1" x14ac:dyDescent="0.55000000000000004">
      <c r="A78" s="10">
        <v>1</v>
      </c>
      <c r="B78" s="1">
        <v>1.59</v>
      </c>
      <c r="C78" s="1">
        <f>15/64</f>
        <v>0.234375</v>
      </c>
      <c r="D78" s="1">
        <f t="shared" ref="D78:D83" si="74">B78/C78</f>
        <v>6.7840000000000007</v>
      </c>
      <c r="E78" s="1">
        <v>0.39348705698560199</v>
      </c>
      <c r="F78" s="1">
        <v>0.37832540353159899</v>
      </c>
      <c r="H78" s="1">
        <v>0.109477452745112</v>
      </c>
      <c r="J78" s="1">
        <f t="shared" si="63"/>
        <v>469.36297635910955</v>
      </c>
      <c r="K78" s="1">
        <v>3977.20175686633</v>
      </c>
      <c r="L78" s="1">
        <v>4651.3658289079103</v>
      </c>
      <c r="M78" s="1">
        <f t="shared" si="61"/>
        <v>0.15626326509931082</v>
      </c>
      <c r="N78" s="1">
        <f t="shared" si="64"/>
        <v>9337.858124862265</v>
      </c>
      <c r="T78" s="1">
        <f t="shared" si="71"/>
        <v>7.4161990721196585</v>
      </c>
      <c r="U78" s="1">
        <f t="shared" si="65"/>
        <v>199.23201569956441</v>
      </c>
      <c r="V78" s="1">
        <f t="shared" si="66"/>
        <v>1.5753309289856707</v>
      </c>
      <c r="W78" s="1">
        <f t="shared" si="67"/>
        <v>185</v>
      </c>
      <c r="X78" s="1" t="e">
        <f t="shared" si="68"/>
        <v>#DIV/0!</v>
      </c>
      <c r="Y78" s="1">
        <f t="shared" si="69"/>
        <v>4.9250462829655312E-2</v>
      </c>
    </row>
    <row r="79" spans="1:27" x14ac:dyDescent="0.55000000000000004">
      <c r="A79" s="8">
        <v>0.5</v>
      </c>
      <c r="B79">
        <v>1.59</v>
      </c>
      <c r="C79">
        <f t="shared" ref="C79:C80" si="75">15/64</f>
        <v>0.234375</v>
      </c>
      <c r="D79">
        <f t="shared" si="74"/>
        <v>6.7840000000000007</v>
      </c>
      <c r="F79" s="1">
        <v>0.37832540353159899</v>
      </c>
      <c r="J79">
        <f t="shared" si="63"/>
        <v>234.68148817955478</v>
      </c>
      <c r="L79">
        <v>1403.7900498742999</v>
      </c>
      <c r="M79">
        <f t="shared" si="61"/>
        <v>2</v>
      </c>
      <c r="N79">
        <f t="shared" si="64"/>
        <v>2829.9718957744203</v>
      </c>
      <c r="T79">
        <f t="shared" si="71"/>
        <v>8.0874224351313959</v>
      </c>
      <c r="U79">
        <f t="shared" si="65"/>
        <v>199.23201569956441</v>
      </c>
      <c r="V79">
        <f t="shared" si="66"/>
        <v>1.5753309289856707</v>
      </c>
      <c r="W79">
        <f t="shared" si="67"/>
        <v>185</v>
      </c>
      <c r="X79" t="e">
        <f t="shared" si="68"/>
        <v>#DIV/0!</v>
      </c>
      <c r="Y79">
        <f t="shared" si="69"/>
        <v>2.4625231414827656E-2</v>
      </c>
    </row>
    <row r="80" spans="1:27" s="4" customFormat="1" x14ac:dyDescent="0.55000000000000004">
      <c r="A80" s="8">
        <v>5</v>
      </c>
      <c r="B80" s="4">
        <v>1.59</v>
      </c>
      <c r="C80" s="4">
        <f t="shared" si="75"/>
        <v>0.234375</v>
      </c>
      <c r="D80" s="4">
        <f t="shared" si="74"/>
        <v>6.7840000000000007</v>
      </c>
      <c r="F80" s="4">
        <v>0.37832540353159899</v>
      </c>
      <c r="J80" s="4">
        <f t="shared" si="63"/>
        <v>2346.8148817955471</v>
      </c>
      <c r="L80" s="4">
        <v>97008.258310911799</v>
      </c>
      <c r="M80" s="4">
        <f t="shared" si="61"/>
        <v>2</v>
      </c>
      <c r="N80" s="4">
        <f t="shared" si="64"/>
        <v>193805.86395684828</v>
      </c>
      <c r="T80" s="4">
        <f t="shared" si="71"/>
        <v>6.0647112525304232</v>
      </c>
      <c r="U80" s="4">
        <f t="shared" si="65"/>
        <v>199.23201569956441</v>
      </c>
      <c r="V80" s="4">
        <f t="shared" si="66"/>
        <v>1.5753309289856707</v>
      </c>
      <c r="W80" s="4">
        <f t="shared" si="67"/>
        <v>185</v>
      </c>
      <c r="X80" s="4" t="e">
        <f t="shared" si="68"/>
        <v>#DIV/0!</v>
      </c>
      <c r="Y80" s="4">
        <f t="shared" si="69"/>
        <v>0.24625231414827653</v>
      </c>
    </row>
    <row r="81" spans="1:29" s="1" customFormat="1" x14ac:dyDescent="0.55000000000000004">
      <c r="A81" s="10">
        <v>1</v>
      </c>
      <c r="B81" s="1">
        <v>1.59</v>
      </c>
      <c r="C81" s="1">
        <v>0.25</v>
      </c>
      <c r="D81" s="1">
        <f t="shared" si="74"/>
        <v>6.36</v>
      </c>
      <c r="E81" s="1">
        <v>0.39210896760303299</v>
      </c>
      <c r="F81" s="1">
        <v>0.37665988218951202</v>
      </c>
      <c r="H81" s="1">
        <v>0.16031230428432</v>
      </c>
      <c r="J81" s="1">
        <f t="shared" si="63"/>
        <v>499.31612928567171</v>
      </c>
      <c r="K81" s="1">
        <v>6656.0358669321104</v>
      </c>
      <c r="L81" s="1">
        <v>8807.9862680477509</v>
      </c>
      <c r="M81" s="1">
        <f t="shared" si="61"/>
        <v>0.27831703580505035</v>
      </c>
      <c r="N81" s="1">
        <f t="shared" si="64"/>
        <v>8803.8977941125413</v>
      </c>
      <c r="P81" s="2">
        <v>6.2968999999999997E-2</v>
      </c>
      <c r="Q81" s="2">
        <v>5.208E-3</v>
      </c>
      <c r="R81" s="1" t="s">
        <v>18</v>
      </c>
      <c r="S81" s="1" t="s">
        <v>13</v>
      </c>
      <c r="T81" s="1">
        <f t="shared" si="71"/>
        <v>7.3590716821430195</v>
      </c>
      <c r="U81" s="1">
        <f t="shared" si="65"/>
        <v>199.46298250243933</v>
      </c>
      <c r="V81" s="1">
        <f t="shared" si="66"/>
        <v>1.5799275400881503</v>
      </c>
      <c r="W81" s="1">
        <f t="shared" si="67"/>
        <v>185</v>
      </c>
      <c r="X81" s="1" t="e">
        <f t="shared" si="68"/>
        <v>#DIV/0!</v>
      </c>
      <c r="Y81" s="1">
        <f t="shared" si="69"/>
        <v>4.9250462829655312E-2</v>
      </c>
      <c r="AA81" s="2" t="e">
        <f>A81*(0.003785/60)/(PI()*POWER((B81*0.0254)/2,2))/#REF!</f>
        <v>#REF!</v>
      </c>
      <c r="AC81" s="1">
        <f>2*(L81-AB81)/(AB81+L81)</f>
        <v>2</v>
      </c>
    </row>
    <row r="82" spans="1:29" x14ac:dyDescent="0.55000000000000004">
      <c r="A82" s="8">
        <v>0.5</v>
      </c>
      <c r="B82">
        <v>1.59</v>
      </c>
      <c r="C82">
        <v>0.25</v>
      </c>
      <c r="D82">
        <f t="shared" si="74"/>
        <v>6.36</v>
      </c>
      <c r="F82">
        <v>0.37665988218951202</v>
      </c>
      <c r="J82">
        <f t="shared" si="63"/>
        <v>249.65806464283585</v>
      </c>
      <c r="K82">
        <v>1977.9652267224501</v>
      </c>
      <c r="L82">
        <v>2638.6540217419501</v>
      </c>
      <c r="M82">
        <f t="shared" si="61"/>
        <v>0.28622191238285949</v>
      </c>
      <c r="N82">
        <f t="shared" si="64"/>
        <v>2645.16383231892</v>
      </c>
      <c r="P82" s="3">
        <v>6.59E-2</v>
      </c>
      <c r="Q82" s="3">
        <v>8.6136000000000008E-3</v>
      </c>
      <c r="T82">
        <f t="shared" si="71"/>
        <v>8.0251245746148889</v>
      </c>
      <c r="U82">
        <f t="shared" si="65"/>
        <v>199.46298250243933</v>
      </c>
      <c r="V82">
        <f t="shared" si="66"/>
        <v>1.5799275400881503</v>
      </c>
      <c r="W82">
        <f t="shared" si="67"/>
        <v>185</v>
      </c>
      <c r="X82" t="e">
        <f t="shared" si="68"/>
        <v>#DIV/0!</v>
      </c>
      <c r="Y82">
        <f t="shared" si="69"/>
        <v>2.4625231414827656E-2</v>
      </c>
      <c r="AA82" s="3" t="e">
        <f>A82*(0.003785/60)/(PI()*POWER((B82*0.0254)/2,2))/#REF!</f>
        <v>#REF!</v>
      </c>
    </row>
    <row r="83" spans="1:29" s="4" customFormat="1" x14ac:dyDescent="0.55000000000000004">
      <c r="A83" s="9">
        <v>5</v>
      </c>
      <c r="B83" s="4">
        <v>1.59</v>
      </c>
      <c r="C83" s="4">
        <v>0.25</v>
      </c>
      <c r="D83" s="4">
        <f t="shared" si="74"/>
        <v>6.36</v>
      </c>
      <c r="F83" s="4">
        <v>0.37665988218951202</v>
      </c>
      <c r="J83" s="4">
        <f t="shared" si="63"/>
        <v>2496.5806464283578</v>
      </c>
      <c r="K83" s="4">
        <v>139420.561690906</v>
      </c>
      <c r="L83" s="4">
        <v>185267.06032279201</v>
      </c>
      <c r="M83">
        <f t="shared" si="61"/>
        <v>0.28240373530440172</v>
      </c>
      <c r="N83" s="4">
        <f t="shared" si="64"/>
        <v>184562.29414955073</v>
      </c>
      <c r="P83" s="3">
        <v>2.4490999999999999E-2</v>
      </c>
      <c r="Q83" s="3">
        <v>1.8743E-3</v>
      </c>
      <c r="T83" s="4">
        <f t="shared" si="71"/>
        <v>6.0179944476752931</v>
      </c>
      <c r="U83" s="4">
        <f t="shared" si="65"/>
        <v>199.46298250243933</v>
      </c>
      <c r="V83" s="4">
        <f t="shared" si="66"/>
        <v>1.5799275400881503</v>
      </c>
      <c r="W83" s="4">
        <f t="shared" si="67"/>
        <v>185</v>
      </c>
      <c r="X83" s="4" t="e">
        <f t="shared" si="68"/>
        <v>#DIV/0!</v>
      </c>
      <c r="Y83" s="4">
        <f t="shared" si="69"/>
        <v>0.24625231414827653</v>
      </c>
      <c r="AA83" s="4" t="e">
        <f>A83*(0.003785/60)/(PI()*POWER((B83*0.0254)/2,2))/#REF!</f>
        <v>#REF!</v>
      </c>
    </row>
    <row r="84" spans="1:29" s="1" customFormat="1" x14ac:dyDescent="0.55000000000000004">
      <c r="A84" s="10">
        <v>1</v>
      </c>
      <c r="B84" s="1">
        <v>1.59</v>
      </c>
      <c r="C84" s="1">
        <f>9/32</f>
        <v>0.28125</v>
      </c>
      <c r="D84" s="1">
        <f t="shared" ref="D84:D89" si="76">B84/C84</f>
        <v>5.6533333333333333</v>
      </c>
      <c r="E84" s="1">
        <v>0.40074236951443398</v>
      </c>
      <c r="F84" s="1">
        <v>0.38627280675959003</v>
      </c>
      <c r="H84" s="1">
        <v>0.15942673850085001</v>
      </c>
      <c r="J84" s="1">
        <f t="shared" si="63"/>
        <v>570.52913829931515</v>
      </c>
      <c r="K84" s="1">
        <v>2586.49732081412</v>
      </c>
      <c r="L84" s="1">
        <v>3484.1675875620599</v>
      </c>
      <c r="M84" s="1">
        <f t="shared" si="61"/>
        <v>0.29574034485393935</v>
      </c>
      <c r="N84" s="1">
        <f t="shared" si="64"/>
        <v>6904.9070589058365</v>
      </c>
      <c r="P84" s="3">
        <v>4.6064000000000001E-3</v>
      </c>
      <c r="T84" s="1">
        <f t="shared" si="71"/>
        <v>7.2374446258340663</v>
      </c>
      <c r="U84" s="1">
        <f t="shared" si="65"/>
        <v>200.7924150475001</v>
      </c>
      <c r="V84" s="1">
        <f t="shared" si="66"/>
        <v>1.5612265162197612</v>
      </c>
      <c r="W84" s="1">
        <f t="shared" si="67"/>
        <v>185</v>
      </c>
      <c r="X84" s="1" t="e">
        <f t="shared" si="68"/>
        <v>#DIV/0!</v>
      </c>
      <c r="Y84" s="1">
        <f t="shared" si="69"/>
        <v>4.9250462829655312E-2</v>
      </c>
      <c r="AA84" s="3">
        <v>7.5202000000000005E-2</v>
      </c>
    </row>
    <row r="85" spans="1:29" x14ac:dyDescent="0.55000000000000004">
      <c r="A85" s="8">
        <v>0.5</v>
      </c>
      <c r="B85">
        <v>1.59</v>
      </c>
      <c r="C85">
        <f t="shared" ref="C85:C86" si="77">9/32</f>
        <v>0.28125</v>
      </c>
      <c r="D85">
        <f t="shared" si="76"/>
        <v>5.6533333333333333</v>
      </c>
      <c r="F85">
        <v>0.38627280675959003</v>
      </c>
      <c r="J85">
        <f t="shared" si="63"/>
        <v>285.26456914965758</v>
      </c>
      <c r="L85">
        <v>1026.3435947822099</v>
      </c>
      <c r="M85">
        <f t="shared" si="61"/>
        <v>2</v>
      </c>
      <c r="N85">
        <f t="shared" si="64"/>
        <v>2043.7784287589423</v>
      </c>
      <c r="T85">
        <f t="shared" si="71"/>
        <v>7.8924893292086615</v>
      </c>
      <c r="U85">
        <f t="shared" si="65"/>
        <v>200.7924150475001</v>
      </c>
      <c r="V85">
        <f t="shared" si="66"/>
        <v>1.5612265162197612</v>
      </c>
      <c r="W85">
        <f t="shared" si="67"/>
        <v>185</v>
      </c>
      <c r="X85" t="e">
        <f t="shared" si="68"/>
        <v>#DIV/0!</v>
      </c>
      <c r="Y85">
        <f t="shared" si="69"/>
        <v>2.4625231414827656E-2</v>
      </c>
    </row>
    <row r="86" spans="1:29" s="4" customFormat="1" x14ac:dyDescent="0.55000000000000004">
      <c r="A86" s="8">
        <v>5</v>
      </c>
      <c r="B86" s="4">
        <v>1.59</v>
      </c>
      <c r="C86" s="4">
        <f t="shared" si="77"/>
        <v>0.28125</v>
      </c>
      <c r="D86" s="4">
        <f t="shared" si="76"/>
        <v>5.6533333333333333</v>
      </c>
      <c r="F86" s="4">
        <v>0.38627280675959003</v>
      </c>
      <c r="J86" s="4">
        <f t="shared" si="63"/>
        <v>2852.6456914965752</v>
      </c>
      <c r="L86" s="4">
        <v>74680.053857715306</v>
      </c>
      <c r="M86" s="4">
        <f t="shared" si="61"/>
        <v>2</v>
      </c>
      <c r="N86" s="4">
        <f t="shared" si="64"/>
        <v>147218.54335004723</v>
      </c>
      <c r="T86" s="4">
        <f t="shared" si="71"/>
        <v>5.9185320451917747</v>
      </c>
      <c r="U86" s="4">
        <f t="shared" si="65"/>
        <v>200.7924150475001</v>
      </c>
      <c r="V86" s="4">
        <f t="shared" si="66"/>
        <v>1.5612265162197612</v>
      </c>
      <c r="W86" s="4">
        <f t="shared" si="67"/>
        <v>185</v>
      </c>
      <c r="X86" s="4" t="e">
        <f t="shared" si="68"/>
        <v>#DIV/0!</v>
      </c>
      <c r="Y86" s="4">
        <f t="shared" si="69"/>
        <v>0.24625231414827653</v>
      </c>
    </row>
    <row r="87" spans="1:29" s="1" customFormat="1" x14ac:dyDescent="0.55000000000000004">
      <c r="A87" s="10">
        <v>1</v>
      </c>
      <c r="B87" s="1">
        <v>1.59</v>
      </c>
      <c r="C87" s="1">
        <f>5/16</f>
        <v>0.3125</v>
      </c>
      <c r="D87" s="1">
        <f t="shared" si="76"/>
        <v>5.0880000000000001</v>
      </c>
      <c r="E87" s="1">
        <v>0.41197934300853101</v>
      </c>
      <c r="F87" s="1">
        <v>0.398651617703143</v>
      </c>
      <c r="H87" s="1">
        <v>0.13630832358716699</v>
      </c>
      <c r="J87" s="1">
        <f t="shared" si="63"/>
        <v>646.97059145816661</v>
      </c>
      <c r="K87" s="1">
        <v>1957.66003014222</v>
      </c>
      <c r="L87" s="1">
        <v>2761.5361113948102</v>
      </c>
      <c r="M87" s="1">
        <f t="shared" si="61"/>
        <v>0.3406834796193785</v>
      </c>
      <c r="N87" s="1">
        <f t="shared" si="64"/>
        <v>5357.3219844911991</v>
      </c>
      <c r="P87" s="3">
        <v>9.3247999999999996E-4</v>
      </c>
      <c r="T87" s="1">
        <f t="shared" si="71"/>
        <v>7.1245824239219706</v>
      </c>
      <c r="U87" s="1">
        <f t="shared" si="65"/>
        <v>202.45776874021965</v>
      </c>
      <c r="V87" s="1">
        <f t="shared" si="66"/>
        <v>1.537391849382604</v>
      </c>
      <c r="W87" s="1">
        <f t="shared" si="67"/>
        <v>185</v>
      </c>
      <c r="X87" s="1" t="e">
        <f t="shared" si="68"/>
        <v>#DIV/0!</v>
      </c>
      <c r="Y87" s="1">
        <f t="shared" si="69"/>
        <v>4.9250462829655312E-2</v>
      </c>
      <c r="AA87" s="3">
        <v>6.3406000000000004E-2</v>
      </c>
    </row>
    <row r="88" spans="1:29" x14ac:dyDescent="0.55000000000000004">
      <c r="A88" s="8">
        <v>0.5</v>
      </c>
      <c r="B88">
        <v>1.59</v>
      </c>
      <c r="C88">
        <f t="shared" ref="C88:C89" si="78">5/16</f>
        <v>0.3125</v>
      </c>
      <c r="D88">
        <f t="shared" si="76"/>
        <v>5.0880000000000001</v>
      </c>
      <c r="F88">
        <v>0.398651617703143</v>
      </c>
      <c r="J88">
        <f t="shared" si="63"/>
        <v>323.4852957290833</v>
      </c>
      <c r="L88">
        <v>802.74222559287205</v>
      </c>
      <c r="M88">
        <f t="shared" si="61"/>
        <v>2</v>
      </c>
      <c r="N88">
        <f t="shared" si="64"/>
        <v>1565.8418256109831</v>
      </c>
      <c r="T88">
        <f t="shared" si="71"/>
        <v>7.7694122252978923</v>
      </c>
      <c r="U88">
        <f t="shared" si="65"/>
        <v>202.45776874021965</v>
      </c>
      <c r="V88">
        <f t="shared" si="66"/>
        <v>1.537391849382604</v>
      </c>
      <c r="W88">
        <f t="shared" si="67"/>
        <v>185</v>
      </c>
      <c r="X88" t="e">
        <f t="shared" si="68"/>
        <v>#DIV/0!</v>
      </c>
      <c r="Y88">
        <f t="shared" si="69"/>
        <v>2.4625231414827656E-2</v>
      </c>
    </row>
    <row r="89" spans="1:29" s="4" customFormat="1" x14ac:dyDescent="0.55000000000000004">
      <c r="A89" s="8">
        <v>5</v>
      </c>
      <c r="B89" s="4">
        <v>1.59</v>
      </c>
      <c r="C89" s="4">
        <f t="shared" si="78"/>
        <v>0.3125</v>
      </c>
      <c r="D89" s="4">
        <f t="shared" si="76"/>
        <v>5.0880000000000001</v>
      </c>
      <c r="F89" s="4">
        <v>0.398651617703143</v>
      </c>
      <c r="J89" s="4">
        <f t="shared" si="63"/>
        <v>3234.8529572908328</v>
      </c>
      <c r="L89" s="4">
        <v>60049.746965336701</v>
      </c>
      <c r="M89" s="4">
        <f t="shared" si="61"/>
        <v>2</v>
      </c>
      <c r="N89" s="4">
        <f t="shared" si="64"/>
        <v>115812.14325322527</v>
      </c>
      <c r="T89" s="4">
        <f t="shared" si="71"/>
        <v>5.8262372376676801</v>
      </c>
      <c r="U89" s="4">
        <f t="shared" si="65"/>
        <v>202.45776874021965</v>
      </c>
      <c r="V89" s="4">
        <f t="shared" si="66"/>
        <v>1.537391849382604</v>
      </c>
      <c r="W89" s="4">
        <f t="shared" si="67"/>
        <v>185</v>
      </c>
      <c r="X89" s="4" t="e">
        <f t="shared" si="68"/>
        <v>#DIV/0!</v>
      </c>
      <c r="Y89" s="4">
        <f t="shared" si="69"/>
        <v>0.24625231414827653</v>
      </c>
    </row>
    <row r="90" spans="1:29" s="1" customFormat="1" x14ac:dyDescent="0.55000000000000004">
      <c r="A90" s="10">
        <v>1</v>
      </c>
      <c r="B90" s="1">
        <v>1.59</v>
      </c>
      <c r="C90" s="1">
        <f>7/16</f>
        <v>0.4375</v>
      </c>
      <c r="D90" s="1">
        <f>B90/C90</f>
        <v>3.6342857142857143</v>
      </c>
      <c r="E90" s="1">
        <v>0.447279093054681</v>
      </c>
      <c r="F90" s="1">
        <v>0.43547112691219497</v>
      </c>
      <c r="H90" s="1">
        <v>0.16527398593294901</v>
      </c>
      <c r="J90" s="1">
        <f t="shared" si="63"/>
        <v>964.83392074278493</v>
      </c>
      <c r="K90" s="1">
        <v>1371.3341542538201</v>
      </c>
      <c r="L90" s="1">
        <v>2484.7885486217101</v>
      </c>
      <c r="M90" s="1">
        <f t="shared" si="61"/>
        <v>0.57749946262735963</v>
      </c>
      <c r="N90" s="1">
        <f t="shared" si="64"/>
        <v>2520.4943044637675</v>
      </c>
      <c r="P90" s="2">
        <v>4.9144E-2</v>
      </c>
      <c r="Q90" s="2">
        <v>4.1968999999999999E-3</v>
      </c>
      <c r="R90" s="1" t="s">
        <v>19</v>
      </c>
      <c r="S90" s="1" t="s">
        <v>15</v>
      </c>
      <c r="T90" s="1">
        <f t="shared" si="71"/>
        <v>6.77740458628314</v>
      </c>
      <c r="U90" s="1">
        <f t="shared" si="65"/>
        <v>209.9594210912577</v>
      </c>
      <c r="V90" s="1">
        <f t="shared" si="66"/>
        <v>1.4745862363168973</v>
      </c>
      <c r="W90" s="1">
        <f t="shared" si="67"/>
        <v>185</v>
      </c>
      <c r="X90" s="1" t="e">
        <f t="shared" si="68"/>
        <v>#DIV/0!</v>
      </c>
      <c r="Y90" s="1">
        <f t="shared" si="69"/>
        <v>4.9250462829655312E-2</v>
      </c>
      <c r="AA90" s="1" t="e">
        <f>A90*(0.003785/60)/(PI()*POWER((B90*0.0254)/2,2))/#REF!</f>
        <v>#REF!</v>
      </c>
      <c r="AC90" s="1">
        <f>2*(L90-AB90)/(AB90+L90)</f>
        <v>2</v>
      </c>
    </row>
    <row r="91" spans="1:29" x14ac:dyDescent="0.55000000000000004">
      <c r="A91" s="8">
        <v>0.5</v>
      </c>
      <c r="B91">
        <v>1.59</v>
      </c>
      <c r="C91">
        <f>7/16</f>
        <v>0.4375</v>
      </c>
      <c r="D91">
        <f>B91/C91</f>
        <v>3.6342857142857143</v>
      </c>
      <c r="F91">
        <v>0.43547112691219497</v>
      </c>
      <c r="J91">
        <f t="shared" si="63"/>
        <v>482.41696037139246</v>
      </c>
      <c r="L91">
        <v>697.208565067991</v>
      </c>
      <c r="N91">
        <f t="shared" si="64"/>
        <v>711.15571432499769</v>
      </c>
      <c r="T91">
        <f t="shared" si="71"/>
        <v>7.390812108742745</v>
      </c>
      <c r="U91">
        <f t="shared" si="65"/>
        <v>209.9594210912577</v>
      </c>
      <c r="V91">
        <f t="shared" si="66"/>
        <v>1.4745862363168973</v>
      </c>
      <c r="W91">
        <f t="shared" si="67"/>
        <v>185</v>
      </c>
      <c r="X91" t="e">
        <f t="shared" si="68"/>
        <v>#DIV/0!</v>
      </c>
      <c r="Y91">
        <f t="shared" si="69"/>
        <v>2.4625231414827656E-2</v>
      </c>
      <c r="AA91" s="3" t="e">
        <f>A91*(0.003785/60)/(PI()*POWER((B91*0.0254)/2,2))/#REF!</f>
        <v>#REF!</v>
      </c>
    </row>
    <row r="92" spans="1:29" s="12" customFormat="1" ht="14.7" thickBot="1" x14ac:dyDescent="0.6">
      <c r="A92" s="11">
        <v>5</v>
      </c>
      <c r="B92" s="12">
        <v>1.59</v>
      </c>
      <c r="C92" s="12">
        <f>7/16</f>
        <v>0.4375</v>
      </c>
      <c r="D92" s="12">
        <f>B92/C92</f>
        <v>3.6342857142857143</v>
      </c>
      <c r="F92" s="12">
        <v>0.43547112691219497</v>
      </c>
      <c r="J92" s="12">
        <f t="shared" si="63"/>
        <v>4824.1696037139236</v>
      </c>
      <c r="L92" s="12">
        <v>56038.799482537899</v>
      </c>
      <c r="N92" s="12">
        <f t="shared" si="64"/>
        <v>56529.786554869723</v>
      </c>
      <c r="T92" s="12">
        <f t="shared" si="71"/>
        <v>5.5423272026103811</v>
      </c>
      <c r="U92" s="12">
        <f t="shared" si="65"/>
        <v>209.9594210912577</v>
      </c>
      <c r="V92" s="12">
        <f t="shared" si="66"/>
        <v>1.4745862363168973</v>
      </c>
      <c r="W92" s="12">
        <f t="shared" si="67"/>
        <v>185</v>
      </c>
      <c r="X92" s="12" t="e">
        <f t="shared" si="68"/>
        <v>#DIV/0!</v>
      </c>
      <c r="Y92" s="12">
        <f t="shared" si="69"/>
        <v>0.24625231414827653</v>
      </c>
      <c r="AA92" s="13" t="e">
        <f>A92*(0.003785/60)/(PI()*POWER((B92*0.0254)/2,2))/#REF!</f>
        <v>#REF!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PDC 2D</vt:lpstr>
      <vt:lpstr>pressure_drop_comparisons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Baker</dc:creator>
  <cp:lastModifiedBy>Stephen Baker</cp:lastModifiedBy>
  <cp:lastPrinted>2022-06-26T06:34:58Z</cp:lastPrinted>
  <dcterms:created xsi:type="dcterms:W3CDTF">2022-06-19T02:19:38Z</dcterms:created>
  <dcterms:modified xsi:type="dcterms:W3CDTF">2023-01-01T09:16:07Z</dcterms:modified>
</cp:coreProperties>
</file>